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470" yWindow="1020" windowWidth="9645" windowHeight="7575" tabRatio="437" activeTab="2"/>
  </bookViews>
  <sheets>
    <sheet name="Index" sheetId="44" r:id="rId1"/>
    <sheet name="1.1 BS_cons" sheetId="45" r:id="rId2"/>
    <sheet name="2.1 IS_cons" sheetId="46" r:id="rId3"/>
    <sheet name="4.1 Capital_cons" sheetId="48" r:id="rId4"/>
    <sheet name="3.1 CF_cons" sheetId="61" r:id="rId5"/>
    <sheet name="CFS" sheetId="60" r:id="rId6"/>
    <sheet name="I- Tatim Fitimi" sheetId="25" r:id="rId7"/>
    <sheet name="II-Shenimet" sheetId="18" r:id="rId8"/>
    <sheet name="III-Huate dhe OD" sheetId="21" r:id="rId9"/>
    <sheet name="Tabela Levizjeve AAM-ve" sheetId="64" r:id="rId10"/>
    <sheet name="Transition Consolidated FS" sheetId="51" r:id="rId11"/>
    <sheet name="FS TCH AL" sheetId="49" r:id="rId12"/>
    <sheet name="FS KS" sheetId="55" r:id="rId13"/>
    <sheet name="FS MK" sheetId="56" r:id="rId14"/>
    <sheet name="AL_TB" sheetId="2" r:id="rId15"/>
    <sheet name="KS_TB" sheetId="57" r:id="rId16"/>
    <sheet name="MK_TB" sheetId="58" r:id="rId17"/>
    <sheet name="ND TCH 2012" sheetId="63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14" hidden="1">AL_TB!$A$4:$T$479</definedName>
    <definedName name="_xlnm._FilterDatabase" localSheetId="15" hidden="1">KS_TB!$A$4:$R$442</definedName>
    <definedName name="_xlnm._FilterDatabase" localSheetId="16" hidden="1">MK_TB!$A$4:$R$441</definedName>
    <definedName name="_xlnm._FilterDatabase" localSheetId="10" hidden="1">'Transition Consolidated FS'!$A$1:$J$74</definedName>
    <definedName name="_Hlk256499673" localSheetId="3">'4.1 Capital_cons'!$B$4</definedName>
    <definedName name="A_DM" localSheetId="12">#REF!</definedName>
    <definedName name="A_DM" localSheetId="13">#REF!</definedName>
    <definedName name="A_DM" localSheetId="11">#REF!</definedName>
    <definedName name="A_DM" localSheetId="15">#REF!</definedName>
    <definedName name="A_DM" localSheetId="16">#REF!</definedName>
    <definedName name="A_DM" localSheetId="10">#REF!</definedName>
    <definedName name="A_DM">#REF!</definedName>
    <definedName name="A_GRD" localSheetId="12">#REF!</definedName>
    <definedName name="A_GRD" localSheetId="13">#REF!</definedName>
    <definedName name="A_GRD" localSheetId="11">#REF!</definedName>
    <definedName name="A_GRD" localSheetId="15">#REF!</definedName>
    <definedName name="A_GRD" localSheetId="16">#REF!</definedName>
    <definedName name="A_GRD" localSheetId="10">#REF!</definedName>
    <definedName name="A_GRD">#REF!</definedName>
    <definedName name="A_ITL" localSheetId="12">#REF!</definedName>
    <definedName name="A_ITL" localSheetId="13">#REF!</definedName>
    <definedName name="A_ITL" localSheetId="11">#REF!</definedName>
    <definedName name="A_ITL" localSheetId="15">#REF!</definedName>
    <definedName name="A_ITL" localSheetId="16">#REF!</definedName>
    <definedName name="A_ITL" localSheetId="10">#REF!</definedName>
    <definedName name="A_ITL">#REF!</definedName>
    <definedName name="A_USD" localSheetId="12">#REF!</definedName>
    <definedName name="A_USD" localSheetId="13">#REF!</definedName>
    <definedName name="A_USD" localSheetId="11">#REF!</definedName>
    <definedName name="A_USD" localSheetId="15">#REF!</definedName>
    <definedName name="A_USD" localSheetId="16">#REF!</definedName>
    <definedName name="A_USD" localSheetId="10">#REF!</definedName>
    <definedName name="A_USD">#REF!</definedName>
    <definedName name="apo_analogon" localSheetId="5">#REF!</definedName>
    <definedName name="apo_analogon" localSheetId="12">#REF!</definedName>
    <definedName name="apo_analogon" localSheetId="13">#REF!</definedName>
    <definedName name="apo_analogon" localSheetId="11">#REF!</definedName>
    <definedName name="apo_analogon" localSheetId="0">#REF!</definedName>
    <definedName name="apo_analogon" localSheetId="15">#REF!</definedName>
    <definedName name="apo_analogon" localSheetId="16">#REF!</definedName>
    <definedName name="apo_analogon" localSheetId="10">#REF!</definedName>
    <definedName name="apo_analogon">#REF!</definedName>
    <definedName name="apo_code" localSheetId="5">#REF!</definedName>
    <definedName name="apo_code" localSheetId="12">#REF!</definedName>
    <definedName name="apo_code" localSheetId="13">#REF!</definedName>
    <definedName name="apo_code" localSheetId="11">#REF!</definedName>
    <definedName name="apo_code" localSheetId="0">#REF!</definedName>
    <definedName name="apo_code" localSheetId="15">#REF!</definedName>
    <definedName name="apo_code" localSheetId="16">#REF!</definedName>
    <definedName name="apo_code" localSheetId="10">#REF!</definedName>
    <definedName name="apo_code">#REF!</definedName>
    <definedName name="apo_descr" localSheetId="5">#REF!</definedName>
    <definedName name="apo_descr" localSheetId="12">#REF!</definedName>
    <definedName name="apo_descr" localSheetId="13">#REF!</definedName>
    <definedName name="apo_descr" localSheetId="11">#REF!</definedName>
    <definedName name="apo_descr" localSheetId="0">#REF!</definedName>
    <definedName name="apo_descr" localSheetId="15">#REF!</definedName>
    <definedName name="apo_descr" localSheetId="16">#REF!</definedName>
    <definedName name="apo_descr" localSheetId="10">#REF!</definedName>
    <definedName name="apo_descr">#REF!</definedName>
    <definedName name="apo_diafora" localSheetId="5">#REF!</definedName>
    <definedName name="apo_diafora" localSheetId="12">#REF!</definedName>
    <definedName name="apo_diafora" localSheetId="13">#REF!</definedName>
    <definedName name="apo_diafora" localSheetId="11">#REF!</definedName>
    <definedName name="apo_diafora" localSheetId="0">#REF!</definedName>
    <definedName name="apo_diafora" localSheetId="15">#REF!</definedName>
    <definedName name="apo_diafora" localSheetId="16">#REF!</definedName>
    <definedName name="apo_diafora" localSheetId="10">#REF!</definedName>
    <definedName name="apo_diafora">#REF!</definedName>
    <definedName name="apo_diafora2" localSheetId="5">#REF!</definedName>
    <definedName name="apo_diafora2" localSheetId="12">#REF!</definedName>
    <definedName name="apo_diafora2" localSheetId="13">#REF!</definedName>
    <definedName name="apo_diafora2" localSheetId="11">#REF!</definedName>
    <definedName name="apo_diafora2" localSheetId="0">#REF!</definedName>
    <definedName name="apo_diafora2" localSheetId="15">#REF!</definedName>
    <definedName name="apo_diafora2" localSheetId="16">#REF!</definedName>
    <definedName name="apo_diafora2" localSheetId="10">#REF!</definedName>
    <definedName name="apo_diafora2">#REF!</definedName>
    <definedName name="apo_monimes" localSheetId="5">#REF!</definedName>
    <definedName name="apo_monimes" localSheetId="12">#REF!</definedName>
    <definedName name="apo_monimes" localSheetId="13">#REF!</definedName>
    <definedName name="apo_monimes" localSheetId="11">#REF!</definedName>
    <definedName name="apo_monimes" localSheetId="0">#REF!</definedName>
    <definedName name="apo_monimes" localSheetId="15">#REF!</definedName>
    <definedName name="apo_monimes" localSheetId="16">#REF!</definedName>
    <definedName name="apo_monimes" localSheetId="10">#REF!</definedName>
    <definedName name="apo_monimes">#REF!</definedName>
    <definedName name="apo_synolo" localSheetId="5">#REF!</definedName>
    <definedName name="apo_synolo" localSheetId="12">#REF!</definedName>
    <definedName name="apo_synolo" localSheetId="13">#REF!</definedName>
    <definedName name="apo_synolo" localSheetId="11">#REF!</definedName>
    <definedName name="apo_synolo" localSheetId="0">#REF!</definedName>
    <definedName name="apo_synolo" localSheetId="15">#REF!</definedName>
    <definedName name="apo_synolo" localSheetId="16">#REF!</definedName>
    <definedName name="apo_synolo" localSheetId="10">#REF!</definedName>
    <definedName name="apo_synolo">#REF!</definedName>
    <definedName name="apo_syntel" localSheetId="5">#REF!</definedName>
    <definedName name="apo_syntel" localSheetId="12">#REF!</definedName>
    <definedName name="apo_syntel" localSheetId="13">#REF!</definedName>
    <definedName name="apo_syntel" localSheetId="11">#REF!</definedName>
    <definedName name="apo_syntel" localSheetId="0">#REF!</definedName>
    <definedName name="apo_syntel" localSheetId="15">#REF!</definedName>
    <definedName name="apo_syntel" localSheetId="16">#REF!</definedName>
    <definedName name="apo_syntel" localSheetId="10">#REF!</definedName>
    <definedName name="apo_syntel">#REF!</definedName>
    <definedName name="apo_syntel1">#REF!</definedName>
    <definedName name="apo_ypoloipo" localSheetId="5">#REF!</definedName>
    <definedName name="apo_ypoloipo" localSheetId="12">#REF!</definedName>
    <definedName name="apo_ypoloipo" localSheetId="13">#REF!</definedName>
    <definedName name="apo_ypoloipo" localSheetId="11">#REF!</definedName>
    <definedName name="apo_ypoloipo" localSheetId="0">#REF!</definedName>
    <definedName name="apo_ypoloipo" localSheetId="15">#REF!</definedName>
    <definedName name="apo_ypoloipo" localSheetId="16">#REF!</definedName>
    <definedName name="apo_ypoloipo" localSheetId="10">#REF!</definedName>
    <definedName name="apo_ypoloipo">#REF!</definedName>
    <definedName name="AS2DocOpenMode" hidden="1">"AS2DocumentEdit"</definedName>
    <definedName name="Assets" localSheetId="12">#REF!</definedName>
    <definedName name="Assets" localSheetId="13">#REF!</definedName>
    <definedName name="Assets" localSheetId="11">#REF!</definedName>
    <definedName name="Assets" localSheetId="15">#REF!</definedName>
    <definedName name="Assets" localSheetId="16">#REF!</definedName>
    <definedName name="Assets" localSheetId="10">#REF!</definedName>
    <definedName name="Assets">#REF!</definedName>
    <definedName name="B_DM" localSheetId="12">#REF!</definedName>
    <definedName name="B_DM" localSheetId="13">#REF!</definedName>
    <definedName name="B_DM" localSheetId="11">#REF!</definedName>
    <definedName name="B_DM" localSheetId="15">#REF!</definedName>
    <definedName name="B_DM" localSheetId="16">#REF!</definedName>
    <definedName name="B_DM" localSheetId="10">#REF!</definedName>
    <definedName name="B_DM">#REF!</definedName>
    <definedName name="Balance_Sheet_as_on_28_February_1998" localSheetId="12">#REF!</definedName>
    <definedName name="Balance_Sheet_as_on_28_February_1998" localSheetId="13">#REF!</definedName>
    <definedName name="Balance_Sheet_as_on_28_February_1998" localSheetId="11">#REF!</definedName>
    <definedName name="Balance_Sheet_as_on_28_February_1998" localSheetId="15">#REF!</definedName>
    <definedName name="Balance_Sheet_as_on_28_February_1998" localSheetId="16">#REF!</definedName>
    <definedName name="Balance_Sheet_as_on_28_February_1998" localSheetId="10">#REF!</definedName>
    <definedName name="Balance_Sheet_as_on_28_February_1998">#REF!</definedName>
    <definedName name="BILANCI_VALUTOR" localSheetId="12">#REF!</definedName>
    <definedName name="BILANCI_VALUTOR" localSheetId="13">#REF!</definedName>
    <definedName name="BILANCI_VALUTOR" localSheetId="11">#REF!</definedName>
    <definedName name="BILANCI_VALUTOR" localSheetId="15">#REF!</definedName>
    <definedName name="BILANCI_VALUTOR" localSheetId="16">#REF!</definedName>
    <definedName name="BILANCI_VALUTOR" localSheetId="10">#REF!</definedName>
    <definedName name="BILANCI_VALUTOR">#REF!</definedName>
    <definedName name="codeREF_A" localSheetId="5">#REF!</definedName>
    <definedName name="codeREF_A" localSheetId="12">#REF!</definedName>
    <definedName name="codeREF_A" localSheetId="13">#REF!</definedName>
    <definedName name="codeREF_A" localSheetId="11">#REF!</definedName>
    <definedName name="codeREF_A" localSheetId="0">#REF!</definedName>
    <definedName name="codeREF_A" localSheetId="15">#REF!</definedName>
    <definedName name="codeREF_A" localSheetId="16">#REF!</definedName>
    <definedName name="codeREF_A" localSheetId="10">#REF!</definedName>
    <definedName name="codeREF_A">#REF!</definedName>
    <definedName name="codeREF_B" localSheetId="5">#REF!</definedName>
    <definedName name="codeREF_B" localSheetId="12">#REF!</definedName>
    <definedName name="codeREF_B" localSheetId="13">#REF!</definedName>
    <definedName name="codeREF_B" localSheetId="11">#REF!</definedName>
    <definedName name="codeREF_B" localSheetId="0">#REF!</definedName>
    <definedName name="codeREF_B" localSheetId="15">#REF!</definedName>
    <definedName name="codeREF_B" localSheetId="16">#REF!</definedName>
    <definedName name="codeREF_B" localSheetId="10">#REF!</definedName>
    <definedName name="codeREF_B">#REF!</definedName>
    <definedName name="_xlnm.Criteria">#REF!</definedName>
    <definedName name="_xlnm.Database">#REF!</definedName>
    <definedName name="descREF_A" localSheetId="5">#REF!</definedName>
    <definedName name="descREF_A" localSheetId="12">#REF!</definedName>
    <definedName name="descREF_A" localSheetId="13">#REF!</definedName>
    <definedName name="descREF_A" localSheetId="11">#REF!</definedName>
    <definedName name="descREF_A" localSheetId="0">#REF!</definedName>
    <definedName name="descREF_A" localSheetId="15">#REF!</definedName>
    <definedName name="descREF_A" localSheetId="16">#REF!</definedName>
    <definedName name="descREF_A" localSheetId="10">#REF!</definedName>
    <definedName name="descREF_A">#REF!</definedName>
    <definedName name="descREF_B" localSheetId="5">#REF!</definedName>
    <definedName name="descREF_B" localSheetId="12">#REF!</definedName>
    <definedName name="descREF_B" localSheetId="13">#REF!</definedName>
    <definedName name="descREF_B" localSheetId="11">#REF!</definedName>
    <definedName name="descREF_B" localSheetId="0">#REF!</definedName>
    <definedName name="descREF_B" localSheetId="15">#REF!</definedName>
    <definedName name="descREF_B" localSheetId="16">#REF!</definedName>
    <definedName name="descREF_B" localSheetId="10">#REF!</definedName>
    <definedName name="descREF_B">#REF!</definedName>
    <definedName name="DM" localSheetId="12">#REF!</definedName>
    <definedName name="DM" localSheetId="13">#REF!</definedName>
    <definedName name="DM" localSheetId="11">#REF!</definedName>
    <definedName name="DM" localSheetId="15">#REF!</definedName>
    <definedName name="DM" localSheetId="16">#REF!</definedName>
    <definedName name="DM" localSheetId="10">#REF!</definedName>
    <definedName name="DM">#REF!</definedName>
    <definedName name="DM_USD" localSheetId="12">#REF!</definedName>
    <definedName name="DM_USD" localSheetId="13">#REF!</definedName>
    <definedName name="DM_USD" localSheetId="11">#REF!</definedName>
    <definedName name="DM_USD" localSheetId="15">#REF!</definedName>
    <definedName name="DM_USD" localSheetId="16">#REF!</definedName>
    <definedName name="DM_USD" localSheetId="10">#REF!</definedName>
    <definedName name="DM_USD">#REF!</definedName>
    <definedName name="Emertimi_i_Kredive" localSheetId="12">#REF!</definedName>
    <definedName name="Emertimi_i_Kredive" localSheetId="13">#REF!</definedName>
    <definedName name="Emertimi_i_Kredive" localSheetId="11">#REF!</definedName>
    <definedName name="Emertimi_i_Kredive" localSheetId="15">#REF!</definedName>
    <definedName name="Emertimi_i_Kredive" localSheetId="16">#REF!</definedName>
    <definedName name="Emertimi_i_Kredive" localSheetId="10">#REF!</definedName>
    <definedName name="Emertimi_i_Kredive">#REF!</definedName>
    <definedName name="EmertimiKredive" localSheetId="12">#REF!</definedName>
    <definedName name="EmertimiKredive" localSheetId="13">#REF!</definedName>
    <definedName name="EmertimiKredive" localSheetId="11">#REF!</definedName>
    <definedName name="EmertimiKredive" localSheetId="15">#REF!</definedName>
    <definedName name="EmertimiKredive" localSheetId="16">#REF!</definedName>
    <definedName name="EmertimiKredive" localSheetId="10">#REF!</definedName>
    <definedName name="EmertimiKredive">#REF!</definedName>
    <definedName name="entries" localSheetId="5">#REF!</definedName>
    <definedName name="entries" localSheetId="12">#REF!</definedName>
    <definedName name="entries" localSheetId="13">#REF!</definedName>
    <definedName name="entries" localSheetId="11">#REF!</definedName>
    <definedName name="entries" localSheetId="0">#REF!</definedName>
    <definedName name="entries" localSheetId="15">#REF!</definedName>
    <definedName name="entries" localSheetId="16">#REF!</definedName>
    <definedName name="entries" localSheetId="10">#REF!</definedName>
    <definedName name="entries">#REF!</definedName>
    <definedName name="EURO" localSheetId="12">#REF!</definedName>
    <definedName name="EURO" localSheetId="13">#REF!</definedName>
    <definedName name="EURO" localSheetId="11">#REF!</definedName>
    <definedName name="EURO" localSheetId="15">#REF!</definedName>
    <definedName name="EURO" localSheetId="16">#REF!</definedName>
    <definedName name="EURO" localSheetId="10">#REF!</definedName>
    <definedName name="EURO">#REF!</definedName>
    <definedName name="Evidenca_e_Gjendjes__Perdorimit_dhe_Shlyerjeve_te_Kreditit" localSheetId="12">#REF!</definedName>
    <definedName name="Evidenca_e_Gjendjes__Perdorimit_dhe_Shlyerjeve_te_Kreditit" localSheetId="13">#REF!</definedName>
    <definedName name="Evidenca_e_Gjendjes__Perdorimit_dhe_Shlyerjeve_te_Kreditit" localSheetId="11">#REF!</definedName>
    <definedName name="Evidenca_e_Gjendjes__Perdorimit_dhe_Shlyerjeve_te_Kreditit" localSheetId="15">#REF!</definedName>
    <definedName name="Evidenca_e_Gjendjes__Perdorimit_dhe_Shlyerjeve_te_Kreditit" localSheetId="16">#REF!</definedName>
    <definedName name="Evidenca_e_Gjendjes__Perdorimit_dhe_Shlyerjeve_te_Kreditit" localSheetId="10">#REF!</definedName>
    <definedName name="Evidenca_e_Gjendjes__Perdorimit_dhe_Shlyerjeve_te_Kreditit">#REF!</definedName>
    <definedName name="_xlnm.Extract">#REF!</definedName>
    <definedName name="FONDET_E_VETA" localSheetId="12">#REF!</definedName>
    <definedName name="FONDET_E_VETA" localSheetId="13">#REF!</definedName>
    <definedName name="FONDET_E_VETA" localSheetId="11">#REF!</definedName>
    <definedName name="FONDET_E_VETA" localSheetId="15">#REF!</definedName>
    <definedName name="FONDET_E_VETA" localSheetId="16">#REF!</definedName>
    <definedName name="FONDET_E_VETA" localSheetId="10">#REF!</definedName>
    <definedName name="FONDET_E_VETA">#REF!</definedName>
    <definedName name="Formular_per_Bilancin_e_Pagesave_Nr.1" localSheetId="12">#REF!</definedName>
    <definedName name="Formular_per_Bilancin_e_Pagesave_Nr.1" localSheetId="13">#REF!</definedName>
    <definedName name="Formular_per_Bilancin_e_Pagesave_Nr.1" localSheetId="11">#REF!</definedName>
    <definedName name="Formular_per_Bilancin_e_Pagesave_Nr.1" localSheetId="15">#REF!</definedName>
    <definedName name="Formular_per_Bilancin_e_Pagesave_Nr.1" localSheetId="16">#REF!</definedName>
    <definedName name="Formular_per_Bilancin_e_Pagesave_Nr.1" localSheetId="10">#REF!</definedName>
    <definedName name="Formular_per_Bilancin_e_Pagesave_Nr.1">#REF!</definedName>
    <definedName name="foros_analogon" localSheetId="5">#REF!</definedName>
    <definedName name="foros_analogon" localSheetId="12">#REF!</definedName>
    <definedName name="foros_analogon" localSheetId="13">#REF!</definedName>
    <definedName name="foros_analogon" localSheetId="11">#REF!</definedName>
    <definedName name="foros_analogon" localSheetId="0">#REF!</definedName>
    <definedName name="foros_analogon" localSheetId="15">#REF!</definedName>
    <definedName name="foros_analogon" localSheetId="16">#REF!</definedName>
    <definedName name="foros_analogon" localSheetId="10">#REF!</definedName>
    <definedName name="foros_analogon">#REF!</definedName>
    <definedName name="foros_code" localSheetId="5">#REF!</definedName>
    <definedName name="foros_code" localSheetId="12">#REF!</definedName>
    <definedName name="foros_code" localSheetId="13">#REF!</definedName>
    <definedName name="foros_code" localSheetId="11">#REF!</definedName>
    <definedName name="foros_code" localSheetId="0">#REF!</definedName>
    <definedName name="foros_code" localSheetId="15">#REF!</definedName>
    <definedName name="foros_code" localSheetId="16">#REF!</definedName>
    <definedName name="foros_code" localSheetId="10">#REF!</definedName>
    <definedName name="foros_code">#REF!</definedName>
    <definedName name="foros_descr" localSheetId="5">#REF!</definedName>
    <definedName name="foros_descr" localSheetId="12">#REF!</definedName>
    <definedName name="foros_descr" localSheetId="13">#REF!</definedName>
    <definedName name="foros_descr" localSheetId="11">#REF!</definedName>
    <definedName name="foros_descr" localSheetId="0">#REF!</definedName>
    <definedName name="foros_descr" localSheetId="15">#REF!</definedName>
    <definedName name="foros_descr" localSheetId="16">#REF!</definedName>
    <definedName name="foros_descr" localSheetId="10">#REF!</definedName>
    <definedName name="foros_descr">#REF!</definedName>
    <definedName name="foros_diafora" localSheetId="5">#REF!</definedName>
    <definedName name="foros_diafora" localSheetId="12">#REF!</definedName>
    <definedName name="foros_diafora" localSheetId="13">#REF!</definedName>
    <definedName name="foros_diafora" localSheetId="11">#REF!</definedName>
    <definedName name="foros_diafora" localSheetId="0">#REF!</definedName>
    <definedName name="foros_diafora" localSheetId="15">#REF!</definedName>
    <definedName name="foros_diafora" localSheetId="16">#REF!</definedName>
    <definedName name="foros_diafora" localSheetId="10">#REF!</definedName>
    <definedName name="foros_diafora">#REF!</definedName>
    <definedName name="foros_diafora2" localSheetId="5">#REF!</definedName>
    <definedName name="foros_diafora2" localSheetId="12">#REF!</definedName>
    <definedName name="foros_diafora2" localSheetId="13">#REF!</definedName>
    <definedName name="foros_diafora2" localSheetId="11">#REF!</definedName>
    <definedName name="foros_diafora2" localSheetId="0">#REF!</definedName>
    <definedName name="foros_diafora2" localSheetId="15">#REF!</definedName>
    <definedName name="foros_diafora2" localSheetId="16">#REF!</definedName>
    <definedName name="foros_diafora2" localSheetId="10">#REF!</definedName>
    <definedName name="foros_diafora2">#REF!</definedName>
    <definedName name="foros_monimes" localSheetId="5">#REF!</definedName>
    <definedName name="foros_monimes" localSheetId="12">#REF!</definedName>
    <definedName name="foros_monimes" localSheetId="13">#REF!</definedName>
    <definedName name="foros_monimes" localSheetId="11">#REF!</definedName>
    <definedName name="foros_monimes" localSheetId="0">#REF!</definedName>
    <definedName name="foros_monimes" localSheetId="15">#REF!</definedName>
    <definedName name="foros_monimes" localSheetId="16">#REF!</definedName>
    <definedName name="foros_monimes" localSheetId="10">#REF!</definedName>
    <definedName name="foros_monimes">#REF!</definedName>
    <definedName name="foros_synolo" localSheetId="5">#REF!</definedName>
    <definedName name="foros_synolo" localSheetId="12">#REF!</definedName>
    <definedName name="foros_synolo" localSheetId="13">#REF!</definedName>
    <definedName name="foros_synolo" localSheetId="11">#REF!</definedName>
    <definedName name="foros_synolo" localSheetId="0">#REF!</definedName>
    <definedName name="foros_synolo" localSheetId="15">#REF!</definedName>
    <definedName name="foros_synolo" localSheetId="16">#REF!</definedName>
    <definedName name="foros_synolo" localSheetId="10">#REF!</definedName>
    <definedName name="foros_synolo">#REF!</definedName>
    <definedName name="foros_syntel" localSheetId="5">#REF!</definedName>
    <definedName name="foros_syntel" localSheetId="12">#REF!</definedName>
    <definedName name="foros_syntel" localSheetId="13">#REF!</definedName>
    <definedName name="foros_syntel" localSheetId="11">#REF!</definedName>
    <definedName name="foros_syntel" localSheetId="0">#REF!</definedName>
    <definedName name="foros_syntel" localSheetId="15">#REF!</definedName>
    <definedName name="foros_syntel" localSheetId="16">#REF!</definedName>
    <definedName name="foros_syntel" localSheetId="10">#REF!</definedName>
    <definedName name="foros_syntel">#REF!</definedName>
    <definedName name="foros_ypoloipo" localSheetId="5">#REF!</definedName>
    <definedName name="foros_ypoloipo" localSheetId="12">#REF!</definedName>
    <definedName name="foros_ypoloipo" localSheetId="13">#REF!</definedName>
    <definedName name="foros_ypoloipo" localSheetId="11">#REF!</definedName>
    <definedName name="foros_ypoloipo" localSheetId="0">#REF!</definedName>
    <definedName name="foros_ypoloipo" localSheetId="15">#REF!</definedName>
    <definedName name="foros_ypoloipo" localSheetId="16">#REF!</definedName>
    <definedName name="foros_ypoloipo" localSheetId="10">#REF!</definedName>
    <definedName name="foros_ypoloipo">#REF!</definedName>
    <definedName name="GRD_per_100" localSheetId="12">#REF!</definedName>
    <definedName name="GRD_per_100" localSheetId="13">#REF!</definedName>
    <definedName name="GRD_per_100" localSheetId="11">#REF!</definedName>
    <definedName name="GRD_per_100" localSheetId="15">#REF!</definedName>
    <definedName name="GRD_per_100" localSheetId="16">#REF!</definedName>
    <definedName name="GRD_per_100" localSheetId="10">#REF!</definedName>
    <definedName name="GRD_per_100">#REF!</definedName>
    <definedName name="GRD_USD" localSheetId="12">#REF!</definedName>
    <definedName name="GRD_USD" localSheetId="13">#REF!</definedName>
    <definedName name="GRD_USD" localSheetId="11">#REF!</definedName>
    <definedName name="GRD_USD" localSheetId="15">#REF!</definedName>
    <definedName name="GRD_USD" localSheetId="16">#REF!</definedName>
    <definedName name="GRD_USD" localSheetId="10">#REF!</definedName>
    <definedName name="GRD_USD">#REF!</definedName>
    <definedName name="i" localSheetId="12">#REF!</definedName>
    <definedName name="i" localSheetId="13">#REF!</definedName>
    <definedName name="i" localSheetId="11">#REF!</definedName>
    <definedName name="i" localSheetId="15">#REF!</definedName>
    <definedName name="i" localSheetId="16">#REF!</definedName>
    <definedName name="i" localSheetId="10">#REF!</definedName>
    <definedName name="i">#REF!</definedName>
    <definedName name="ITL_per_1000" localSheetId="12">#REF!</definedName>
    <definedName name="ITL_per_1000" localSheetId="13">#REF!</definedName>
    <definedName name="ITL_per_1000" localSheetId="11">#REF!</definedName>
    <definedName name="ITL_per_1000" localSheetId="15">#REF!</definedName>
    <definedName name="ITL_per_1000" localSheetId="16">#REF!</definedName>
    <definedName name="ITL_per_1000" localSheetId="10">#REF!</definedName>
    <definedName name="ITL_per_1000">#REF!</definedName>
    <definedName name="ITL_USD" localSheetId="12">#REF!</definedName>
    <definedName name="ITL_USD" localSheetId="13">#REF!</definedName>
    <definedName name="ITL_USD" localSheetId="11">#REF!</definedName>
    <definedName name="ITL_USD" localSheetId="15">#REF!</definedName>
    <definedName name="ITL_USD" localSheetId="16">#REF!</definedName>
    <definedName name="ITL_USD" localSheetId="10">#REF!</definedName>
    <definedName name="ITL_USD">#REF!</definedName>
    <definedName name="k" localSheetId="5">[1]Parameters!$F$28</definedName>
    <definedName name="k">[1]Parameters!$F$28</definedName>
    <definedName name="KORREKTIMI_I_ZERAVE_JASHTE_BILANCIT" localSheetId="12">#REF!</definedName>
    <definedName name="KORREKTIMI_I_ZERAVE_JASHTE_BILANCIT" localSheetId="13">#REF!</definedName>
    <definedName name="KORREKTIMI_I_ZERAVE_JASHTE_BILANCIT" localSheetId="11">#REF!</definedName>
    <definedName name="KORREKTIMI_I_ZERAVE_JASHTE_BILANCIT" localSheetId="15">#REF!</definedName>
    <definedName name="KORREKTIMI_I_ZERAVE_JASHTE_BILANCIT" localSheetId="16">#REF!</definedName>
    <definedName name="KORREKTIMI_I_ZERAVE_JASHTE_BILANCIT" localSheetId="10">#REF!</definedName>
    <definedName name="KORREKTIMI_I_ZERAVE_JASHTE_BILANCIT">#REF!</definedName>
    <definedName name="Kredia_e_dhene_sipas_degeve_te_ekonomise" localSheetId="12">#REF!</definedName>
    <definedName name="Kredia_e_dhene_sipas_degeve_te_ekonomise" localSheetId="13">#REF!</definedName>
    <definedName name="Kredia_e_dhene_sipas_degeve_te_ekonomise" localSheetId="11">#REF!</definedName>
    <definedName name="Kredia_e_dhene_sipas_degeve_te_ekonomise" localSheetId="15">#REF!</definedName>
    <definedName name="Kredia_e_dhene_sipas_degeve_te_ekonomise" localSheetId="16">#REF!</definedName>
    <definedName name="Kredia_e_dhene_sipas_degeve_te_ekonomise" localSheetId="10">#REF!</definedName>
    <definedName name="Kredia_e_dhene_sipas_degeve_te_ekonomise">#REF!</definedName>
    <definedName name="Liabilities" localSheetId="12">#REF!</definedName>
    <definedName name="Liabilities" localSheetId="13">#REF!</definedName>
    <definedName name="Liabilities" localSheetId="11">#REF!</definedName>
    <definedName name="Liabilities" localSheetId="15">#REF!</definedName>
    <definedName name="Liabilities" localSheetId="16">#REF!</definedName>
    <definedName name="Liabilities" localSheetId="10">#REF!</definedName>
    <definedName name="Liabilities">#REF!</definedName>
    <definedName name="Normat_Mesatare_Mujore_te_Interesave_per_pranim_Depozite_dhe_Dhenie_Kredie" localSheetId="12">#REF!</definedName>
    <definedName name="Normat_Mesatare_Mujore_te_Interesave_per_pranim_Depozite_dhe_Dhenie_Kredie" localSheetId="13">#REF!</definedName>
    <definedName name="Normat_Mesatare_Mujore_te_Interesave_per_pranim_Depozite_dhe_Dhenie_Kredie" localSheetId="11">#REF!</definedName>
    <definedName name="Normat_Mesatare_Mujore_te_Interesave_per_pranim_Depozite_dhe_Dhenie_Kredie" localSheetId="15">#REF!</definedName>
    <definedName name="Normat_Mesatare_Mujore_te_Interesave_per_pranim_Depozite_dhe_Dhenie_Kredie" localSheetId="16">#REF!</definedName>
    <definedName name="Normat_Mesatare_Mujore_te_Interesave_per_pranim_Depozite_dhe_Dhenie_Kredie" localSheetId="10">#REF!</definedName>
    <definedName name="Normat_Mesatare_Mujore_te_Interesave_per_pranim_Depozite_dhe_Dhenie_Kredie">#REF!</definedName>
    <definedName name="perigrafi_code" localSheetId="5">#REF!</definedName>
    <definedName name="perigrafi_code" localSheetId="12">#REF!</definedName>
    <definedName name="perigrafi_code" localSheetId="13">#REF!</definedName>
    <definedName name="perigrafi_code" localSheetId="11">#REF!</definedName>
    <definedName name="perigrafi_code" localSheetId="0">#REF!</definedName>
    <definedName name="perigrafi_code" localSheetId="15">#REF!</definedName>
    <definedName name="perigrafi_code" localSheetId="16">#REF!</definedName>
    <definedName name="perigrafi_code" localSheetId="10">#REF!</definedName>
    <definedName name="perigrafi_code">#REF!</definedName>
    <definedName name="posoREF_A" localSheetId="5">#REF!</definedName>
    <definedName name="posoREF_A" localSheetId="12">#REF!</definedName>
    <definedName name="posoREF_A" localSheetId="13">#REF!</definedName>
    <definedName name="posoREF_A" localSheetId="11">#REF!</definedName>
    <definedName name="posoREF_A" localSheetId="0">#REF!</definedName>
    <definedName name="posoREF_A" localSheetId="15">#REF!</definedName>
    <definedName name="posoREF_A" localSheetId="16">#REF!</definedName>
    <definedName name="posoREF_A" localSheetId="10">#REF!</definedName>
    <definedName name="posoREF_A">#REF!</definedName>
    <definedName name="posoREF_B" localSheetId="5">#REF!</definedName>
    <definedName name="posoREF_B" localSheetId="12">#REF!</definedName>
    <definedName name="posoREF_B" localSheetId="13">#REF!</definedName>
    <definedName name="posoREF_B" localSheetId="11">#REF!</definedName>
    <definedName name="posoREF_B" localSheetId="0">#REF!</definedName>
    <definedName name="posoREF_B" localSheetId="15">#REF!</definedName>
    <definedName name="posoREF_B" localSheetId="16">#REF!</definedName>
    <definedName name="posoREF_B" localSheetId="10">#REF!</definedName>
    <definedName name="posoREF_B">#REF!</definedName>
    <definedName name="_xlnm.Print_Area" localSheetId="14">AL_TB!$N$2</definedName>
    <definedName name="_xlnm.Print_Area" localSheetId="5">CFS!$B$1:$H$40</definedName>
    <definedName name="_xlnm.Print_Area" localSheetId="12">'FS KS'!$B$1:$K$88</definedName>
    <definedName name="_xlnm.Print_Area" localSheetId="13">'FS MK'!$B$1:$K$88</definedName>
    <definedName name="_xlnm.Print_Area" localSheetId="11">'FS TCH AL'!$B$1:$K$88</definedName>
    <definedName name="_xlnm.Print_Area" localSheetId="6">'I- Tatim Fitimi'!$B$1:$G$44</definedName>
    <definedName name="_xlnm.Print_Area" localSheetId="8">'III-Huate dhe OD'!$B$1:$I$56</definedName>
    <definedName name="_xlnm.Print_Area" localSheetId="7">'II-Shenimet'!$B$1:$H$285</definedName>
    <definedName name="_xlnm.Print_Area" localSheetId="15">KS_TB!$P$2</definedName>
    <definedName name="_xlnm.Print_Area" localSheetId="16">MK_TB!$P$2</definedName>
    <definedName name="_xlnm.Print_Area" localSheetId="9">'Tabela Levizjeve AAM-ve'!$A$1:$K$85</definedName>
    <definedName name="_xlnm.Print_Area" localSheetId="10">'Transition Consolidated FS'!$B$1:$I$74</definedName>
    <definedName name="_xlnm.Print_Titles" localSheetId="7">'II-Shenimet'!$1:$5</definedName>
    <definedName name="PROVA" localSheetId="4">#REF!</definedName>
    <definedName name="PROVA">#REF!</definedName>
    <definedName name="RAPORTET_E_MJAFTUESHMERISE_SE_KAPITALIT" localSheetId="12">#REF!</definedName>
    <definedName name="RAPORTET_E_MJAFTUESHMERISE_SE_KAPITALIT" localSheetId="13">#REF!</definedName>
    <definedName name="RAPORTET_E_MJAFTUESHMERISE_SE_KAPITALIT" localSheetId="11">#REF!</definedName>
    <definedName name="RAPORTET_E_MJAFTUESHMERISE_SE_KAPITALIT" localSheetId="15">#REF!</definedName>
    <definedName name="RAPORTET_E_MJAFTUESHMERISE_SE_KAPITALIT" localSheetId="16">#REF!</definedName>
    <definedName name="RAPORTET_E_MJAFTUESHMERISE_SE_KAPITALIT" localSheetId="10">#REF!</definedName>
    <definedName name="RAPORTET_E_MJAFTUESHMERISE_SE_KAPITALIT">#REF!</definedName>
    <definedName name="tbl_TemplateDetaje">#REF!</definedName>
    <definedName name="Te_dhena_mbi_kredine_e_dhene_dhe_depozitat_e_Individeve" localSheetId="12">#REF!</definedName>
    <definedName name="Te_dhena_mbi_kredine_e_dhene_dhe_depozitat_e_Individeve" localSheetId="13">#REF!</definedName>
    <definedName name="Te_dhena_mbi_kredine_e_dhene_dhe_depozitat_e_Individeve" localSheetId="11">#REF!</definedName>
    <definedName name="Te_dhena_mbi_kredine_e_dhene_dhe_depozitat_e_Individeve" localSheetId="15">#REF!</definedName>
    <definedName name="Te_dhena_mbi_kredine_e_dhene_dhe_depozitat_e_Individeve" localSheetId="16">#REF!</definedName>
    <definedName name="Te_dhena_mbi_kredine_e_dhene_dhe_depozitat_e_Individeve" localSheetId="10">#REF!</definedName>
    <definedName name="Te_dhena_mbi_kredine_e_dhene_dhe_depozitat_e_Individeve">#REF!</definedName>
    <definedName name="Total_Assets_DM" localSheetId="12">#REF!</definedName>
    <definedName name="Total_Assets_DM" localSheetId="13">#REF!</definedName>
    <definedName name="Total_Assets_DM" localSheetId="11">#REF!</definedName>
    <definedName name="Total_Assets_DM" localSheetId="15">#REF!</definedName>
    <definedName name="Total_Assets_DM" localSheetId="16">#REF!</definedName>
    <definedName name="Total_Assets_DM" localSheetId="10">#REF!</definedName>
    <definedName name="Total_Assets_DM">#REF!</definedName>
    <definedName name="Total_Assets_GRD" localSheetId="12">#REF!</definedName>
    <definedName name="Total_Assets_GRD" localSheetId="13">#REF!</definedName>
    <definedName name="Total_Assets_GRD" localSheetId="11">#REF!</definedName>
    <definedName name="Total_Assets_GRD" localSheetId="15">#REF!</definedName>
    <definedName name="Total_Assets_GRD" localSheetId="16">#REF!</definedName>
    <definedName name="Total_Assets_GRD" localSheetId="10">#REF!</definedName>
    <definedName name="Total_Assets_GRD">#REF!</definedName>
    <definedName name="Total_Assets_ITL" localSheetId="12">#REF!</definedName>
    <definedName name="Total_Assets_ITL" localSheetId="13">#REF!</definedName>
    <definedName name="Total_Assets_ITL" localSheetId="11">#REF!</definedName>
    <definedName name="Total_Assets_ITL" localSheetId="15">#REF!</definedName>
    <definedName name="Total_Assets_ITL" localSheetId="16">#REF!</definedName>
    <definedName name="Total_Assets_ITL" localSheetId="10">#REF!</definedName>
    <definedName name="Total_Assets_ITL">#REF!</definedName>
    <definedName name="Total_Assets_leke" localSheetId="12">#REF!</definedName>
    <definedName name="Total_Assets_leke" localSheetId="13">#REF!</definedName>
    <definedName name="Total_Assets_leke" localSheetId="11">#REF!</definedName>
    <definedName name="Total_Assets_leke" localSheetId="15">#REF!</definedName>
    <definedName name="Total_Assets_leke" localSheetId="16">#REF!</definedName>
    <definedName name="Total_Assets_leke" localSheetId="10">#REF!</definedName>
    <definedName name="Total_Assets_leke">#REF!</definedName>
    <definedName name="Total_Assets_USD" localSheetId="12">#REF!</definedName>
    <definedName name="Total_Assets_USD" localSheetId="13">#REF!</definedName>
    <definedName name="Total_Assets_USD" localSheetId="11">#REF!</definedName>
    <definedName name="Total_Assets_USD" localSheetId="15">#REF!</definedName>
    <definedName name="Total_Assets_USD" localSheetId="16">#REF!</definedName>
    <definedName name="Total_Assets_USD" localSheetId="10">#REF!</definedName>
    <definedName name="Total_Assets_USD">#REF!</definedName>
    <definedName name="Total_Expenses" localSheetId="12">#REF!</definedName>
    <definedName name="Total_Expenses" localSheetId="13">#REF!</definedName>
    <definedName name="Total_Expenses" localSheetId="11">#REF!</definedName>
    <definedName name="Total_Expenses" localSheetId="15">#REF!</definedName>
    <definedName name="Total_Expenses" localSheetId="16">#REF!</definedName>
    <definedName name="Total_Expenses" localSheetId="10">#REF!</definedName>
    <definedName name="Total_Expenses">#REF!</definedName>
    <definedName name="Total_Income" localSheetId="12">#REF!</definedName>
    <definedName name="Total_Income" localSheetId="13">#REF!</definedName>
    <definedName name="Total_Income" localSheetId="11">#REF!</definedName>
    <definedName name="Total_Income" localSheetId="15">#REF!</definedName>
    <definedName name="Total_Income" localSheetId="16">#REF!</definedName>
    <definedName name="Total_Income" localSheetId="10">#REF!</definedName>
    <definedName name="Total_Income">#REF!</definedName>
    <definedName name="Total_Liabil_DM" localSheetId="12">#REF!</definedName>
    <definedName name="Total_Liabil_DM" localSheetId="13">#REF!</definedName>
    <definedName name="Total_Liabil_DM" localSheetId="11">#REF!</definedName>
    <definedName name="Total_Liabil_DM" localSheetId="15">#REF!</definedName>
    <definedName name="Total_Liabil_DM" localSheetId="16">#REF!</definedName>
    <definedName name="Total_Liabil_DM" localSheetId="10">#REF!</definedName>
    <definedName name="Total_Liabil_DM">#REF!</definedName>
    <definedName name="Total_Liabil_GDR" localSheetId="12">#REF!</definedName>
    <definedName name="Total_Liabil_GDR" localSheetId="13">#REF!</definedName>
    <definedName name="Total_Liabil_GDR" localSheetId="11">#REF!</definedName>
    <definedName name="Total_Liabil_GDR" localSheetId="15">#REF!</definedName>
    <definedName name="Total_Liabil_GDR" localSheetId="16">#REF!</definedName>
    <definedName name="Total_Liabil_GDR" localSheetId="10">#REF!</definedName>
    <definedName name="Total_Liabil_GDR">#REF!</definedName>
    <definedName name="Total_Liabil_ITL" localSheetId="12">#REF!</definedName>
    <definedName name="Total_Liabil_ITL" localSheetId="13">#REF!</definedName>
    <definedName name="Total_Liabil_ITL" localSheetId="11">#REF!</definedName>
    <definedName name="Total_Liabil_ITL" localSheetId="15">#REF!</definedName>
    <definedName name="Total_Liabil_ITL" localSheetId="16">#REF!</definedName>
    <definedName name="Total_Liabil_ITL" localSheetId="10">#REF!</definedName>
    <definedName name="Total_Liabil_ITL">#REF!</definedName>
    <definedName name="Total_Liabil_USD" localSheetId="12">#REF!</definedName>
    <definedName name="Total_Liabil_USD" localSheetId="13">#REF!</definedName>
    <definedName name="Total_Liabil_USD" localSheetId="11">#REF!</definedName>
    <definedName name="Total_Liabil_USD" localSheetId="15">#REF!</definedName>
    <definedName name="Total_Liabil_USD" localSheetId="16">#REF!</definedName>
    <definedName name="Total_Liabil_USD" localSheetId="10">#REF!</definedName>
    <definedName name="Total_Liabil_USD">#REF!</definedName>
    <definedName name="Trial_Balance_as_on_28_February_1998" localSheetId="12">#REF!</definedName>
    <definedName name="Trial_Balance_as_on_28_February_1998" localSheetId="13">#REF!</definedName>
    <definedName name="Trial_Balance_as_on_28_February_1998" localSheetId="11">#REF!</definedName>
    <definedName name="Trial_Balance_as_on_28_February_1998" localSheetId="15">#REF!</definedName>
    <definedName name="Trial_Balance_as_on_28_February_1998" localSheetId="16">#REF!</definedName>
    <definedName name="Trial_Balance_as_on_28_February_1998" localSheetId="10">#REF!</definedName>
    <definedName name="Trial_Balance_as_on_28_February_1998">#REF!</definedName>
    <definedName name="Trial_Balance_as_on_31_March_1998" localSheetId="12">#REF!</definedName>
    <definedName name="Trial_Balance_as_on_31_March_1998" localSheetId="13">#REF!</definedName>
    <definedName name="Trial_Balance_as_on_31_March_1998" localSheetId="11">#REF!</definedName>
    <definedName name="Trial_Balance_as_on_31_March_1998" localSheetId="15">#REF!</definedName>
    <definedName name="Trial_Balance_as_on_31_March_1998" localSheetId="16">#REF!</definedName>
    <definedName name="Trial_Balance_as_on_31_March_1998" localSheetId="10">#REF!</definedName>
    <definedName name="Trial_Balance_as_on_31_March_1998">#REF!</definedName>
    <definedName name="USD" localSheetId="12">#REF!</definedName>
    <definedName name="USD" localSheetId="13">#REF!</definedName>
    <definedName name="USD" localSheetId="11">#REF!</definedName>
    <definedName name="USD" localSheetId="15">#REF!</definedName>
    <definedName name="USD" localSheetId="16">#REF!</definedName>
    <definedName name="USD" localSheetId="10">#REF!</definedName>
    <definedName name="USD">#REF!</definedName>
    <definedName name="USD_USD" localSheetId="12">#REF!</definedName>
    <definedName name="USD_USD" localSheetId="13">#REF!</definedName>
    <definedName name="USD_USD" localSheetId="11">#REF!</definedName>
    <definedName name="USD_USD" localSheetId="15">#REF!</definedName>
    <definedName name="USD_USD" localSheetId="16">#REF!</definedName>
    <definedName name="USD_USD" localSheetId="10">#REF!</definedName>
    <definedName name="USD_USD">#REF!</definedName>
    <definedName name="xe110soc" localSheetId="5">#REF!</definedName>
    <definedName name="xe110soc" localSheetId="12">#REF!</definedName>
    <definedName name="xe110soc" localSheetId="13">#REF!</definedName>
    <definedName name="xe110soc" localSheetId="11">#REF!</definedName>
    <definedName name="xe110soc" localSheetId="0">#REF!</definedName>
    <definedName name="xe110soc" localSheetId="15">#REF!</definedName>
    <definedName name="xe110soc" localSheetId="16">#REF!</definedName>
    <definedName name="xe110soc" localSheetId="10">#REF!</definedName>
    <definedName name="xe110soc">#REF!</definedName>
    <definedName name="xe180soc" localSheetId="5">#REF!</definedName>
    <definedName name="xe180soc" localSheetId="12">#REF!</definedName>
    <definedName name="xe180soc" localSheetId="13">#REF!</definedName>
    <definedName name="xe180soc" localSheetId="11">#REF!</definedName>
    <definedName name="xe180soc" localSheetId="0">#REF!</definedName>
    <definedName name="xe180soc" localSheetId="15">#REF!</definedName>
    <definedName name="xe180soc" localSheetId="16">#REF!</definedName>
    <definedName name="xe180soc" localSheetId="10">#REF!</definedName>
    <definedName name="xe180soc">#REF!</definedName>
    <definedName name="Z_A3DD6795_204F_469B_9742_DA2CDB22F75A_.wvu.PrintArea" localSheetId="7" hidden="1">'II-Shenimet'!$B$33:$H$96</definedName>
    <definedName name="Zerat_e_aktivit" localSheetId="12">#REF!</definedName>
    <definedName name="Zerat_e_aktivit" localSheetId="13">#REF!</definedName>
    <definedName name="Zerat_e_aktivit" localSheetId="11">#REF!</definedName>
    <definedName name="Zerat_e_aktivit" localSheetId="15">#REF!</definedName>
    <definedName name="Zerat_e_aktivit" localSheetId="16">#REF!</definedName>
    <definedName name="Zerat_e_aktivit" localSheetId="10">#REF!</definedName>
    <definedName name="Zerat_e_aktivit">#REF!</definedName>
    <definedName name="Zerat_e_shpenzimeve" localSheetId="12">#REF!</definedName>
    <definedName name="Zerat_e_shpenzimeve" localSheetId="13">#REF!</definedName>
    <definedName name="Zerat_e_shpenzimeve" localSheetId="11">#REF!</definedName>
    <definedName name="Zerat_e_shpenzimeve" localSheetId="15">#REF!</definedName>
    <definedName name="Zerat_e_shpenzimeve" localSheetId="16">#REF!</definedName>
    <definedName name="Zerat_e_shpenzimeve" localSheetId="10">#REF!</definedName>
    <definedName name="Zerat_e_shpenzimeve">#REF!</definedName>
    <definedName name="Zerat_e_te_ardhurave" localSheetId="12">#REF!</definedName>
    <definedName name="Zerat_e_te_ardhurave" localSheetId="13">#REF!</definedName>
    <definedName name="Zerat_e_te_ardhurave" localSheetId="11">#REF!</definedName>
    <definedName name="Zerat_e_te_ardhurave" localSheetId="15">#REF!</definedName>
    <definedName name="Zerat_e_te_ardhurave" localSheetId="16">#REF!</definedName>
    <definedName name="Zerat_e_te_ardhurave" localSheetId="10">#REF!</definedName>
    <definedName name="Zerat_e_te_ardhurave">#REF!</definedName>
  </definedNames>
  <calcPr calcId="124519" fullCalcOnLoad="1"/>
</workbook>
</file>

<file path=xl/calcChain.xml><?xml version="1.0" encoding="utf-8"?>
<calcChain xmlns="http://schemas.openxmlformats.org/spreadsheetml/2006/main">
  <c r="N61" i="2"/>
  <c r="K344" i="57"/>
  <c r="K344" i="58"/>
  <c r="H12" i="45"/>
  <c r="H20"/>
  <c r="H21"/>
  <c r="H22"/>
  <c r="H30"/>
  <c r="H31"/>
  <c r="H32"/>
  <c r="H33"/>
  <c r="H34"/>
  <c r="H40"/>
  <c r="F17" i="46"/>
  <c r="G193" i="63"/>
  <c r="M140" i="58"/>
  <c r="L2"/>
  <c r="K174" i="18"/>
  <c r="G373" i="2"/>
  <c r="G448"/>
  <c r="I373"/>
  <c r="I448"/>
  <c r="K222" i="18"/>
  <c r="K5" i="2"/>
  <c r="K198"/>
  <c r="K37" i="21"/>
  <c r="E37" s="1"/>
  <c r="K197" i="2"/>
  <c r="K38" i="21"/>
  <c r="E38" s="1"/>
  <c r="K77" i="64"/>
  <c r="K75"/>
  <c r="F73"/>
  <c r="E73"/>
  <c r="I72"/>
  <c r="H72"/>
  <c r="G72"/>
  <c r="F72"/>
  <c r="E72"/>
  <c r="D72"/>
  <c r="C72"/>
  <c r="K70"/>
  <c r="K68"/>
  <c r="J66"/>
  <c r="I66"/>
  <c r="H66"/>
  <c r="G66"/>
  <c r="F66"/>
  <c r="E66"/>
  <c r="D66"/>
  <c r="C66"/>
  <c r="J65"/>
  <c r="I65"/>
  <c r="H65"/>
  <c r="G65"/>
  <c r="F65"/>
  <c r="E65"/>
  <c r="D65"/>
  <c r="C65"/>
  <c r="K63"/>
  <c r="K57"/>
  <c r="J55"/>
  <c r="I55"/>
  <c r="H55"/>
  <c r="G55"/>
  <c r="D55"/>
  <c r="C55"/>
  <c r="J54"/>
  <c r="K52"/>
  <c r="J51"/>
  <c r="J53"/>
  <c r="J58"/>
  <c r="K50"/>
  <c r="J48"/>
  <c r="K45"/>
  <c r="J44"/>
  <c r="K35"/>
  <c r="F33"/>
  <c r="F55"/>
  <c r="E33"/>
  <c r="K33"/>
  <c r="I32"/>
  <c r="I54"/>
  <c r="H32"/>
  <c r="H54"/>
  <c r="G32"/>
  <c r="G54"/>
  <c r="F32"/>
  <c r="F54"/>
  <c r="E32"/>
  <c r="E54"/>
  <c r="D32"/>
  <c r="D54"/>
  <c r="C32"/>
  <c r="C54"/>
  <c r="J31"/>
  <c r="J34"/>
  <c r="K30"/>
  <c r="I29"/>
  <c r="I51"/>
  <c r="I53"/>
  <c r="H29"/>
  <c r="H31"/>
  <c r="G29"/>
  <c r="F29"/>
  <c r="F31"/>
  <c r="E29"/>
  <c r="E51"/>
  <c r="E53"/>
  <c r="D29"/>
  <c r="D51"/>
  <c r="D53"/>
  <c r="C29"/>
  <c r="K28"/>
  <c r="I26"/>
  <c r="I48"/>
  <c r="H26"/>
  <c r="H48"/>
  <c r="G26"/>
  <c r="G48"/>
  <c r="F26"/>
  <c r="F48"/>
  <c r="E26"/>
  <c r="E48"/>
  <c r="D26"/>
  <c r="D48"/>
  <c r="C26"/>
  <c r="C48"/>
  <c r="J25"/>
  <c r="J47"/>
  <c r="I25"/>
  <c r="I47"/>
  <c r="H25"/>
  <c r="H47"/>
  <c r="G25"/>
  <c r="G47"/>
  <c r="F25"/>
  <c r="F47"/>
  <c r="E25"/>
  <c r="E47"/>
  <c r="D25"/>
  <c r="D47"/>
  <c r="C25"/>
  <c r="C47"/>
  <c r="K23"/>
  <c r="I22"/>
  <c r="I44"/>
  <c r="I46"/>
  <c r="H22"/>
  <c r="H24"/>
  <c r="H36"/>
  <c r="G22"/>
  <c r="G24"/>
  <c r="F22"/>
  <c r="F24"/>
  <c r="E22"/>
  <c r="E44"/>
  <c r="E46"/>
  <c r="D22"/>
  <c r="D24"/>
  <c r="C22"/>
  <c r="C24"/>
  <c r="K17"/>
  <c r="D15"/>
  <c r="K15"/>
  <c r="I14"/>
  <c r="H14"/>
  <c r="G14"/>
  <c r="F14"/>
  <c r="E14"/>
  <c r="D14"/>
  <c r="C14"/>
  <c r="J13"/>
  <c r="J16"/>
  <c r="K12"/>
  <c r="I11"/>
  <c r="I13"/>
  <c r="H11"/>
  <c r="H13"/>
  <c r="G11"/>
  <c r="G13"/>
  <c r="F11"/>
  <c r="F13"/>
  <c r="E11"/>
  <c r="E13"/>
  <c r="D11"/>
  <c r="D13"/>
  <c r="C11"/>
  <c r="K10"/>
  <c r="J9"/>
  <c r="I8"/>
  <c r="K8"/>
  <c r="I7"/>
  <c r="H7"/>
  <c r="G7"/>
  <c r="F7"/>
  <c r="E7"/>
  <c r="D7"/>
  <c r="C7"/>
  <c r="K5"/>
  <c r="I4"/>
  <c r="I6"/>
  <c r="H4"/>
  <c r="H6"/>
  <c r="G4"/>
  <c r="G6"/>
  <c r="F4"/>
  <c r="F6"/>
  <c r="E4"/>
  <c r="E6"/>
  <c r="E9"/>
  <c r="D4"/>
  <c r="D6"/>
  <c r="C4"/>
  <c r="C6"/>
  <c r="K24" i="48"/>
  <c r="K169" i="18"/>
  <c r="J19" i="64"/>
  <c r="H34"/>
  <c r="K73"/>
  <c r="D56"/>
  <c r="D69"/>
  <c r="D71"/>
  <c r="D74"/>
  <c r="H16"/>
  <c r="K66"/>
  <c r="I31"/>
  <c r="I34"/>
  <c r="D16"/>
  <c r="E16"/>
  <c r="E19"/>
  <c r="F16"/>
  <c r="C27"/>
  <c r="E24"/>
  <c r="F34"/>
  <c r="I56"/>
  <c r="I69"/>
  <c r="I71"/>
  <c r="I74"/>
  <c r="H51"/>
  <c r="H53"/>
  <c r="H56"/>
  <c r="H69"/>
  <c r="H71"/>
  <c r="H74"/>
  <c r="G9"/>
  <c r="G18"/>
  <c r="I16"/>
  <c r="C44"/>
  <c r="C46"/>
  <c r="C49"/>
  <c r="D31"/>
  <c r="D34"/>
  <c r="F44"/>
  <c r="F46"/>
  <c r="F49"/>
  <c r="F62"/>
  <c r="F64"/>
  <c r="K11"/>
  <c r="K14"/>
  <c r="I24"/>
  <c r="J49"/>
  <c r="J62"/>
  <c r="J64"/>
  <c r="J27"/>
  <c r="J37"/>
  <c r="E31"/>
  <c r="E34"/>
  <c r="G44"/>
  <c r="G46"/>
  <c r="G49"/>
  <c r="K29"/>
  <c r="J36"/>
  <c r="F51"/>
  <c r="F53"/>
  <c r="F56"/>
  <c r="F69"/>
  <c r="F71"/>
  <c r="F74"/>
  <c r="F18"/>
  <c r="K7"/>
  <c r="K48"/>
  <c r="D18"/>
  <c r="D9"/>
  <c r="D19"/>
  <c r="H18"/>
  <c r="H9"/>
  <c r="K54"/>
  <c r="I18"/>
  <c r="I9"/>
  <c r="E49"/>
  <c r="E58"/>
  <c r="I49"/>
  <c r="I58"/>
  <c r="F36"/>
  <c r="F27"/>
  <c r="G27"/>
  <c r="K4"/>
  <c r="C9"/>
  <c r="E55"/>
  <c r="E56"/>
  <c r="E69"/>
  <c r="E71"/>
  <c r="K6"/>
  <c r="E18"/>
  <c r="J18"/>
  <c r="K22"/>
  <c r="K47"/>
  <c r="K25"/>
  <c r="K26"/>
  <c r="H27"/>
  <c r="H37"/>
  <c r="C51"/>
  <c r="C31"/>
  <c r="C36"/>
  <c r="G51"/>
  <c r="G53"/>
  <c r="G56"/>
  <c r="G69"/>
  <c r="G71"/>
  <c r="G74"/>
  <c r="G31"/>
  <c r="G34"/>
  <c r="K32"/>
  <c r="H44"/>
  <c r="H46"/>
  <c r="J56"/>
  <c r="J69"/>
  <c r="J71"/>
  <c r="J74"/>
  <c r="F9"/>
  <c r="D27"/>
  <c r="D44"/>
  <c r="K65"/>
  <c r="K72"/>
  <c r="G16"/>
  <c r="C13"/>
  <c r="H19"/>
  <c r="I36"/>
  <c r="E36"/>
  <c r="I27"/>
  <c r="I37"/>
  <c r="F37"/>
  <c r="F58"/>
  <c r="F59"/>
  <c r="I19"/>
  <c r="F19"/>
  <c r="E27"/>
  <c r="E37"/>
  <c r="G58"/>
  <c r="K55"/>
  <c r="D37"/>
  <c r="D36"/>
  <c r="G19"/>
  <c r="K24"/>
  <c r="G36"/>
  <c r="D46"/>
  <c r="K44"/>
  <c r="K51"/>
  <c r="C53"/>
  <c r="E74"/>
  <c r="J76"/>
  <c r="J67"/>
  <c r="E59"/>
  <c r="E62"/>
  <c r="E64"/>
  <c r="E76"/>
  <c r="K9"/>
  <c r="G37"/>
  <c r="F76"/>
  <c r="F67"/>
  <c r="F78"/>
  <c r="C62"/>
  <c r="I59"/>
  <c r="I62"/>
  <c r="I64"/>
  <c r="C16"/>
  <c r="K16"/>
  <c r="K13"/>
  <c r="C18"/>
  <c r="K18"/>
  <c r="H58"/>
  <c r="H49"/>
  <c r="C34"/>
  <c r="K31"/>
  <c r="G62"/>
  <c r="G64"/>
  <c r="G59"/>
  <c r="J59"/>
  <c r="K36"/>
  <c r="K27"/>
  <c r="H62"/>
  <c r="H64"/>
  <c r="H59"/>
  <c r="G76"/>
  <c r="G67"/>
  <c r="G78"/>
  <c r="I76"/>
  <c r="I67"/>
  <c r="I78"/>
  <c r="C64"/>
  <c r="E67"/>
  <c r="E78"/>
  <c r="D58"/>
  <c r="D49"/>
  <c r="K46"/>
  <c r="K34"/>
  <c r="C37"/>
  <c r="K37"/>
  <c r="C19"/>
  <c r="K19"/>
  <c r="J78"/>
  <c r="C56"/>
  <c r="K53"/>
  <c r="C58"/>
  <c r="K58"/>
  <c r="C69"/>
  <c r="K56"/>
  <c r="C59"/>
  <c r="C67"/>
  <c r="D62"/>
  <c r="D59"/>
  <c r="K49"/>
  <c r="H76"/>
  <c r="H67"/>
  <c r="H78"/>
  <c r="K59"/>
  <c r="D64"/>
  <c r="K62"/>
  <c r="C71"/>
  <c r="K69"/>
  <c r="C74"/>
  <c r="K71"/>
  <c r="C76"/>
  <c r="D76"/>
  <c r="D67"/>
  <c r="K64"/>
  <c r="K76"/>
  <c r="D78"/>
  <c r="K67"/>
  <c r="K74"/>
  <c r="C78"/>
  <c r="K78"/>
  <c r="K477" i="2"/>
  <c r="C24" i="25"/>
  <c r="C23"/>
  <c r="C21"/>
  <c r="G187" i="63"/>
  <c r="G190"/>
  <c r="G136"/>
  <c r="B2" i="21"/>
  <c r="K179" i="2"/>
  <c r="K179" i="18"/>
  <c r="K177"/>
  <c r="C26" i="25"/>
  <c r="K476" i="2"/>
  <c r="K474"/>
  <c r="K475"/>
  <c r="J30" i="48"/>
  <c r="J29"/>
  <c r="J27"/>
  <c r="I26"/>
  <c r="J26"/>
  <c r="J23"/>
  <c r="J22"/>
  <c r="I21"/>
  <c r="J21"/>
  <c r="J20"/>
  <c r="I19"/>
  <c r="J19"/>
  <c r="E17"/>
  <c r="E24"/>
  <c r="E31"/>
  <c r="D17"/>
  <c r="D24"/>
  <c r="D31"/>
  <c r="I14"/>
  <c r="I17"/>
  <c r="G14"/>
  <c r="G17"/>
  <c r="G24"/>
  <c r="G31"/>
  <c r="F14"/>
  <c r="F17"/>
  <c r="F24"/>
  <c r="F31"/>
  <c r="C14"/>
  <c r="C17"/>
  <c r="H13"/>
  <c r="J13"/>
  <c r="J12"/>
  <c r="J11"/>
  <c r="J10"/>
  <c r="J9"/>
  <c r="J8"/>
  <c r="J7"/>
  <c r="J6"/>
  <c r="J5"/>
  <c r="H4"/>
  <c r="H14"/>
  <c r="H17"/>
  <c r="H24"/>
  <c r="H31"/>
  <c r="I24"/>
  <c r="C24"/>
  <c r="J17"/>
  <c r="J4"/>
  <c r="J14"/>
  <c r="K14"/>
  <c r="C31"/>
  <c r="J24"/>
  <c r="I380" i="58"/>
  <c r="F32" i="61"/>
  <c r="F30"/>
  <c r="F25"/>
  <c r="F24"/>
  <c r="F23"/>
  <c r="F19"/>
  <c r="F16"/>
  <c r="K440" i="2"/>
  <c r="I359" i="58"/>
  <c r="J140"/>
  <c r="M445"/>
  <c r="I435"/>
  <c r="I433"/>
  <c r="I415"/>
  <c r="I404"/>
  <c r="I378"/>
  <c r="I371"/>
  <c r="I361"/>
  <c r="I360"/>
  <c r="I352"/>
  <c r="I329"/>
  <c r="I327"/>
  <c r="I323"/>
  <c r="I321"/>
  <c r="I314"/>
  <c r="I313"/>
  <c r="I302"/>
  <c r="I301"/>
  <c r="I300"/>
  <c r="I293"/>
  <c r="I246"/>
  <c r="I134"/>
  <c r="J38"/>
  <c r="J139" i="57"/>
  <c r="J44"/>
  <c r="G40" i="21"/>
  <c r="G21"/>
  <c r="E231" i="18"/>
  <c r="E167"/>
  <c r="E116"/>
  <c r="E118"/>
  <c r="F19" i="46"/>
  <c r="F15"/>
  <c r="F14"/>
  <c r="F11"/>
  <c r="F10"/>
  <c r="F9"/>
  <c r="F8"/>
  <c r="E279" i="18"/>
  <c r="E278"/>
  <c r="E277"/>
  <c r="E276"/>
  <c r="E232"/>
  <c r="E230"/>
  <c r="E133"/>
  <c r="E144"/>
  <c r="E159"/>
  <c r="E184"/>
  <c r="E213"/>
  <c r="E227"/>
  <c r="E240"/>
  <c r="E262"/>
  <c r="C133"/>
  <c r="C144"/>
  <c r="C159"/>
  <c r="C184"/>
  <c r="C213"/>
  <c r="C227"/>
  <c r="C240"/>
  <c r="C262"/>
  <c r="E47"/>
  <c r="E52"/>
  <c r="M110" i="57"/>
  <c r="E70" i="18"/>
  <c r="E61"/>
  <c r="C21"/>
  <c r="K78" i="2"/>
  <c r="K435" i="58"/>
  <c r="O435"/>
  <c r="K433"/>
  <c r="L404"/>
  <c r="O404"/>
  <c r="K434"/>
  <c r="M434"/>
  <c r="M433"/>
  <c r="O433"/>
  <c r="L300"/>
  <c r="L302"/>
  <c r="O302"/>
  <c r="O300"/>
  <c r="M445" i="57"/>
  <c r="I329"/>
  <c r="I360"/>
  <c r="K6" i="2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5"/>
  <c r="K136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80"/>
  <c r="K181"/>
  <c r="K182"/>
  <c r="K183"/>
  <c r="K184"/>
  <c r="K185"/>
  <c r="K186"/>
  <c r="K187"/>
  <c r="K188"/>
  <c r="K189"/>
  <c r="K190"/>
  <c r="K191"/>
  <c r="K192"/>
  <c r="K193"/>
  <c r="K15" i="21"/>
  <c r="K194" i="2"/>
  <c r="C36" i="49"/>
  <c r="K195" i="2"/>
  <c r="K196"/>
  <c r="K13" i="21"/>
  <c r="K199" i="2"/>
  <c r="K200"/>
  <c r="K201"/>
  <c r="K202"/>
  <c r="K203"/>
  <c r="C23" i="49"/>
  <c r="F23"/>
  <c r="C23" i="51" s="1"/>
  <c r="K204" i="2"/>
  <c r="K205"/>
  <c r="K206"/>
  <c r="K207"/>
  <c r="K208"/>
  <c r="K209"/>
  <c r="K210"/>
  <c r="K211"/>
  <c r="K212"/>
  <c r="K213"/>
  <c r="K214"/>
  <c r="K215"/>
  <c r="K216"/>
  <c r="K95" i="18"/>
  <c r="K217" i="2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7" i="21"/>
  <c r="E27" s="1"/>
  <c r="P27" s="1"/>
  <c r="K297" i="2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481"/>
  <c r="K335"/>
  <c r="K337"/>
  <c r="K338"/>
  <c r="K348"/>
  <c r="K349"/>
  <c r="K350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7"/>
  <c r="K379"/>
  <c r="K384"/>
  <c r="K385"/>
  <c r="K388"/>
  <c r="K389"/>
  <c r="K396"/>
  <c r="K397"/>
  <c r="K402"/>
  <c r="K404"/>
  <c r="K405"/>
  <c r="K406"/>
  <c r="K407"/>
  <c r="K408"/>
  <c r="K409"/>
  <c r="K410"/>
  <c r="K411"/>
  <c r="K412"/>
  <c r="K413"/>
  <c r="K414"/>
  <c r="K415"/>
  <c r="K416"/>
  <c r="K418"/>
  <c r="K419"/>
  <c r="K422"/>
  <c r="K423"/>
  <c r="K424"/>
  <c r="K425"/>
  <c r="K427"/>
  <c r="K428"/>
  <c r="K429"/>
  <c r="K430"/>
  <c r="K431"/>
  <c r="K432"/>
  <c r="K433"/>
  <c r="K434"/>
  <c r="K435"/>
  <c r="K436"/>
  <c r="K437"/>
  <c r="K438"/>
  <c r="K439"/>
  <c r="K441"/>
  <c r="K442"/>
  <c r="K443"/>
  <c r="K444"/>
  <c r="K445"/>
  <c r="K446"/>
  <c r="K447"/>
  <c r="K448"/>
  <c r="K449"/>
  <c r="K450"/>
  <c r="K451"/>
  <c r="K452"/>
  <c r="K453"/>
  <c r="K29" i="18"/>
  <c r="K426" i="2"/>
  <c r="K421"/>
  <c r="K420"/>
  <c r="K417"/>
  <c r="K403"/>
  <c r="K399"/>
  <c r="K390"/>
  <c r="K386"/>
  <c r="K381"/>
  <c r="K382"/>
  <c r="K380"/>
  <c r="K378"/>
  <c r="K376"/>
  <c r="K356"/>
  <c r="K347"/>
  <c r="K344"/>
  <c r="K345"/>
  <c r="K346"/>
  <c r="K351"/>
  <c r="K352"/>
  <c r="K353"/>
  <c r="K354"/>
  <c r="K355"/>
  <c r="K343"/>
  <c r="K342"/>
  <c r="K341"/>
  <c r="K340"/>
  <c r="K339"/>
  <c r="K336"/>
  <c r="K460"/>
  <c r="K456"/>
  <c r="K466"/>
  <c r="K464"/>
  <c r="K462"/>
  <c r="K470"/>
  <c r="K468"/>
  <c r="K473"/>
  <c r="K471"/>
  <c r="K458"/>
  <c r="K459"/>
  <c r="K457"/>
  <c r="K455"/>
  <c r="K465"/>
  <c r="K463"/>
  <c r="K461"/>
  <c r="K469"/>
  <c r="K467"/>
  <c r="K472"/>
  <c r="K401"/>
  <c r="K398"/>
  <c r="K394"/>
  <c r="K392"/>
  <c r="K400"/>
  <c r="K395"/>
  <c r="K393"/>
  <c r="K391"/>
  <c r="K454"/>
  <c r="K383"/>
  <c r="K156"/>
  <c r="J116" i="57"/>
  <c r="I15"/>
  <c r="O15"/>
  <c r="I111"/>
  <c r="M111"/>
  <c r="C56" i="49"/>
  <c r="O140" i="57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6"/>
  <c r="O117"/>
  <c r="O118"/>
  <c r="O119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19"/>
  <c r="O20"/>
  <c r="O21"/>
  <c r="O22"/>
  <c r="O23"/>
  <c r="O24"/>
  <c r="O25"/>
  <c r="O26"/>
  <c r="O27"/>
  <c r="O28"/>
  <c r="O29"/>
  <c r="O17"/>
  <c r="I371"/>
  <c r="O302"/>
  <c r="O303"/>
  <c r="O304"/>
  <c r="O305"/>
  <c r="O306"/>
  <c r="O307"/>
  <c r="O308"/>
  <c r="O309"/>
  <c r="O310"/>
  <c r="O311"/>
  <c r="O312"/>
  <c r="O314"/>
  <c r="O315"/>
  <c r="O316"/>
  <c r="O317"/>
  <c r="O318"/>
  <c r="O319"/>
  <c r="O320"/>
  <c r="O321"/>
  <c r="O322"/>
  <c r="O323"/>
  <c r="O324"/>
  <c r="O325"/>
  <c r="O326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3"/>
  <c r="O364"/>
  <c r="O365"/>
  <c r="O367"/>
  <c r="O368"/>
  <c r="O369"/>
  <c r="O370"/>
  <c r="O371"/>
  <c r="O372"/>
  <c r="O373"/>
  <c r="O374"/>
  <c r="O375"/>
  <c r="O376"/>
  <c r="O377"/>
  <c r="O378"/>
  <c r="O379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I415"/>
  <c r="I411"/>
  <c r="O411"/>
  <c r="I381"/>
  <c r="O381"/>
  <c r="I380"/>
  <c r="O380"/>
  <c r="I301"/>
  <c r="O301"/>
  <c r="I366"/>
  <c r="O366"/>
  <c r="I362"/>
  <c r="O362"/>
  <c r="I361"/>
  <c r="O361"/>
  <c r="I359"/>
  <c r="I327"/>
  <c r="O327"/>
  <c r="L313"/>
  <c r="I313"/>
  <c r="O313"/>
  <c r="I300"/>
  <c r="O300"/>
  <c r="I293"/>
  <c r="O293"/>
  <c r="I246"/>
  <c r="O246"/>
  <c r="I222"/>
  <c r="O222"/>
  <c r="J120"/>
  <c r="O120"/>
  <c r="J115"/>
  <c r="O115"/>
  <c r="J114"/>
  <c r="J30"/>
  <c r="O30"/>
  <c r="I17"/>
  <c r="I18"/>
  <c r="M18"/>
  <c r="M19"/>
  <c r="M16"/>
  <c r="M17"/>
  <c r="O18"/>
  <c r="B2" i="25"/>
  <c r="G35" i="60"/>
  <c r="I35"/>
  <c r="G32"/>
  <c r="G20"/>
  <c r="G23"/>
  <c r="F37" i="61"/>
  <c r="F42"/>
  <c r="E30"/>
  <c r="F26"/>
  <c r="H23" i="60"/>
  <c r="I23"/>
  <c r="D34"/>
  <c r="D29"/>
  <c r="D40"/>
  <c r="C39"/>
  <c r="H39"/>
  <c r="C27"/>
  <c r="G39"/>
  <c r="E45" i="61" s="1"/>
  <c r="D51" i="60"/>
  <c r="D52"/>
  <c r="C51"/>
  <c r="F50"/>
  <c r="G45"/>
  <c r="F51"/>
  <c r="G44"/>
  <c r="C44"/>
  <c r="C48"/>
  <c r="C52"/>
  <c r="F34"/>
  <c r="G31"/>
  <c r="F29"/>
  <c r="E29"/>
  <c r="G28"/>
  <c r="F21"/>
  <c r="G8"/>
  <c r="C5"/>
  <c r="F52"/>
  <c r="F22"/>
  <c r="F40"/>
  <c r="H8"/>
  <c r="E14" i="61"/>
  <c r="E40" i="60"/>
  <c r="G27"/>
  <c r="G9"/>
  <c r="H9"/>
  <c r="C57" i="55"/>
  <c r="J31" i="49"/>
  <c r="J32"/>
  <c r="J33"/>
  <c r="J34"/>
  <c r="J44"/>
  <c r="J45"/>
  <c r="J54"/>
  <c r="J57"/>
  <c r="J53"/>
  <c r="J31" i="55"/>
  <c r="J32"/>
  <c r="J17"/>
  <c r="J16"/>
  <c r="J15"/>
  <c r="J14"/>
  <c r="J13"/>
  <c r="J11"/>
  <c r="J10"/>
  <c r="J9"/>
  <c r="J8"/>
  <c r="J7"/>
  <c r="J6"/>
  <c r="J5"/>
  <c r="J71"/>
  <c r="J69"/>
  <c r="J68"/>
  <c r="J67"/>
  <c r="J66"/>
  <c r="J65"/>
  <c r="J61"/>
  <c r="J60"/>
  <c r="J59"/>
  <c r="J57"/>
  <c r="J54"/>
  <c r="J53"/>
  <c r="G56" i="56"/>
  <c r="J56"/>
  <c r="G35"/>
  <c r="G47"/>
  <c r="G48"/>
  <c r="G58" i="55"/>
  <c r="J58"/>
  <c r="J63"/>
  <c r="J62"/>
  <c r="J56"/>
  <c r="G35"/>
  <c r="G48"/>
  <c r="G71" i="49"/>
  <c r="J71"/>
  <c r="G63"/>
  <c r="J63"/>
  <c r="G68"/>
  <c r="J68"/>
  <c r="G67"/>
  <c r="J67"/>
  <c r="G66"/>
  <c r="J66"/>
  <c r="G62"/>
  <c r="J62"/>
  <c r="G61"/>
  <c r="J61"/>
  <c r="G60"/>
  <c r="J60"/>
  <c r="G59"/>
  <c r="J59"/>
  <c r="G56"/>
  <c r="J56"/>
  <c r="G19"/>
  <c r="G18"/>
  <c r="G17"/>
  <c r="G43"/>
  <c r="J43"/>
  <c r="G35"/>
  <c r="C41" i="25"/>
  <c r="G64" i="49"/>
  <c r="J64"/>
  <c r="G64" i="55"/>
  <c r="G58" i="49"/>
  <c r="J58"/>
  <c r="G69"/>
  <c r="J69"/>
  <c r="K152" i="18"/>
  <c r="M152"/>
  <c r="J152"/>
  <c r="E139"/>
  <c r="E107"/>
  <c r="E87"/>
  <c r="C85" i="49"/>
  <c r="E85"/>
  <c r="F85" s="1"/>
  <c r="C86"/>
  <c r="E86" s="1"/>
  <c r="F86" s="1"/>
  <c r="C70" i="18"/>
  <c r="E63"/>
  <c r="E38"/>
  <c r="G54" i="21"/>
  <c r="H20" i="51"/>
  <c r="C65" i="56"/>
  <c r="C69" s="1"/>
  <c r="C57"/>
  <c r="C54"/>
  <c r="F54"/>
  <c r="E54" i="51" s="1"/>
  <c r="C53" i="56"/>
  <c r="F53" s="1"/>
  <c r="E53" i="51" s="1"/>
  <c r="M6" i="58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O38"/>
  <c r="M39"/>
  <c r="O39"/>
  <c r="M40"/>
  <c r="O40"/>
  <c r="M41"/>
  <c r="O41"/>
  <c r="M42"/>
  <c r="O42"/>
  <c r="M43"/>
  <c r="O43"/>
  <c r="M44"/>
  <c r="O44"/>
  <c r="M45"/>
  <c r="O45"/>
  <c r="M46"/>
  <c r="O46"/>
  <c r="M47"/>
  <c r="O47"/>
  <c r="M48"/>
  <c r="O48"/>
  <c r="M49"/>
  <c r="O49"/>
  <c r="M50"/>
  <c r="O50"/>
  <c r="M51"/>
  <c r="O51"/>
  <c r="M52"/>
  <c r="O52"/>
  <c r="M53"/>
  <c r="O53"/>
  <c r="M54"/>
  <c r="O54"/>
  <c r="M55"/>
  <c r="O55"/>
  <c r="M56"/>
  <c r="O56"/>
  <c r="M57"/>
  <c r="O57"/>
  <c r="M58"/>
  <c r="O58"/>
  <c r="M59"/>
  <c r="O59"/>
  <c r="M60"/>
  <c r="O60"/>
  <c r="M61"/>
  <c r="O61"/>
  <c r="M62"/>
  <c r="O62"/>
  <c r="M63"/>
  <c r="O63"/>
  <c r="M64"/>
  <c r="O64"/>
  <c r="M65"/>
  <c r="O65"/>
  <c r="M66"/>
  <c r="O66"/>
  <c r="M67"/>
  <c r="O67"/>
  <c r="M68"/>
  <c r="O68"/>
  <c r="M69"/>
  <c r="O69"/>
  <c r="M70"/>
  <c r="O70"/>
  <c r="M71"/>
  <c r="O71"/>
  <c r="M72"/>
  <c r="O72"/>
  <c r="M73"/>
  <c r="O73"/>
  <c r="M74"/>
  <c r="O74"/>
  <c r="M75"/>
  <c r="O75"/>
  <c r="M76"/>
  <c r="O76"/>
  <c r="M77"/>
  <c r="O77"/>
  <c r="M78"/>
  <c r="O78"/>
  <c r="M79"/>
  <c r="O79"/>
  <c r="M80"/>
  <c r="O80"/>
  <c r="M81"/>
  <c r="O81"/>
  <c r="M82"/>
  <c r="O82"/>
  <c r="M83"/>
  <c r="O83"/>
  <c r="M84"/>
  <c r="O84"/>
  <c r="M85"/>
  <c r="O85"/>
  <c r="M86"/>
  <c r="O86"/>
  <c r="M87"/>
  <c r="O87"/>
  <c r="M88"/>
  <c r="O88"/>
  <c r="M89"/>
  <c r="O89"/>
  <c r="M90"/>
  <c r="O90"/>
  <c r="M91"/>
  <c r="O91"/>
  <c r="M92"/>
  <c r="O92"/>
  <c r="M93"/>
  <c r="O93"/>
  <c r="M94"/>
  <c r="O94"/>
  <c r="M95"/>
  <c r="O95"/>
  <c r="M96"/>
  <c r="O96"/>
  <c r="M97"/>
  <c r="O97"/>
  <c r="M98"/>
  <c r="O98"/>
  <c r="M99"/>
  <c r="O99"/>
  <c r="M100"/>
  <c r="O100"/>
  <c r="M101"/>
  <c r="O101"/>
  <c r="M102"/>
  <c r="O102"/>
  <c r="M103"/>
  <c r="O103"/>
  <c r="M104"/>
  <c r="O104"/>
  <c r="M105"/>
  <c r="O105"/>
  <c r="M106"/>
  <c r="O106"/>
  <c r="M107"/>
  <c r="O107"/>
  <c r="M108"/>
  <c r="O108"/>
  <c r="M109"/>
  <c r="O109"/>
  <c r="M110"/>
  <c r="O110"/>
  <c r="M111"/>
  <c r="O111"/>
  <c r="M112"/>
  <c r="O112"/>
  <c r="M113"/>
  <c r="O113"/>
  <c r="M114"/>
  <c r="O114"/>
  <c r="M115"/>
  <c r="O115"/>
  <c r="M116"/>
  <c r="O116"/>
  <c r="M117"/>
  <c r="O117"/>
  <c r="M118"/>
  <c r="O118"/>
  <c r="M119"/>
  <c r="O119"/>
  <c r="M120"/>
  <c r="O120"/>
  <c r="M121"/>
  <c r="O121"/>
  <c r="M122"/>
  <c r="O122"/>
  <c r="M123"/>
  <c r="O123"/>
  <c r="M124"/>
  <c r="O124"/>
  <c r="M125"/>
  <c r="O125"/>
  <c r="M126"/>
  <c r="O126"/>
  <c r="M127"/>
  <c r="O127"/>
  <c r="M128"/>
  <c r="O128"/>
  <c r="M129"/>
  <c r="O129"/>
  <c r="M130"/>
  <c r="O130"/>
  <c r="M131"/>
  <c r="O131"/>
  <c r="M132"/>
  <c r="O132"/>
  <c r="M133"/>
  <c r="O133"/>
  <c r="M135"/>
  <c r="O135"/>
  <c r="M136"/>
  <c r="O136"/>
  <c r="M137"/>
  <c r="O137"/>
  <c r="M138"/>
  <c r="O138"/>
  <c r="M139"/>
  <c r="O139"/>
  <c r="M141"/>
  <c r="O141"/>
  <c r="M142"/>
  <c r="O142"/>
  <c r="M143"/>
  <c r="O143"/>
  <c r="M144"/>
  <c r="O144"/>
  <c r="M145"/>
  <c r="O145"/>
  <c r="M146"/>
  <c r="O146"/>
  <c r="M147"/>
  <c r="O147"/>
  <c r="M148"/>
  <c r="O148"/>
  <c r="M149"/>
  <c r="O149"/>
  <c r="M150"/>
  <c r="O150"/>
  <c r="M151"/>
  <c r="O151"/>
  <c r="M152"/>
  <c r="O152"/>
  <c r="M153"/>
  <c r="O153"/>
  <c r="M154"/>
  <c r="O154"/>
  <c r="M155"/>
  <c r="O155"/>
  <c r="M156"/>
  <c r="O156"/>
  <c r="M157"/>
  <c r="O157"/>
  <c r="M158"/>
  <c r="O158"/>
  <c r="M159"/>
  <c r="O159"/>
  <c r="M160"/>
  <c r="O160"/>
  <c r="M161"/>
  <c r="O161"/>
  <c r="M162"/>
  <c r="O162"/>
  <c r="M163"/>
  <c r="O163"/>
  <c r="M164"/>
  <c r="O164"/>
  <c r="M165"/>
  <c r="O165"/>
  <c r="M166"/>
  <c r="O166"/>
  <c r="M167"/>
  <c r="O167"/>
  <c r="M168"/>
  <c r="O168"/>
  <c r="M169"/>
  <c r="O169"/>
  <c r="M170"/>
  <c r="O170"/>
  <c r="M171"/>
  <c r="O171"/>
  <c r="M172"/>
  <c r="O172"/>
  <c r="M173"/>
  <c r="O173"/>
  <c r="M174"/>
  <c r="O174"/>
  <c r="M175"/>
  <c r="O175"/>
  <c r="M176"/>
  <c r="O176"/>
  <c r="M177"/>
  <c r="O177"/>
  <c r="M178"/>
  <c r="O178"/>
  <c r="M179"/>
  <c r="O179"/>
  <c r="M180"/>
  <c r="O180"/>
  <c r="M181"/>
  <c r="O181"/>
  <c r="M182"/>
  <c r="O182"/>
  <c r="M183"/>
  <c r="O183"/>
  <c r="M184"/>
  <c r="O184"/>
  <c r="M185"/>
  <c r="O185"/>
  <c r="M186"/>
  <c r="O186"/>
  <c r="M187"/>
  <c r="O187"/>
  <c r="M188"/>
  <c r="O188"/>
  <c r="M189"/>
  <c r="O189"/>
  <c r="M190"/>
  <c r="O190"/>
  <c r="M191"/>
  <c r="O191"/>
  <c r="M192"/>
  <c r="O192"/>
  <c r="M193"/>
  <c r="O193"/>
  <c r="M194"/>
  <c r="O194"/>
  <c r="M195"/>
  <c r="O195"/>
  <c r="M196"/>
  <c r="O196"/>
  <c r="M197"/>
  <c r="O197"/>
  <c r="M198"/>
  <c r="O198"/>
  <c r="M199"/>
  <c r="O199"/>
  <c r="M200"/>
  <c r="O200"/>
  <c r="M201"/>
  <c r="O201"/>
  <c r="M202"/>
  <c r="O202"/>
  <c r="M203"/>
  <c r="O203"/>
  <c r="M204"/>
  <c r="O204"/>
  <c r="M205"/>
  <c r="O205"/>
  <c r="M206"/>
  <c r="O206"/>
  <c r="M207"/>
  <c r="O207"/>
  <c r="M208"/>
  <c r="O208"/>
  <c r="M209"/>
  <c r="O209"/>
  <c r="M210"/>
  <c r="O210"/>
  <c r="M211"/>
  <c r="O211"/>
  <c r="M212"/>
  <c r="O212"/>
  <c r="M213"/>
  <c r="O213"/>
  <c r="M214"/>
  <c r="O214"/>
  <c r="M215"/>
  <c r="O215"/>
  <c r="M216"/>
  <c r="O216"/>
  <c r="M217"/>
  <c r="O217"/>
  <c r="M218"/>
  <c r="O218"/>
  <c r="M219"/>
  <c r="O219"/>
  <c r="M220"/>
  <c r="O220"/>
  <c r="M221"/>
  <c r="O221"/>
  <c r="M222"/>
  <c r="O222"/>
  <c r="M223"/>
  <c r="O223"/>
  <c r="M224"/>
  <c r="O224"/>
  <c r="M225"/>
  <c r="O225"/>
  <c r="M226"/>
  <c r="O226"/>
  <c r="M227"/>
  <c r="O227"/>
  <c r="M228"/>
  <c r="O228"/>
  <c r="M229"/>
  <c r="O229"/>
  <c r="M230"/>
  <c r="O230"/>
  <c r="M231"/>
  <c r="O231"/>
  <c r="M232"/>
  <c r="O232"/>
  <c r="M233"/>
  <c r="O233"/>
  <c r="M234"/>
  <c r="O234"/>
  <c r="M235"/>
  <c r="O235"/>
  <c r="M236"/>
  <c r="O236"/>
  <c r="M237"/>
  <c r="O237"/>
  <c r="M238"/>
  <c r="O238"/>
  <c r="M239"/>
  <c r="O239"/>
  <c r="M240"/>
  <c r="O240"/>
  <c r="M241"/>
  <c r="O241"/>
  <c r="M242"/>
  <c r="O242"/>
  <c r="M243"/>
  <c r="O243"/>
  <c r="M244"/>
  <c r="O244"/>
  <c r="M245"/>
  <c r="O245"/>
  <c r="M247"/>
  <c r="O247"/>
  <c r="M248"/>
  <c r="O248"/>
  <c r="M249"/>
  <c r="O249"/>
  <c r="M250"/>
  <c r="O250"/>
  <c r="M251"/>
  <c r="O251"/>
  <c r="M252"/>
  <c r="O252"/>
  <c r="M253"/>
  <c r="O253"/>
  <c r="M254"/>
  <c r="O254"/>
  <c r="M255"/>
  <c r="O255"/>
  <c r="M256"/>
  <c r="O256"/>
  <c r="M257"/>
  <c r="O257"/>
  <c r="M258"/>
  <c r="O258"/>
  <c r="M259"/>
  <c r="O259"/>
  <c r="M260"/>
  <c r="O260"/>
  <c r="M261"/>
  <c r="O261"/>
  <c r="M262"/>
  <c r="O262"/>
  <c r="M263"/>
  <c r="O263"/>
  <c r="M264"/>
  <c r="O264"/>
  <c r="M265"/>
  <c r="O265"/>
  <c r="M266"/>
  <c r="O266"/>
  <c r="M267"/>
  <c r="O267"/>
  <c r="M268"/>
  <c r="O268"/>
  <c r="M269"/>
  <c r="O269"/>
  <c r="M270"/>
  <c r="O270"/>
  <c r="M271"/>
  <c r="O271"/>
  <c r="M272"/>
  <c r="O272"/>
  <c r="M273"/>
  <c r="O273"/>
  <c r="M274"/>
  <c r="O274"/>
  <c r="M275"/>
  <c r="O275"/>
  <c r="M276"/>
  <c r="O276"/>
  <c r="M277"/>
  <c r="O277"/>
  <c r="M278"/>
  <c r="O278"/>
  <c r="M279"/>
  <c r="O279"/>
  <c r="M280"/>
  <c r="O280"/>
  <c r="M281"/>
  <c r="O281"/>
  <c r="M282"/>
  <c r="O282"/>
  <c r="M283"/>
  <c r="O283"/>
  <c r="M284"/>
  <c r="O284"/>
  <c r="M285"/>
  <c r="O285"/>
  <c r="M286"/>
  <c r="O286"/>
  <c r="M287"/>
  <c r="O287"/>
  <c r="M288"/>
  <c r="O288"/>
  <c r="M289"/>
  <c r="O289"/>
  <c r="M290"/>
  <c r="O290"/>
  <c r="M291"/>
  <c r="O291"/>
  <c r="M292"/>
  <c r="O292"/>
  <c r="M294"/>
  <c r="O294"/>
  <c r="M295"/>
  <c r="O295"/>
  <c r="M296"/>
  <c r="O296"/>
  <c r="M297"/>
  <c r="O297"/>
  <c r="M298"/>
  <c r="O298"/>
  <c r="M5"/>
  <c r="M5" i="57"/>
  <c r="K300" i="58"/>
  <c r="M300"/>
  <c r="K301"/>
  <c r="K302"/>
  <c r="M302"/>
  <c r="K303"/>
  <c r="L303"/>
  <c r="K304"/>
  <c r="K305"/>
  <c r="K306"/>
  <c r="L306"/>
  <c r="K307"/>
  <c r="L307"/>
  <c r="K308"/>
  <c r="L308"/>
  <c r="K309"/>
  <c r="L309"/>
  <c r="K310"/>
  <c r="L310"/>
  <c r="K311"/>
  <c r="L311"/>
  <c r="K312"/>
  <c r="L312"/>
  <c r="K313"/>
  <c r="K314"/>
  <c r="L314"/>
  <c r="O314"/>
  <c r="K315"/>
  <c r="L315"/>
  <c r="K316"/>
  <c r="L316"/>
  <c r="K317"/>
  <c r="L317"/>
  <c r="K318"/>
  <c r="L318"/>
  <c r="K319"/>
  <c r="L319"/>
  <c r="K320"/>
  <c r="L320"/>
  <c r="K321"/>
  <c r="K322"/>
  <c r="L322"/>
  <c r="K323"/>
  <c r="K324"/>
  <c r="L324"/>
  <c r="K325"/>
  <c r="L325"/>
  <c r="K326"/>
  <c r="L326"/>
  <c r="K327"/>
  <c r="K328"/>
  <c r="L328"/>
  <c r="K329"/>
  <c r="K330"/>
  <c r="L330"/>
  <c r="K331"/>
  <c r="L331"/>
  <c r="K332"/>
  <c r="L332"/>
  <c r="K333"/>
  <c r="L333"/>
  <c r="K334"/>
  <c r="L334"/>
  <c r="K335"/>
  <c r="L335"/>
  <c r="K336"/>
  <c r="L336"/>
  <c r="K337"/>
  <c r="L337"/>
  <c r="K338"/>
  <c r="L338"/>
  <c r="K339"/>
  <c r="L339"/>
  <c r="K340"/>
  <c r="L340"/>
  <c r="K341"/>
  <c r="L341"/>
  <c r="K342"/>
  <c r="L342"/>
  <c r="K343"/>
  <c r="L343"/>
  <c r="L344"/>
  <c r="K345"/>
  <c r="L345"/>
  <c r="K346"/>
  <c r="L346"/>
  <c r="K347"/>
  <c r="L347"/>
  <c r="K348"/>
  <c r="L348"/>
  <c r="K349"/>
  <c r="L349"/>
  <c r="K350"/>
  <c r="K351"/>
  <c r="L351"/>
  <c r="K352"/>
  <c r="K353"/>
  <c r="L353"/>
  <c r="K354"/>
  <c r="L354"/>
  <c r="K355"/>
  <c r="L355"/>
  <c r="K356"/>
  <c r="L356"/>
  <c r="K357"/>
  <c r="L357"/>
  <c r="K358"/>
  <c r="L358"/>
  <c r="K359"/>
  <c r="K360"/>
  <c r="K361"/>
  <c r="K362"/>
  <c r="L362"/>
  <c r="K363"/>
  <c r="L363"/>
  <c r="K364"/>
  <c r="L364"/>
  <c r="K365"/>
  <c r="L365"/>
  <c r="K366"/>
  <c r="K367"/>
  <c r="L367"/>
  <c r="K368"/>
  <c r="L368"/>
  <c r="K369"/>
  <c r="L369"/>
  <c r="K370"/>
  <c r="L370"/>
  <c r="K371"/>
  <c r="K372"/>
  <c r="L372"/>
  <c r="K373"/>
  <c r="L373"/>
  <c r="K374"/>
  <c r="L374"/>
  <c r="K375"/>
  <c r="L375"/>
  <c r="K376"/>
  <c r="L376"/>
  <c r="K377"/>
  <c r="L377"/>
  <c r="K378"/>
  <c r="K379"/>
  <c r="L379"/>
  <c r="K380"/>
  <c r="M380"/>
  <c r="K381"/>
  <c r="K382"/>
  <c r="L382"/>
  <c r="K383"/>
  <c r="L383"/>
  <c r="K384"/>
  <c r="L384"/>
  <c r="K385"/>
  <c r="L385"/>
  <c r="K386"/>
  <c r="L386"/>
  <c r="K387"/>
  <c r="L387"/>
  <c r="K388"/>
  <c r="L388"/>
  <c r="K389"/>
  <c r="K390"/>
  <c r="L390"/>
  <c r="K391"/>
  <c r="L391"/>
  <c r="K392"/>
  <c r="L392"/>
  <c r="K393"/>
  <c r="L393"/>
  <c r="K394"/>
  <c r="L394"/>
  <c r="K395"/>
  <c r="L395"/>
  <c r="K396"/>
  <c r="L396"/>
  <c r="K397"/>
  <c r="L397"/>
  <c r="K398"/>
  <c r="L398"/>
  <c r="K399"/>
  <c r="L399"/>
  <c r="K400"/>
  <c r="L400"/>
  <c r="K401"/>
  <c r="L401"/>
  <c r="K402"/>
  <c r="L402"/>
  <c r="K403"/>
  <c r="L403"/>
  <c r="K404"/>
  <c r="K405"/>
  <c r="L405"/>
  <c r="K406"/>
  <c r="L406"/>
  <c r="K407"/>
  <c r="L407"/>
  <c r="K408"/>
  <c r="L408"/>
  <c r="K409"/>
  <c r="L409"/>
  <c r="K410"/>
  <c r="L410"/>
  <c r="K411"/>
  <c r="L411"/>
  <c r="K412"/>
  <c r="L412"/>
  <c r="K413"/>
  <c r="L413"/>
  <c r="K414"/>
  <c r="L414"/>
  <c r="K415"/>
  <c r="K416"/>
  <c r="L416"/>
  <c r="K417"/>
  <c r="L417"/>
  <c r="K418"/>
  <c r="L418"/>
  <c r="K419"/>
  <c r="L419"/>
  <c r="K420"/>
  <c r="L420"/>
  <c r="K421"/>
  <c r="L421"/>
  <c r="K422"/>
  <c r="L422"/>
  <c r="K423"/>
  <c r="L423"/>
  <c r="K424"/>
  <c r="L424"/>
  <c r="K425"/>
  <c r="L425"/>
  <c r="K426"/>
  <c r="L426"/>
  <c r="K427"/>
  <c r="L427"/>
  <c r="K428"/>
  <c r="L428"/>
  <c r="K429"/>
  <c r="L429"/>
  <c r="K430"/>
  <c r="L430"/>
  <c r="K431"/>
  <c r="L431"/>
  <c r="K432"/>
  <c r="L432"/>
  <c r="K436"/>
  <c r="L436"/>
  <c r="K437"/>
  <c r="L437"/>
  <c r="K438"/>
  <c r="L438"/>
  <c r="K439"/>
  <c r="L439"/>
  <c r="K440"/>
  <c r="L440"/>
  <c r="L299"/>
  <c r="K299"/>
  <c r="C54" i="55"/>
  <c r="F54" s="1"/>
  <c r="D54" i="51" s="1"/>
  <c r="C53" i="55"/>
  <c r="F53" s="1"/>
  <c r="K327" i="57"/>
  <c r="M328" i="58"/>
  <c r="O328"/>
  <c r="M312"/>
  <c r="O312"/>
  <c r="M343"/>
  <c r="O343"/>
  <c r="M341"/>
  <c r="O341"/>
  <c r="M339"/>
  <c r="O339"/>
  <c r="M337"/>
  <c r="O337"/>
  <c r="M335"/>
  <c r="O335"/>
  <c r="M333"/>
  <c r="O333"/>
  <c r="M331"/>
  <c r="O331"/>
  <c r="M325"/>
  <c r="O325"/>
  <c r="M319"/>
  <c r="O319"/>
  <c r="M317"/>
  <c r="O317"/>
  <c r="M315"/>
  <c r="O315"/>
  <c r="M311"/>
  <c r="O311"/>
  <c r="M309"/>
  <c r="O309"/>
  <c r="M307"/>
  <c r="O307"/>
  <c r="M303"/>
  <c r="O303"/>
  <c r="M437"/>
  <c r="O437"/>
  <c r="M429"/>
  <c r="O429"/>
  <c r="M425"/>
  <c r="O425"/>
  <c r="M417"/>
  <c r="O417"/>
  <c r="M409"/>
  <c r="O409"/>
  <c r="M401"/>
  <c r="O401"/>
  <c r="M393"/>
  <c r="O393"/>
  <c r="M385"/>
  <c r="O385"/>
  <c r="M377"/>
  <c r="O377"/>
  <c r="M373"/>
  <c r="O373"/>
  <c r="M365"/>
  <c r="O365"/>
  <c r="M357"/>
  <c r="O357"/>
  <c r="M353"/>
  <c r="O353"/>
  <c r="M345"/>
  <c r="O345"/>
  <c r="M440"/>
  <c r="O440"/>
  <c r="M438"/>
  <c r="O438"/>
  <c r="M436"/>
  <c r="O436"/>
  <c r="O434"/>
  <c r="M432"/>
  <c r="O432"/>
  <c r="M430"/>
  <c r="O430"/>
  <c r="M428"/>
  <c r="O428"/>
  <c r="M426"/>
  <c r="O426"/>
  <c r="M424"/>
  <c r="O424"/>
  <c r="M422"/>
  <c r="O422"/>
  <c r="M420"/>
  <c r="O420"/>
  <c r="M418"/>
  <c r="O418"/>
  <c r="M416"/>
  <c r="O416"/>
  <c r="M414"/>
  <c r="O414"/>
  <c r="M412"/>
  <c r="O412"/>
  <c r="M410"/>
  <c r="O410"/>
  <c r="M408"/>
  <c r="O408"/>
  <c r="M406"/>
  <c r="O406"/>
  <c r="M402"/>
  <c r="O402"/>
  <c r="M400"/>
  <c r="O400"/>
  <c r="M398"/>
  <c r="O398"/>
  <c r="M396"/>
  <c r="O396"/>
  <c r="M394"/>
  <c r="O394"/>
  <c r="M392"/>
  <c r="O392"/>
  <c r="M390"/>
  <c r="O390"/>
  <c r="M388"/>
  <c r="O388"/>
  <c r="M386"/>
  <c r="O386"/>
  <c r="M384"/>
  <c r="O384"/>
  <c r="M382"/>
  <c r="M376"/>
  <c r="O376"/>
  <c r="M374"/>
  <c r="O374"/>
  <c r="M372"/>
  <c r="O372"/>
  <c r="M370"/>
  <c r="O370"/>
  <c r="M368"/>
  <c r="O368"/>
  <c r="M364"/>
  <c r="O364"/>
  <c r="M362"/>
  <c r="O362"/>
  <c r="M358"/>
  <c r="O358"/>
  <c r="M356"/>
  <c r="O356"/>
  <c r="M354"/>
  <c r="O354"/>
  <c r="M348"/>
  <c r="O348"/>
  <c r="M346"/>
  <c r="O346"/>
  <c r="M332"/>
  <c r="O332"/>
  <c r="M316"/>
  <c r="O316"/>
  <c r="M299"/>
  <c r="M421"/>
  <c r="O421"/>
  <c r="M413"/>
  <c r="O413"/>
  <c r="M405"/>
  <c r="O405"/>
  <c r="M397"/>
  <c r="O397"/>
  <c r="M369"/>
  <c r="O369"/>
  <c r="M349"/>
  <c r="O349"/>
  <c r="M340"/>
  <c r="O340"/>
  <c r="M336"/>
  <c r="O336"/>
  <c r="M324"/>
  <c r="O324"/>
  <c r="M320"/>
  <c r="O320"/>
  <c r="M308"/>
  <c r="O308"/>
  <c r="M439"/>
  <c r="O439"/>
  <c r="M435"/>
  <c r="M431"/>
  <c r="O431"/>
  <c r="M427"/>
  <c r="O427"/>
  <c r="M423"/>
  <c r="O423"/>
  <c r="M419"/>
  <c r="O419"/>
  <c r="M411"/>
  <c r="O411"/>
  <c r="M407"/>
  <c r="O407"/>
  <c r="M403"/>
  <c r="O403"/>
  <c r="M399"/>
  <c r="O399"/>
  <c r="M395"/>
  <c r="O395"/>
  <c r="M391"/>
  <c r="O391"/>
  <c r="M387"/>
  <c r="O387"/>
  <c r="M383"/>
  <c r="M379"/>
  <c r="O379"/>
  <c r="M375"/>
  <c r="O375"/>
  <c r="M367"/>
  <c r="O367"/>
  <c r="M363"/>
  <c r="O363"/>
  <c r="M355"/>
  <c r="O355"/>
  <c r="M351"/>
  <c r="O351"/>
  <c r="M347"/>
  <c r="O347"/>
  <c r="M342"/>
  <c r="O342"/>
  <c r="M338"/>
  <c r="O338"/>
  <c r="M334"/>
  <c r="O334"/>
  <c r="M330"/>
  <c r="O330"/>
  <c r="M326"/>
  <c r="O326"/>
  <c r="M322"/>
  <c r="O322"/>
  <c r="M318"/>
  <c r="O318"/>
  <c r="M314"/>
  <c r="M310"/>
  <c r="O310"/>
  <c r="M306"/>
  <c r="O306"/>
  <c r="O380"/>
  <c r="O299"/>
  <c r="C59" i="56"/>
  <c r="F59" s="1"/>
  <c r="O383" i="58"/>
  <c r="C61" i="56"/>
  <c r="O382" i="58"/>
  <c r="C62" i="56"/>
  <c r="C66"/>
  <c r="K299" i="57"/>
  <c r="K300"/>
  <c r="K301"/>
  <c r="K302"/>
  <c r="K303"/>
  <c r="K304"/>
  <c r="K305"/>
  <c r="K306"/>
  <c r="K307"/>
  <c r="K308"/>
  <c r="K309"/>
  <c r="K310"/>
  <c r="K311"/>
  <c r="K312"/>
  <c r="K313"/>
  <c r="M313"/>
  <c r="K314"/>
  <c r="K315"/>
  <c r="K316"/>
  <c r="K317"/>
  <c r="K318"/>
  <c r="K319"/>
  <c r="K320"/>
  <c r="K321"/>
  <c r="K322"/>
  <c r="K323"/>
  <c r="K324"/>
  <c r="K325"/>
  <c r="K326"/>
  <c r="K328"/>
  <c r="K329"/>
  <c r="K330"/>
  <c r="K331"/>
  <c r="K332"/>
  <c r="K333"/>
  <c r="K334"/>
  <c r="K335"/>
  <c r="K336"/>
  <c r="K337"/>
  <c r="K338"/>
  <c r="K339"/>
  <c r="K340"/>
  <c r="K341"/>
  <c r="K342"/>
  <c r="K343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L299"/>
  <c r="L302"/>
  <c r="L303"/>
  <c r="L304"/>
  <c r="L306"/>
  <c r="L307"/>
  <c r="L308"/>
  <c r="L309"/>
  <c r="L310"/>
  <c r="L311"/>
  <c r="L312"/>
  <c r="L314"/>
  <c r="L315"/>
  <c r="L316"/>
  <c r="L317"/>
  <c r="L318"/>
  <c r="L319"/>
  <c r="L320"/>
  <c r="L321"/>
  <c r="L322"/>
  <c r="L323"/>
  <c r="L324"/>
  <c r="L325"/>
  <c r="L326"/>
  <c r="L328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63"/>
  <c r="L364"/>
  <c r="L365"/>
  <c r="L367"/>
  <c r="L368"/>
  <c r="L369"/>
  <c r="L370"/>
  <c r="L372"/>
  <c r="L373"/>
  <c r="L374"/>
  <c r="L375"/>
  <c r="L376"/>
  <c r="L377"/>
  <c r="L378"/>
  <c r="L379"/>
  <c r="L382"/>
  <c r="L384"/>
  <c r="L385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H67" i="51"/>
  <c r="L404" i="57"/>
  <c r="L405"/>
  <c r="L406"/>
  <c r="L407"/>
  <c r="L408"/>
  <c r="L409"/>
  <c r="L410"/>
  <c r="L412"/>
  <c r="L413"/>
  <c r="L414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H59" i="51"/>
  <c r="H68"/>
  <c r="H62"/>
  <c r="O140" i="58"/>
  <c r="M79" i="57"/>
  <c r="M80"/>
  <c r="M81"/>
  <c r="M82"/>
  <c r="M84"/>
  <c r="M85"/>
  <c r="M86"/>
  <c r="M87"/>
  <c r="M88"/>
  <c r="M9"/>
  <c r="M10"/>
  <c r="M11"/>
  <c r="M12"/>
  <c r="M13"/>
  <c r="M14"/>
  <c r="M15"/>
  <c r="M422"/>
  <c r="M423"/>
  <c r="M424"/>
  <c r="M425"/>
  <c r="M426"/>
  <c r="M427"/>
  <c r="M428"/>
  <c r="M429"/>
  <c r="M430"/>
  <c r="M431"/>
  <c r="M432"/>
  <c r="M433"/>
  <c r="M434"/>
  <c r="M435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2"/>
  <c r="M413"/>
  <c r="M414"/>
  <c r="M416"/>
  <c r="M417"/>
  <c r="M418"/>
  <c r="M419"/>
  <c r="M420"/>
  <c r="M421"/>
  <c r="M367"/>
  <c r="M368"/>
  <c r="M369"/>
  <c r="M370"/>
  <c r="M372"/>
  <c r="M373"/>
  <c r="M374"/>
  <c r="M375"/>
  <c r="M376"/>
  <c r="M377"/>
  <c r="M378"/>
  <c r="M379"/>
  <c r="M382"/>
  <c r="C61" i="55"/>
  <c r="M383" i="57"/>
  <c r="M384"/>
  <c r="M385"/>
  <c r="M386"/>
  <c r="M387"/>
  <c r="M388"/>
  <c r="M389"/>
  <c r="M390"/>
  <c r="M391"/>
  <c r="M392"/>
  <c r="M363"/>
  <c r="M364"/>
  <c r="M365"/>
  <c r="M371"/>
  <c r="L366"/>
  <c r="M342"/>
  <c r="M343"/>
  <c r="M345"/>
  <c r="M346"/>
  <c r="M347"/>
  <c r="M348"/>
  <c r="M349"/>
  <c r="M350"/>
  <c r="M351"/>
  <c r="M352"/>
  <c r="M353"/>
  <c r="M354"/>
  <c r="M355"/>
  <c r="M356"/>
  <c r="M357"/>
  <c r="M358"/>
  <c r="M362"/>
  <c r="L361"/>
  <c r="L360"/>
  <c r="M360"/>
  <c r="L359"/>
  <c r="M320"/>
  <c r="M321"/>
  <c r="M322"/>
  <c r="M323"/>
  <c r="M324"/>
  <c r="M325"/>
  <c r="M326"/>
  <c r="M328"/>
  <c r="M330"/>
  <c r="M331"/>
  <c r="M332"/>
  <c r="M333"/>
  <c r="M334"/>
  <c r="M335"/>
  <c r="M336"/>
  <c r="M337"/>
  <c r="M338"/>
  <c r="M339"/>
  <c r="M340"/>
  <c r="M341"/>
  <c r="M277"/>
  <c r="M278"/>
  <c r="M279"/>
  <c r="M280"/>
  <c r="M281"/>
  <c r="M282"/>
  <c r="M283"/>
  <c r="M284"/>
  <c r="M285"/>
  <c r="M286"/>
  <c r="M287"/>
  <c r="M288"/>
  <c r="M289"/>
  <c r="M290"/>
  <c r="M291"/>
  <c r="M292"/>
  <c r="M294"/>
  <c r="M295"/>
  <c r="M296"/>
  <c r="M297"/>
  <c r="M298"/>
  <c r="M299"/>
  <c r="M302"/>
  <c r="M303"/>
  <c r="M304"/>
  <c r="M305"/>
  <c r="M306"/>
  <c r="M307"/>
  <c r="M308"/>
  <c r="M309"/>
  <c r="M310"/>
  <c r="M311"/>
  <c r="M312"/>
  <c r="M314"/>
  <c r="M315"/>
  <c r="M316"/>
  <c r="M317"/>
  <c r="M318"/>
  <c r="M319"/>
  <c r="L329"/>
  <c r="M327"/>
  <c r="L301"/>
  <c r="M301"/>
  <c r="M293"/>
  <c r="M216"/>
  <c r="M217"/>
  <c r="M218"/>
  <c r="M219"/>
  <c r="M220"/>
  <c r="M221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7"/>
  <c r="M248"/>
  <c r="M249"/>
  <c r="M250"/>
  <c r="M251"/>
  <c r="M252"/>
  <c r="M246"/>
  <c r="L48" i="18"/>
  <c r="M222" i="57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17"/>
  <c r="M118"/>
  <c r="M119"/>
  <c r="M121"/>
  <c r="M122"/>
  <c r="M123"/>
  <c r="M124"/>
  <c r="M125"/>
  <c r="M126"/>
  <c r="M127"/>
  <c r="M128"/>
  <c r="M120"/>
  <c r="L152" i="18"/>
  <c r="M105" i="57"/>
  <c r="M106"/>
  <c r="M107"/>
  <c r="M108"/>
  <c r="M109"/>
  <c r="M112"/>
  <c r="M113"/>
  <c r="M114"/>
  <c r="M115"/>
  <c r="M116"/>
  <c r="M83"/>
  <c r="M40"/>
  <c r="M41"/>
  <c r="M42"/>
  <c r="M43"/>
  <c r="M45"/>
  <c r="M46"/>
  <c r="M47"/>
  <c r="M48"/>
  <c r="M49"/>
  <c r="M50"/>
  <c r="M51"/>
  <c r="M52"/>
  <c r="M53"/>
  <c r="M54"/>
  <c r="M44"/>
  <c r="M24"/>
  <c r="M25"/>
  <c r="M26"/>
  <c r="M27"/>
  <c r="M28"/>
  <c r="M29"/>
  <c r="M31"/>
  <c r="M32"/>
  <c r="M33"/>
  <c r="M34"/>
  <c r="M35"/>
  <c r="M36"/>
  <c r="M37"/>
  <c r="M38"/>
  <c r="M39"/>
  <c r="M30"/>
  <c r="M293" i="58"/>
  <c r="O293"/>
  <c r="M246"/>
  <c r="M134"/>
  <c r="O134"/>
  <c r="M48" i="18"/>
  <c r="O246" i="58"/>
  <c r="C68" i="55"/>
  <c r="C66"/>
  <c r="F66" s="1"/>
  <c r="L301" i="58"/>
  <c r="L304"/>
  <c r="M304"/>
  <c r="O304"/>
  <c r="L313"/>
  <c r="L323"/>
  <c r="L329"/>
  <c r="L352"/>
  <c r="L360"/>
  <c r="L366"/>
  <c r="M366"/>
  <c r="O366"/>
  <c r="L381"/>
  <c r="M371"/>
  <c r="O371"/>
  <c r="L305"/>
  <c r="M305"/>
  <c r="O305"/>
  <c r="L321"/>
  <c r="L327"/>
  <c r="L350"/>
  <c r="M350"/>
  <c r="O350"/>
  <c r="L359"/>
  <c r="L361"/>
  <c r="L378"/>
  <c r="L389"/>
  <c r="M389"/>
  <c r="O389"/>
  <c r="L415"/>
  <c r="O415"/>
  <c r="M380" i="57"/>
  <c r="C59" i="55"/>
  <c r="C58" s="1"/>
  <c r="L415" i="57"/>
  <c r="M344"/>
  <c r="M300"/>
  <c r="M329"/>
  <c r="M381"/>
  <c r="C60" i="55"/>
  <c r="M411" i="57"/>
  <c r="C62" i="55"/>
  <c r="F62"/>
  <c r="D62" i="51" s="1"/>
  <c r="M361" i="57"/>
  <c r="M359"/>
  <c r="M366"/>
  <c r="G24" i="21"/>
  <c r="G28"/>
  <c r="H63" i="51"/>
  <c r="H56"/>
  <c r="O378" i="58"/>
  <c r="M359"/>
  <c r="O359"/>
  <c r="M360"/>
  <c r="O360"/>
  <c r="M313"/>
  <c r="O313"/>
  <c r="O301"/>
  <c r="M361"/>
  <c r="O361"/>
  <c r="M321"/>
  <c r="O321"/>
  <c r="M352"/>
  <c r="O352"/>
  <c r="M323"/>
  <c r="O323"/>
  <c r="M329"/>
  <c r="O329"/>
  <c r="M327"/>
  <c r="O327"/>
  <c r="M301"/>
  <c r="C56" i="56"/>
  <c r="F56" s="1"/>
  <c r="E56" i="51" s="1"/>
  <c r="C56" i="55"/>
  <c r="F56"/>
  <c r="M415" i="58"/>
  <c r="L2" i="57"/>
  <c r="C17" i="25"/>
  <c r="C18"/>
  <c r="M378" i="58"/>
  <c r="M404"/>
  <c r="C67" i="56"/>
  <c r="M381" i="58"/>
  <c r="H60" i="51"/>
  <c r="M415" i="57"/>
  <c r="C71" i="55"/>
  <c r="F71"/>
  <c r="D71" i="51" s="1"/>
  <c r="H71"/>
  <c r="E170" i="18"/>
  <c r="D128"/>
  <c r="E128"/>
  <c r="D63"/>
  <c r="M344" i="58"/>
  <c r="G65" i="51"/>
  <c r="G73" s="1"/>
  <c r="M441" i="58"/>
  <c r="O441"/>
  <c r="C60" i="56"/>
  <c r="F60" s="1"/>
  <c r="E60" i="51" s="1"/>
  <c r="O381" i="58"/>
  <c r="C71" i="56"/>
  <c r="E267" i="18"/>
  <c r="E282"/>
  <c r="E248"/>
  <c r="E234"/>
  <c r="E220"/>
  <c r="E208"/>
  <c r="E155"/>
  <c r="M440" i="57"/>
  <c r="M439"/>
  <c r="M438"/>
  <c r="M437"/>
  <c r="M436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04"/>
  <c r="M103"/>
  <c r="M102"/>
  <c r="M101"/>
  <c r="M100"/>
  <c r="M99"/>
  <c r="M98"/>
  <c r="M97"/>
  <c r="M96"/>
  <c r="M95"/>
  <c r="M94"/>
  <c r="M93"/>
  <c r="M92"/>
  <c r="M91"/>
  <c r="M90"/>
  <c r="M8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23"/>
  <c r="M22"/>
  <c r="M21"/>
  <c r="M20"/>
  <c r="M8"/>
  <c r="M7"/>
  <c r="M6"/>
  <c r="M245" i="18"/>
  <c r="L245"/>
  <c r="J245"/>
  <c r="L276"/>
  <c r="M276"/>
  <c r="J276"/>
  <c r="L279"/>
  <c r="M279"/>
  <c r="L280"/>
  <c r="M280"/>
  <c r="J279"/>
  <c r="J280"/>
  <c r="M281"/>
  <c r="L281"/>
  <c r="K281"/>
  <c r="N281" s="1"/>
  <c r="M278"/>
  <c r="L278"/>
  <c r="J278"/>
  <c r="M277"/>
  <c r="M282"/>
  <c r="L277"/>
  <c r="J277"/>
  <c r="M275"/>
  <c r="L275"/>
  <c r="L282" s="1"/>
  <c r="J275"/>
  <c r="M266"/>
  <c r="M267"/>
  <c r="L266"/>
  <c r="K266"/>
  <c r="K265"/>
  <c r="K267" s="1"/>
  <c r="J265"/>
  <c r="M247"/>
  <c r="L247"/>
  <c r="K247"/>
  <c r="M246"/>
  <c r="L246"/>
  <c r="J246"/>
  <c r="M244"/>
  <c r="L244"/>
  <c r="J244"/>
  <c r="M243"/>
  <c r="M248" s="1"/>
  <c r="L243"/>
  <c r="J243"/>
  <c r="L232"/>
  <c r="M232"/>
  <c r="J232"/>
  <c r="M233"/>
  <c r="L233"/>
  <c r="K233"/>
  <c r="N233"/>
  <c r="M231"/>
  <c r="M234"/>
  <c r="L231"/>
  <c r="J231"/>
  <c r="M230"/>
  <c r="L230"/>
  <c r="J230"/>
  <c r="M219"/>
  <c r="L219"/>
  <c r="K219"/>
  <c r="N219" s="1"/>
  <c r="M217"/>
  <c r="L217"/>
  <c r="M216"/>
  <c r="M220" s="1"/>
  <c r="L216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L189"/>
  <c r="M189"/>
  <c r="L190"/>
  <c r="M190"/>
  <c r="L191"/>
  <c r="M191"/>
  <c r="L192"/>
  <c r="M192"/>
  <c r="L193"/>
  <c r="M193"/>
  <c r="L194"/>
  <c r="M194"/>
  <c r="L195"/>
  <c r="M195"/>
  <c r="L196"/>
  <c r="M196"/>
  <c r="L197"/>
  <c r="M197"/>
  <c r="L198"/>
  <c r="M198"/>
  <c r="L199"/>
  <c r="M199"/>
  <c r="L200"/>
  <c r="M200"/>
  <c r="L201"/>
  <c r="M201"/>
  <c r="L202"/>
  <c r="M202"/>
  <c r="L203"/>
  <c r="M203"/>
  <c r="L204"/>
  <c r="M204"/>
  <c r="L205"/>
  <c r="M205"/>
  <c r="L206"/>
  <c r="M206"/>
  <c r="L188"/>
  <c r="M188"/>
  <c r="K207"/>
  <c r="L207"/>
  <c r="M207"/>
  <c r="M187"/>
  <c r="M208" s="1"/>
  <c r="L187"/>
  <c r="L208" s="1"/>
  <c r="O344" i="58"/>
  <c r="M444"/>
  <c r="M446"/>
  <c r="M447"/>
  <c r="C63" i="56"/>
  <c r="F63" s="1"/>
  <c r="E63" i="51" s="1"/>
  <c r="M2" i="58"/>
  <c r="M441" i="57"/>
  <c r="M442"/>
  <c r="M2"/>
  <c r="M444"/>
  <c r="M446"/>
  <c r="M265" i="18"/>
  <c r="C67" i="55"/>
  <c r="F67" s="1"/>
  <c r="D67" i="51" s="1"/>
  <c r="C63" i="55"/>
  <c r="F63"/>
  <c r="D63" i="51" s="1"/>
  <c r="L265" i="18"/>
  <c r="L267" s="1"/>
  <c r="F16" i="46"/>
  <c r="F12"/>
  <c r="N247" i="18"/>
  <c r="K61"/>
  <c r="K60"/>
  <c r="K63" s="1"/>
  <c r="F20" i="46"/>
  <c r="F26"/>
  <c r="K83" i="18"/>
  <c r="J168"/>
  <c r="L165"/>
  <c r="M165"/>
  <c r="L166"/>
  <c r="M166"/>
  <c r="L167"/>
  <c r="M167"/>
  <c r="L168"/>
  <c r="M168"/>
  <c r="J165"/>
  <c r="J166"/>
  <c r="J167"/>
  <c r="M169"/>
  <c r="L169"/>
  <c r="N169" s="1"/>
  <c r="M164"/>
  <c r="L164"/>
  <c r="M163"/>
  <c r="L163"/>
  <c r="M162"/>
  <c r="M170" s="1"/>
  <c r="L162"/>
  <c r="L151"/>
  <c r="M151"/>
  <c r="L153"/>
  <c r="M153"/>
  <c r="J149"/>
  <c r="J150"/>
  <c r="J151"/>
  <c r="J153"/>
  <c r="L149"/>
  <c r="M149"/>
  <c r="L150"/>
  <c r="M150"/>
  <c r="M154"/>
  <c r="L154"/>
  <c r="K154"/>
  <c r="M148"/>
  <c r="L148"/>
  <c r="J148"/>
  <c r="M147"/>
  <c r="M155" s="1"/>
  <c r="L147"/>
  <c r="L155" s="1"/>
  <c r="J147"/>
  <c r="L137"/>
  <c r="M137"/>
  <c r="J137"/>
  <c r="M138"/>
  <c r="L138"/>
  <c r="K138"/>
  <c r="M136"/>
  <c r="M139" s="1"/>
  <c r="L136"/>
  <c r="L139" s="1"/>
  <c r="J136"/>
  <c r="M127"/>
  <c r="L127"/>
  <c r="K127"/>
  <c r="M126"/>
  <c r="M128" s="1"/>
  <c r="L126"/>
  <c r="L128" s="1"/>
  <c r="J126"/>
  <c r="M117"/>
  <c r="L117"/>
  <c r="K117"/>
  <c r="M116"/>
  <c r="M118" s="1"/>
  <c r="L116"/>
  <c r="L118" s="1"/>
  <c r="J116"/>
  <c r="M106"/>
  <c r="L106"/>
  <c r="K106"/>
  <c r="M105"/>
  <c r="M107" s="1"/>
  <c r="N107" s="1"/>
  <c r="L105"/>
  <c r="L107"/>
  <c r="J105"/>
  <c r="E97"/>
  <c r="N97"/>
  <c r="M96"/>
  <c r="L96"/>
  <c r="M95"/>
  <c r="L95"/>
  <c r="J95"/>
  <c r="M94"/>
  <c r="M98"/>
  <c r="L94"/>
  <c r="L98"/>
  <c r="J94"/>
  <c r="M85"/>
  <c r="L85"/>
  <c r="M84"/>
  <c r="L84"/>
  <c r="M83"/>
  <c r="N83" s="1"/>
  <c r="C83" s="1"/>
  <c r="L83"/>
  <c r="M82"/>
  <c r="L82"/>
  <c r="N86"/>
  <c r="M61"/>
  <c r="L61"/>
  <c r="M60"/>
  <c r="M63" s="1"/>
  <c r="L60"/>
  <c r="L63"/>
  <c r="J61"/>
  <c r="L29"/>
  <c r="M29"/>
  <c r="M38"/>
  <c r="L38"/>
  <c r="L39"/>
  <c r="J60"/>
  <c r="M49"/>
  <c r="M50"/>
  <c r="M52"/>
  <c r="L49"/>
  <c r="L52"/>
  <c r="L50"/>
  <c r="K49"/>
  <c r="E31"/>
  <c r="E21"/>
  <c r="E17"/>
  <c r="E12"/>
  <c r="E13"/>
  <c r="E15"/>
  <c r="E16"/>
  <c r="E18"/>
  <c r="E20"/>
  <c r="E11"/>
  <c r="C14"/>
  <c r="E14"/>
  <c r="C19"/>
  <c r="C22"/>
  <c r="E22"/>
  <c r="E19"/>
  <c r="F46" i="45"/>
  <c r="F39"/>
  <c r="F11"/>
  <c r="F18"/>
  <c r="F29"/>
  <c r="F47"/>
  <c r="F48"/>
  <c r="F19"/>
  <c r="E36" i="21"/>
  <c r="M18"/>
  <c r="L18"/>
  <c r="M41"/>
  <c r="L41"/>
  <c r="F49" i="45"/>
  <c r="H49" i="51"/>
  <c r="G49"/>
  <c r="H40"/>
  <c r="G40"/>
  <c r="H35"/>
  <c r="H25"/>
  <c r="H26"/>
  <c r="G25"/>
  <c r="G12"/>
  <c r="F57" i="56"/>
  <c r="E57" i="51" s="1"/>
  <c r="C39" i="56"/>
  <c r="C38"/>
  <c r="F38" s="1"/>
  <c r="E38" i="51" s="1"/>
  <c r="C29" i="56"/>
  <c r="F29"/>
  <c r="C28"/>
  <c r="F28"/>
  <c r="C22"/>
  <c r="F22"/>
  <c r="E22" i="51" s="1"/>
  <c r="C21" i="56"/>
  <c r="F21" s="1"/>
  <c r="E21" i="51" s="1"/>
  <c r="C6" i="56"/>
  <c r="F6"/>
  <c r="C5"/>
  <c r="F68" i="55"/>
  <c r="D68" i="51" s="1"/>
  <c r="F61" i="55"/>
  <c r="D61" i="51" s="1"/>
  <c r="F59" i="55"/>
  <c r="F57"/>
  <c r="D57" i="51"/>
  <c r="C46" i="55"/>
  <c r="F46"/>
  <c r="D46" i="51" s="1"/>
  <c r="C45" i="55"/>
  <c r="F45" s="1"/>
  <c r="D45" i="51" s="1"/>
  <c r="C44" i="55"/>
  <c r="F44"/>
  <c r="D44" i="51" s="1"/>
  <c r="C43" i="55"/>
  <c r="F43" s="1"/>
  <c r="C42"/>
  <c r="C39"/>
  <c r="F39"/>
  <c r="D39" i="51" s="1"/>
  <c r="C38" i="55"/>
  <c r="F38" s="1"/>
  <c r="D38" i="51" s="1"/>
  <c r="C37" i="55"/>
  <c r="F37"/>
  <c r="C36"/>
  <c r="C40"/>
  <c r="C34"/>
  <c r="F34"/>
  <c r="D34" i="51" s="1"/>
  <c r="C33" i="55"/>
  <c r="F33" s="1"/>
  <c r="D33" i="51" s="1"/>
  <c r="C32" i="55"/>
  <c r="F32"/>
  <c r="D32" i="51" s="1"/>
  <c r="C31" i="55"/>
  <c r="F31" s="1"/>
  <c r="D31" i="51" s="1"/>
  <c r="C30" i="55"/>
  <c r="F30"/>
  <c r="D30" i="51" s="1"/>
  <c r="C29" i="55"/>
  <c r="F29" s="1"/>
  <c r="G82" s="1"/>
  <c r="C28"/>
  <c r="F28" s="1"/>
  <c r="C27"/>
  <c r="F27" s="1"/>
  <c r="C24"/>
  <c r="F24" s="1"/>
  <c r="D24" i="51" s="1"/>
  <c r="C23" i="55"/>
  <c r="F23"/>
  <c r="D23" i="51" s="1"/>
  <c r="C22" i="55"/>
  <c r="F22" s="1"/>
  <c r="D22" i="51" s="1"/>
  <c r="C21" i="55"/>
  <c r="F21"/>
  <c r="D21" i="51" s="1"/>
  <c r="C19" i="55"/>
  <c r="F19" s="1"/>
  <c r="D19" i="51" s="1"/>
  <c r="C18" i="55"/>
  <c r="F18"/>
  <c r="D18" i="51" s="1"/>
  <c r="C17" i="55"/>
  <c r="F17" s="1"/>
  <c r="D17" i="51" s="1"/>
  <c r="C16" i="55"/>
  <c r="F16"/>
  <c r="D16" i="51" s="1"/>
  <c r="C15" i="55"/>
  <c r="F15" s="1"/>
  <c r="D15" i="51" s="1"/>
  <c r="C14" i="55"/>
  <c r="F14"/>
  <c r="D14" i="51" s="1"/>
  <c r="C13" i="55"/>
  <c r="F13" s="1"/>
  <c r="D13" i="51" s="1"/>
  <c r="C11" i="55"/>
  <c r="F11" s="1"/>
  <c r="D11" i="51" s="1"/>
  <c r="C10" i="55"/>
  <c r="F10"/>
  <c r="D10" i="51" s="1"/>
  <c r="C9" i="55"/>
  <c r="F9" s="1"/>
  <c r="D9" i="51" s="1"/>
  <c r="C8" i="55"/>
  <c r="F8"/>
  <c r="D8" i="51" s="1"/>
  <c r="C7" i="55"/>
  <c r="F7" s="1"/>
  <c r="D7" i="51" s="1"/>
  <c r="C6" i="55"/>
  <c r="F6"/>
  <c r="C5"/>
  <c r="F5"/>
  <c r="C4"/>
  <c r="C12"/>
  <c r="F61" i="56"/>
  <c r="E61" i="51"/>
  <c r="C34" i="56"/>
  <c r="F34" s="1"/>
  <c r="E34" i="51" s="1"/>
  <c r="C23" i="56"/>
  <c r="F23"/>
  <c r="E23" i="51" s="1"/>
  <c r="C31" i="56"/>
  <c r="F31" s="1"/>
  <c r="P50" i="58"/>
  <c r="C17" i="56"/>
  <c r="F17" s="1"/>
  <c r="E17" i="51" s="1"/>
  <c r="C14" i="56"/>
  <c r="C13"/>
  <c r="C20" s="1"/>
  <c r="C25" s="1"/>
  <c r="C45"/>
  <c r="C43"/>
  <c r="C44"/>
  <c r="F44"/>
  <c r="E44" i="51" s="1"/>
  <c r="P50" i="57"/>
  <c r="G87" i="56"/>
  <c r="F87"/>
  <c r="E81"/>
  <c r="G80"/>
  <c r="F80"/>
  <c r="G79"/>
  <c r="F79"/>
  <c r="G78"/>
  <c r="F78"/>
  <c r="F71"/>
  <c r="E71" i="51" s="1"/>
  <c r="J64" i="56"/>
  <c r="I64"/>
  <c r="H64"/>
  <c r="G64"/>
  <c r="J55"/>
  <c r="J70"/>
  <c r="J72"/>
  <c r="I55"/>
  <c r="I70"/>
  <c r="I72"/>
  <c r="H55"/>
  <c r="H70"/>
  <c r="H72"/>
  <c r="G55"/>
  <c r="G70"/>
  <c r="G72"/>
  <c r="C52"/>
  <c r="F52"/>
  <c r="I48"/>
  <c r="H48"/>
  <c r="J47"/>
  <c r="J46"/>
  <c r="J42"/>
  <c r="I40"/>
  <c r="H40"/>
  <c r="G40"/>
  <c r="J39"/>
  <c r="J38"/>
  <c r="J37"/>
  <c r="J36"/>
  <c r="I35"/>
  <c r="H35"/>
  <c r="J33"/>
  <c r="J30"/>
  <c r="J29"/>
  <c r="J28"/>
  <c r="J27"/>
  <c r="E26"/>
  <c r="E49"/>
  <c r="D26"/>
  <c r="D49"/>
  <c r="J24"/>
  <c r="J23"/>
  <c r="J22"/>
  <c r="J21"/>
  <c r="I20"/>
  <c r="I25"/>
  <c r="H20"/>
  <c r="H25"/>
  <c r="G20"/>
  <c r="G25"/>
  <c r="J19"/>
  <c r="J18"/>
  <c r="J17"/>
  <c r="J16"/>
  <c r="J15"/>
  <c r="J14"/>
  <c r="J13"/>
  <c r="I12"/>
  <c r="H12"/>
  <c r="G12"/>
  <c r="J11"/>
  <c r="J10"/>
  <c r="J9"/>
  <c r="J8"/>
  <c r="J7"/>
  <c r="J4"/>
  <c r="G2"/>
  <c r="J2"/>
  <c r="F2"/>
  <c r="G87" i="55"/>
  <c r="F87"/>
  <c r="E81"/>
  <c r="G80"/>
  <c r="F80"/>
  <c r="G79"/>
  <c r="F79"/>
  <c r="G78"/>
  <c r="F78"/>
  <c r="F65"/>
  <c r="D65" i="51"/>
  <c r="I64" i="55"/>
  <c r="H64"/>
  <c r="I55"/>
  <c r="H55"/>
  <c r="G55"/>
  <c r="C52"/>
  <c r="F52"/>
  <c r="I48"/>
  <c r="H48"/>
  <c r="J47"/>
  <c r="J46"/>
  <c r="J42"/>
  <c r="I40"/>
  <c r="H40"/>
  <c r="G40"/>
  <c r="G41"/>
  <c r="J39"/>
  <c r="J38"/>
  <c r="J37"/>
  <c r="J36"/>
  <c r="I35"/>
  <c r="H35"/>
  <c r="J33"/>
  <c r="J30"/>
  <c r="J29"/>
  <c r="J28"/>
  <c r="J27"/>
  <c r="E26"/>
  <c r="E49"/>
  <c r="D26"/>
  <c r="D49"/>
  <c r="J24"/>
  <c r="J23"/>
  <c r="J22"/>
  <c r="J21"/>
  <c r="I20"/>
  <c r="I25"/>
  <c r="H20"/>
  <c r="H25"/>
  <c r="G20"/>
  <c r="G25"/>
  <c r="J19"/>
  <c r="J18"/>
  <c r="I12"/>
  <c r="H12"/>
  <c r="G12"/>
  <c r="J4"/>
  <c r="J12"/>
  <c r="G52"/>
  <c r="J52"/>
  <c r="I20" i="49"/>
  <c r="I25"/>
  <c r="H20"/>
  <c r="H25"/>
  <c r="G20"/>
  <c r="G25"/>
  <c r="I12"/>
  <c r="H12"/>
  <c r="G12"/>
  <c r="G26" i="56"/>
  <c r="G81" i="55"/>
  <c r="H70"/>
  <c r="H72"/>
  <c r="G81" i="56"/>
  <c r="G70" i="55"/>
  <c r="J55"/>
  <c r="J20" i="56"/>
  <c r="J25"/>
  <c r="I26" i="49"/>
  <c r="J64" i="55"/>
  <c r="F81"/>
  <c r="F81" i="56"/>
  <c r="G52"/>
  <c r="J52"/>
  <c r="J40" i="55"/>
  <c r="I41"/>
  <c r="J48"/>
  <c r="I70"/>
  <c r="I72"/>
  <c r="J48" i="56"/>
  <c r="J12"/>
  <c r="G26" i="49"/>
  <c r="I26" i="55"/>
  <c r="I49"/>
  <c r="J20"/>
  <c r="J25"/>
  <c r="H26"/>
  <c r="J35"/>
  <c r="H41"/>
  <c r="H49"/>
  <c r="I26" i="56"/>
  <c r="J35"/>
  <c r="H41"/>
  <c r="J40"/>
  <c r="G41"/>
  <c r="G49"/>
  <c r="I41"/>
  <c r="G26" i="51"/>
  <c r="C42" i="56"/>
  <c r="F42"/>
  <c r="C11"/>
  <c r="C4"/>
  <c r="C12" s="1"/>
  <c r="C26" s="1"/>
  <c r="F67"/>
  <c r="E67" i="51"/>
  <c r="C8" i="56"/>
  <c r="F8"/>
  <c r="E8" i="51" s="1"/>
  <c r="F68" i="56"/>
  <c r="E68" i="51"/>
  <c r="F62" i="56"/>
  <c r="C15"/>
  <c r="F15"/>
  <c r="E15" i="51" s="1"/>
  <c r="C16" i="56"/>
  <c r="F16" s="1"/>
  <c r="E16" i="51" s="1"/>
  <c r="C24" i="56"/>
  <c r="F24"/>
  <c r="E24" i="51" s="1"/>
  <c r="C18" i="56"/>
  <c r="F18" s="1"/>
  <c r="E18" i="51" s="1"/>
  <c r="C30" i="56"/>
  <c r="F30"/>
  <c r="E30" i="51" s="1"/>
  <c r="H26" i="49"/>
  <c r="G26" i="55"/>
  <c r="G49"/>
  <c r="C19" i="56"/>
  <c r="F19"/>
  <c r="E19" i="51" s="1"/>
  <c r="C10" i="56"/>
  <c r="F10" s="1"/>
  <c r="E10" i="51" s="1"/>
  <c r="H26" i="56"/>
  <c r="H49"/>
  <c r="J2" i="55"/>
  <c r="C46" i="56"/>
  <c r="F46" s="1"/>
  <c r="E46" i="51" s="1"/>
  <c r="C9" i="56"/>
  <c r="F9"/>
  <c r="E9" i="51" s="1"/>
  <c r="C7" i="56"/>
  <c r="F7" s="1"/>
  <c r="E7" i="51" s="1"/>
  <c r="C33" i="56"/>
  <c r="F33"/>
  <c r="E33" i="51" s="1"/>
  <c r="C32" i="56"/>
  <c r="F32" s="1"/>
  <c r="E32" i="51" s="1"/>
  <c r="C37" i="56"/>
  <c r="F37"/>
  <c r="E37" i="51" s="1"/>
  <c r="C36" i="56"/>
  <c r="C40" s="1"/>
  <c r="C27"/>
  <c r="F27"/>
  <c r="J41" i="55"/>
  <c r="I49" i="56"/>
  <c r="J26" i="55"/>
  <c r="J49"/>
  <c r="G72"/>
  <c r="J72"/>
  <c r="J70"/>
  <c r="J41" i="56"/>
  <c r="F4"/>
  <c r="E4" i="51" s="1"/>
  <c r="J26" i="56"/>
  <c r="J49"/>
  <c r="C65" i="49"/>
  <c r="C57"/>
  <c r="F57" s="1"/>
  <c r="C57" i="51" s="1"/>
  <c r="F57" s="1"/>
  <c r="I57" s="1"/>
  <c r="C39" i="49"/>
  <c r="F39"/>
  <c r="C39" i="51" s="1"/>
  <c r="C38" i="49"/>
  <c r="F38" s="1"/>
  <c r="C38" i="51" s="1"/>
  <c r="F38" s="1"/>
  <c r="I38" s="1"/>
  <c r="C29" i="49"/>
  <c r="F29"/>
  <c r="C28"/>
  <c r="F28"/>
  <c r="C22"/>
  <c r="F22"/>
  <c r="C22" i="51" s="1"/>
  <c r="C21" i="49"/>
  <c r="F21" s="1"/>
  <c r="C21" i="51" s="1"/>
  <c r="F21" s="1"/>
  <c r="I21" s="1"/>
  <c r="E9" i="45" s="1"/>
  <c r="H9" s="1"/>
  <c r="C6" i="49"/>
  <c r="F6" s="1"/>
  <c r="C5"/>
  <c r="F5" s="1"/>
  <c r="G29" i="21"/>
  <c r="G30"/>
  <c r="G27"/>
  <c r="G26"/>
  <c r="G32" s="1"/>
  <c r="G41" s="1"/>
  <c r="G15"/>
  <c r="G13"/>
  <c r="G14"/>
  <c r="C71" i="18"/>
  <c r="G2" i="49"/>
  <c r="E81"/>
  <c r="I64"/>
  <c r="H64"/>
  <c r="J55"/>
  <c r="J70"/>
  <c r="I55"/>
  <c r="H55"/>
  <c r="G55"/>
  <c r="I48"/>
  <c r="H48"/>
  <c r="G48"/>
  <c r="J47"/>
  <c r="J46"/>
  <c r="J42"/>
  <c r="I40"/>
  <c r="H40"/>
  <c r="G40"/>
  <c r="J39"/>
  <c r="J38"/>
  <c r="J37"/>
  <c r="J36"/>
  <c r="I35"/>
  <c r="H35"/>
  <c r="J30"/>
  <c r="J29"/>
  <c r="J28"/>
  <c r="J27"/>
  <c r="J24"/>
  <c r="J23"/>
  <c r="J22"/>
  <c r="J21"/>
  <c r="J19"/>
  <c r="J18"/>
  <c r="J17"/>
  <c r="J16"/>
  <c r="J15"/>
  <c r="J14"/>
  <c r="J13"/>
  <c r="D26"/>
  <c r="J11"/>
  <c r="J10"/>
  <c r="J9"/>
  <c r="J8"/>
  <c r="J7"/>
  <c r="J4"/>
  <c r="E26"/>
  <c r="I70"/>
  <c r="I72"/>
  <c r="F65"/>
  <c r="C65" i="51"/>
  <c r="H41" i="49"/>
  <c r="H70"/>
  <c r="H72"/>
  <c r="G70"/>
  <c r="G72"/>
  <c r="J35"/>
  <c r="J40"/>
  <c r="J72"/>
  <c r="J12"/>
  <c r="J20"/>
  <c r="J25"/>
  <c r="G41"/>
  <c r="G49"/>
  <c r="I41"/>
  <c r="J48"/>
  <c r="K14" i="21"/>
  <c r="K26"/>
  <c r="O26" s="1"/>
  <c r="K24"/>
  <c r="E24" s="1"/>
  <c r="K30"/>
  <c r="E30" s="1"/>
  <c r="K191" i="18"/>
  <c r="N191" s="1"/>
  <c r="C191" s="1"/>
  <c r="K163"/>
  <c r="K168"/>
  <c r="N168"/>
  <c r="C168" s="1"/>
  <c r="K137"/>
  <c r="N137" s="1"/>
  <c r="C137" s="1"/>
  <c r="K16" i="21"/>
  <c r="K25"/>
  <c r="E25" s="1"/>
  <c r="K28"/>
  <c r="O28" s="1"/>
  <c r="K29"/>
  <c r="O29" s="1"/>
  <c r="K189" i="18"/>
  <c r="N189" s="1"/>
  <c r="C189" s="1"/>
  <c r="C17" i="49"/>
  <c r="F17"/>
  <c r="C17" i="51" s="1"/>
  <c r="K192" i="18"/>
  <c r="N192" s="1"/>
  <c r="C192" s="1"/>
  <c r="K193"/>
  <c r="N193"/>
  <c r="C193" s="1"/>
  <c r="K38"/>
  <c r="N38" s="1"/>
  <c r="C38" s="1"/>
  <c r="K31" i="21"/>
  <c r="E31"/>
  <c r="K162" i="18"/>
  <c r="K170" s="1"/>
  <c r="N170" s="1"/>
  <c r="N162"/>
  <c r="C162" s="1"/>
  <c r="K165"/>
  <c r="K232"/>
  <c r="K17" i="21"/>
  <c r="K53" s="1"/>
  <c r="E53" s="1"/>
  <c r="K201" i="18"/>
  <c r="N201"/>
  <c r="C201" s="1"/>
  <c r="K147"/>
  <c r="N147" s="1"/>
  <c r="K279"/>
  <c r="N279" s="1"/>
  <c r="C279" s="1"/>
  <c r="C28" i="25" s="1"/>
  <c r="C19" s="1"/>
  <c r="K149" i="18"/>
  <c r="N149" s="1"/>
  <c r="C149" s="1"/>
  <c r="K187"/>
  <c r="N187"/>
  <c r="C187" s="1"/>
  <c r="K188"/>
  <c r="K208" s="1"/>
  <c r="N208" s="1"/>
  <c r="K199"/>
  <c r="N199"/>
  <c r="C199" s="1"/>
  <c r="K231"/>
  <c r="N231" s="1"/>
  <c r="C231" s="1"/>
  <c r="K150"/>
  <c r="N150"/>
  <c r="C150" s="1"/>
  <c r="C44" i="49"/>
  <c r="F44" s="1"/>
  <c r="C44" i="51" s="1"/>
  <c r="C45" i="49"/>
  <c r="F45"/>
  <c r="C45" i="51" s="1"/>
  <c r="C18" i="49"/>
  <c r="F18" s="1"/>
  <c r="C18" i="51" s="1"/>
  <c r="K148" i="18"/>
  <c r="N148"/>
  <c r="C148" s="1"/>
  <c r="C34" i="49"/>
  <c r="F34" s="1"/>
  <c r="C34" i="51" s="1"/>
  <c r="K196" i="18"/>
  <c r="N196"/>
  <c r="C196" s="1"/>
  <c r="C255"/>
  <c r="K164"/>
  <c r="N164"/>
  <c r="C164" s="1"/>
  <c r="K166"/>
  <c r="N166" s="1"/>
  <c r="C166" s="1"/>
  <c r="K276"/>
  <c r="C54" i="49"/>
  <c r="F54"/>
  <c r="C54" i="51" s="1"/>
  <c r="F54" s="1"/>
  <c r="I54" s="1"/>
  <c r="E7" i="46" s="1"/>
  <c r="C43" i="49"/>
  <c r="C13"/>
  <c r="F13" s="1"/>
  <c r="G13" i="51"/>
  <c r="G20"/>
  <c r="F79" i="49"/>
  <c r="G79"/>
  <c r="G87"/>
  <c r="F78"/>
  <c r="G78"/>
  <c r="H49"/>
  <c r="D49"/>
  <c r="E49"/>
  <c r="F80"/>
  <c r="G80"/>
  <c r="I49"/>
  <c r="J26"/>
  <c r="J41"/>
  <c r="C42"/>
  <c r="F42"/>
  <c r="K245" i="18"/>
  <c r="N245"/>
  <c r="C245" s="1"/>
  <c r="K280"/>
  <c r="N280" s="1"/>
  <c r="C280" s="1"/>
  <c r="K230"/>
  <c r="N230" s="1"/>
  <c r="K234"/>
  <c r="C61" i="49"/>
  <c r="F61"/>
  <c r="C61" i="51" s="1"/>
  <c r="K278" i="18"/>
  <c r="N278" s="1"/>
  <c r="C278" s="1"/>
  <c r="K277"/>
  <c r="K275"/>
  <c r="N275" s="1"/>
  <c r="C275" s="1"/>
  <c r="K195"/>
  <c r="N195" s="1"/>
  <c r="C195" s="1"/>
  <c r="C254"/>
  <c r="C256"/>
  <c r="K216"/>
  <c r="K243"/>
  <c r="N243" s="1"/>
  <c r="K244"/>
  <c r="N244"/>
  <c r="C60" i="49"/>
  <c r="F60"/>
  <c r="C60" i="51" s="1"/>
  <c r="K217" i="18"/>
  <c r="N217" s="1"/>
  <c r="C217" s="1"/>
  <c r="K194"/>
  <c r="N194" s="1"/>
  <c r="C194" s="1"/>
  <c r="K153"/>
  <c r="N153"/>
  <c r="C153" s="1"/>
  <c r="K204"/>
  <c r="N204" s="1"/>
  <c r="C204" s="1"/>
  <c r="K200"/>
  <c r="N200"/>
  <c r="C200" s="1"/>
  <c r="K190"/>
  <c r="N190" s="1"/>
  <c r="C190" s="1"/>
  <c r="K202"/>
  <c r="N202"/>
  <c r="C202" s="1"/>
  <c r="K203"/>
  <c r="N203" s="1"/>
  <c r="C203" s="1"/>
  <c r="K198"/>
  <c r="N198" s="1"/>
  <c r="C198" s="1"/>
  <c r="K206"/>
  <c r="N206" s="1"/>
  <c r="C206" s="1"/>
  <c r="K205"/>
  <c r="N205" s="1"/>
  <c r="C205" s="1"/>
  <c r="K197"/>
  <c r="N197" s="1"/>
  <c r="C197" s="1"/>
  <c r="K167"/>
  <c r="K151"/>
  <c r="N151" s="1"/>
  <c r="C151" s="1"/>
  <c r="K136"/>
  <c r="N136"/>
  <c r="C136" s="1"/>
  <c r="K126"/>
  <c r="K128" s="1"/>
  <c r="N128" s="1"/>
  <c r="C31" i="49"/>
  <c r="F31"/>
  <c r="C31" i="51" s="1"/>
  <c r="K116" i="18"/>
  <c r="N116" s="1"/>
  <c r="C116" s="1"/>
  <c r="K105"/>
  <c r="K107"/>
  <c r="E15" i="21"/>
  <c r="K94" i="18"/>
  <c r="N94" s="1"/>
  <c r="C94" s="1"/>
  <c r="K96"/>
  <c r="N96"/>
  <c r="K85"/>
  <c r="N85"/>
  <c r="C85" s="1"/>
  <c r="K48"/>
  <c r="K50"/>
  <c r="N50"/>
  <c r="C50" s="1"/>
  <c r="N29"/>
  <c r="C29" s="1"/>
  <c r="K52" i="21"/>
  <c r="E52" s="1"/>
  <c r="J49" i="49"/>
  <c r="F81"/>
  <c r="G81"/>
  <c r="C9"/>
  <c r="F9"/>
  <c r="C9" i="51" s="1"/>
  <c r="F9" s="1"/>
  <c r="I9" s="1"/>
  <c r="E13" i="45" s="1"/>
  <c r="C37" i="49"/>
  <c r="F37"/>
  <c r="C32"/>
  <c r="F32" s="1"/>
  <c r="C32" i="51" s="1"/>
  <c r="C46" i="49"/>
  <c r="F46" s="1"/>
  <c r="C46" i="51" s="1"/>
  <c r="F46" s="1"/>
  <c r="I46" s="1"/>
  <c r="E27" i="45" s="1"/>
  <c r="H27" s="1"/>
  <c r="C33" i="49"/>
  <c r="F33" s="1"/>
  <c r="C33" i="51" s="1"/>
  <c r="F33" s="1"/>
  <c r="C19" i="49"/>
  <c r="F19" s="1"/>
  <c r="C19" i="51" s="1"/>
  <c r="F19" s="1"/>
  <c r="I19" s="1"/>
  <c r="C67" i="49"/>
  <c r="F67" s="1"/>
  <c r="C67" i="51" s="1"/>
  <c r="C62" i="49"/>
  <c r="F62" s="1"/>
  <c r="C62" i="51" s="1"/>
  <c r="C24" i="49"/>
  <c r="F24" s="1"/>
  <c r="C24" i="51" s="1"/>
  <c r="F56" i="49"/>
  <c r="C56" i="51"/>
  <c r="C66" i="49"/>
  <c r="F66"/>
  <c r="C59"/>
  <c r="C68"/>
  <c r="F68" s="1"/>
  <c r="C68" i="51" s="1"/>
  <c r="C30" i="49"/>
  <c r="F30" s="1"/>
  <c r="C30" i="51" s="1"/>
  <c r="C53" i="49"/>
  <c r="C55"/>
  <c r="C16"/>
  <c r="F16"/>
  <c r="C16" i="51" s="1"/>
  <c r="F16" s="1"/>
  <c r="I16" s="1"/>
  <c r="C15" i="49"/>
  <c r="F15" s="1"/>
  <c r="C15" i="51" s="1"/>
  <c r="F15" s="1"/>
  <c r="I15" s="1"/>
  <c r="C14" i="49"/>
  <c r="F14"/>
  <c r="C14" i="51" s="1"/>
  <c r="F14" s="1"/>
  <c r="I14" s="1"/>
  <c r="C10" i="49"/>
  <c r="F10" s="1"/>
  <c r="C10" i="51" s="1"/>
  <c r="C7" i="49"/>
  <c r="F7"/>
  <c r="C7" i="51" s="1"/>
  <c r="F7" s="1"/>
  <c r="C4" i="49"/>
  <c r="C11"/>
  <c r="F11"/>
  <c r="C11" i="51" s="1"/>
  <c r="E50" i="21"/>
  <c r="N126" i="18"/>
  <c r="C126"/>
  <c r="N60"/>
  <c r="C60"/>
  <c r="E39"/>
  <c r="G30" i="25"/>
  <c r="D35"/>
  <c r="H9" i="21"/>
  <c r="I41"/>
  <c r="I54"/>
  <c r="K114"/>
  <c r="J38" i="18"/>
  <c r="J47"/>
  <c r="J48"/>
  <c r="J49"/>
  <c r="J50"/>
  <c r="J29"/>
  <c r="K31"/>
  <c r="N31" s="1"/>
  <c r="E73"/>
  <c r="J82"/>
  <c r="J83"/>
  <c r="J84"/>
  <c r="J85"/>
  <c r="J162"/>
  <c r="J163"/>
  <c r="J164"/>
  <c r="J187"/>
  <c r="J216"/>
  <c r="J217"/>
  <c r="E44"/>
  <c r="E26"/>
  <c r="E67"/>
  <c r="E79"/>
  <c r="C73"/>
  <c r="C74"/>
  <c r="L170"/>
  <c r="L220"/>
  <c r="M31"/>
  <c r="M54" i="21"/>
  <c r="L54"/>
  <c r="M39" i="18"/>
  <c r="L31"/>
  <c r="C44"/>
  <c r="C26"/>
  <c r="C67"/>
  <c r="C79"/>
  <c r="C91"/>
  <c r="E91"/>
  <c r="L87"/>
  <c r="I9" i="21"/>
  <c r="G52" i="49"/>
  <c r="J52"/>
  <c r="J2"/>
  <c r="C52"/>
  <c r="F52"/>
  <c r="F2"/>
  <c r="E36" i="45"/>
  <c r="H36" s="1"/>
  <c r="E24"/>
  <c r="H24" s="1"/>
  <c r="K246" i="18"/>
  <c r="K248" s="1"/>
  <c r="C63" i="49"/>
  <c r="C64" s="1"/>
  <c r="C42" i="25"/>
  <c r="C43"/>
  <c r="C71" i="49"/>
  <c r="F71"/>
  <c r="C71" i="51" s="1"/>
  <c r="K137" i="2"/>
  <c r="K134"/>
  <c r="K82" i="18"/>
  <c r="N82" s="1"/>
  <c r="C82" s="1"/>
  <c r="C46" i="25" s="1"/>
  <c r="K84" i="18"/>
  <c r="N84" s="1"/>
  <c r="C84" s="1"/>
  <c r="K478" i="2"/>
  <c r="C8" i="49"/>
  <c r="F8" s="1"/>
  <c r="C8" i="51"/>
  <c r="F8" s="1"/>
  <c r="I8" s="1"/>
  <c r="E15" i="45" s="1"/>
  <c r="D6" i="51"/>
  <c r="F82" i="55"/>
  <c r="I39" i="60"/>
  <c r="K139" i="18"/>
  <c r="G16" i="21"/>
  <c r="C69" i="49"/>
  <c r="K220" i="18"/>
  <c r="K223"/>
  <c r="N95"/>
  <c r="C95"/>
  <c r="F36" i="55"/>
  <c r="E62" i="51"/>
  <c r="F4" i="55"/>
  <c r="N152" i="18"/>
  <c r="C152" s="1"/>
  <c r="F36" i="56"/>
  <c r="E36" i="51" s="1"/>
  <c r="N207" i="18"/>
  <c r="F36" i="49"/>
  <c r="C36" i="51"/>
  <c r="K18" i="21"/>
  <c r="E13"/>
  <c r="P13"/>
  <c r="K49"/>
  <c r="E14"/>
  <c r="N216" i="18"/>
  <c r="N220" s="1"/>
  <c r="N165"/>
  <c r="C165" s="1"/>
  <c r="C27" i="49"/>
  <c r="C35" s="1"/>
  <c r="N48" i="18"/>
  <c r="C48" s="1"/>
  <c r="C20" i="49"/>
  <c r="C25" s="1"/>
  <c r="N265" i="18"/>
  <c r="C265" s="1"/>
  <c r="E29" i="21"/>
  <c r="P29" s="1"/>
  <c r="D36" i="51"/>
  <c r="E49" i="21"/>
  <c r="D43" i="51"/>
  <c r="C66"/>
  <c r="C28"/>
  <c r="G88" i="49"/>
  <c r="C244" i="18"/>
  <c r="G88" i="56"/>
  <c r="E28" i="51"/>
  <c r="P24" i="21"/>
  <c r="N232" i="18"/>
  <c r="C232" s="1"/>
  <c r="F11" i="56"/>
  <c r="E11" i="51" s="1"/>
  <c r="F43" i="56"/>
  <c r="E43" i="51" s="1"/>
  <c r="C58" i="49"/>
  <c r="K118" i="18"/>
  <c r="N118" s="1"/>
  <c r="F4" i="49"/>
  <c r="N167" i="18"/>
  <c r="C167"/>
  <c r="C55" i="55"/>
  <c r="E26" i="21"/>
  <c r="P26" s="1"/>
  <c r="C69" i="55"/>
  <c r="F66" i="56"/>
  <c r="E66" i="51"/>
  <c r="F14" i="56"/>
  <c r="M87" i="18"/>
  <c r="N277"/>
  <c r="C277" s="1"/>
  <c r="C4" i="51"/>
  <c r="E14"/>
  <c r="D5"/>
  <c r="F88" i="55"/>
  <c r="F55" i="56"/>
  <c r="E55" i="51" s="1"/>
  <c r="H61"/>
  <c r="C37"/>
  <c r="F40" i="49"/>
  <c r="C40" i="51" s="1"/>
  <c r="F30"/>
  <c r="I30" s="1"/>
  <c r="D29"/>
  <c r="E42"/>
  <c r="C243" i="18"/>
  <c r="F87" i="49"/>
  <c r="C5" i="51"/>
  <c r="C42"/>
  <c r="C13"/>
  <c r="E27"/>
  <c r="D27"/>
  <c r="F35" i="55"/>
  <c r="G82" i="56"/>
  <c r="E29" i="51"/>
  <c r="I33"/>
  <c r="E43" i="45" s="1"/>
  <c r="F44" i="51"/>
  <c r="I44" s="1"/>
  <c r="E26" i="45"/>
  <c r="H26" s="1"/>
  <c r="F20" i="55"/>
  <c r="N139" i="18"/>
  <c r="H11" i="60"/>
  <c r="E11" i="61" s="1"/>
  <c r="C11" i="60"/>
  <c r="G11" s="1"/>
  <c r="G82" i="49"/>
  <c r="C29" i="51"/>
  <c r="F10"/>
  <c r="I10" s="1"/>
  <c r="C39" i="18"/>
  <c r="C14" i="60"/>
  <c r="K180" i="18"/>
  <c r="F71" i="51"/>
  <c r="I71" s="1"/>
  <c r="E19" i="46" s="1"/>
  <c r="I7" i="51"/>
  <c r="C16" i="25"/>
  <c r="F82" i="56"/>
  <c r="E6" i="51"/>
  <c r="F68"/>
  <c r="I68" s="1"/>
  <c r="F69" i="49"/>
  <c r="C69" i="51" s="1"/>
  <c r="D56"/>
  <c r="F56" s="1"/>
  <c r="I56" s="1"/>
  <c r="F17"/>
  <c r="I17"/>
  <c r="F23"/>
  <c r="I23"/>
  <c r="E10" i="45" s="1"/>
  <c r="F82" i="49"/>
  <c r="C6" i="51"/>
  <c r="F6" s="1"/>
  <c r="I6" s="1"/>
  <c r="F58" i="56"/>
  <c r="E58" i="51"/>
  <c r="E59"/>
  <c r="F64" i="56"/>
  <c r="E64" i="51" s="1"/>
  <c r="C147" i="18"/>
  <c r="N155"/>
  <c r="F32" i="51"/>
  <c r="I32" s="1"/>
  <c r="F67"/>
  <c r="I67" s="1"/>
  <c r="F12" i="55"/>
  <c r="F11" i="51"/>
  <c r="I11"/>
  <c r="F61"/>
  <c r="I61"/>
  <c r="F24"/>
  <c r="I24"/>
  <c r="N234" i="18"/>
  <c r="C230"/>
  <c r="D37" i="51"/>
  <c r="F40" i="55"/>
  <c r="D40" i="51" s="1"/>
  <c r="F12" i="49"/>
  <c r="C70"/>
  <c r="F18" i="51"/>
  <c r="I18" s="1"/>
  <c r="F34"/>
  <c r="I34" s="1"/>
  <c r="E44" i="45" s="1"/>
  <c r="F22" i="51"/>
  <c r="I22"/>
  <c r="L248" i="18"/>
  <c r="D59" i="51"/>
  <c r="N276" i="18"/>
  <c r="C276"/>
  <c r="N61"/>
  <c r="C61"/>
  <c r="F45" i="56"/>
  <c r="E45" i="51"/>
  <c r="F45" s="1"/>
  <c r="I45" s="1"/>
  <c r="K39" i="18"/>
  <c r="N39"/>
  <c r="F5" i="56"/>
  <c r="C55"/>
  <c r="K98" i="18"/>
  <c r="N98"/>
  <c r="N266"/>
  <c r="P17" i="21"/>
  <c r="F43" i="49"/>
  <c r="C43" i="51"/>
  <c r="F43" s="1"/>
  <c r="I43" s="1"/>
  <c r="E25" i="45" s="1"/>
  <c r="H25" s="1"/>
  <c r="N163" i="18"/>
  <c r="C163"/>
  <c r="C58" i="56"/>
  <c r="C64" i="55"/>
  <c r="C70" s="1"/>
  <c r="F42"/>
  <c r="C64" i="56"/>
  <c r="F39"/>
  <c r="E39" i="51"/>
  <c r="D4"/>
  <c r="F4" s="1"/>
  <c r="I4" s="1"/>
  <c r="E17" i="45" s="1"/>
  <c r="K87" i="18"/>
  <c r="N87" s="1"/>
  <c r="C216"/>
  <c r="K52"/>
  <c r="N52"/>
  <c r="O30" i="21"/>
  <c r="P30"/>
  <c r="C35" i="55"/>
  <c r="C41"/>
  <c r="F13" i="56"/>
  <c r="N267" i="18"/>
  <c r="F59" i="49"/>
  <c r="C40"/>
  <c r="C41" s="1"/>
  <c r="N246" i="18"/>
  <c r="C246" s="1"/>
  <c r="K51" i="21"/>
  <c r="F40" i="56"/>
  <c r="E40" i="51" s="1"/>
  <c r="L234" i="18"/>
  <c r="F53" i="49"/>
  <c r="C20" i="55"/>
  <c r="C25" s="1"/>
  <c r="C26" s="1"/>
  <c r="E28" i="21"/>
  <c r="P28"/>
  <c r="K41"/>
  <c r="N105" i="18"/>
  <c r="C105" s="1"/>
  <c r="C35" i="56"/>
  <c r="F60" i="55"/>
  <c r="F58" s="1"/>
  <c r="D58" i="51" s="1"/>
  <c r="D60"/>
  <c r="F60" s="1"/>
  <c r="I60" s="1"/>
  <c r="N188" i="18"/>
  <c r="C188"/>
  <c r="N49"/>
  <c r="C49"/>
  <c r="C47" s="1"/>
  <c r="C52" s="1"/>
  <c r="K155"/>
  <c r="K54" i="21"/>
  <c r="E51"/>
  <c r="C128" i="18"/>
  <c r="H43" i="45"/>
  <c r="G14" i="60"/>
  <c r="E16" i="45"/>
  <c r="C59" i="51"/>
  <c r="F59"/>
  <c r="I59" s="1"/>
  <c r="E9" i="46" s="1"/>
  <c r="F58" i="49"/>
  <c r="C58" i="51"/>
  <c r="F58" s="1"/>
  <c r="I58" s="1"/>
  <c r="F29"/>
  <c r="I29"/>
  <c r="C12"/>
  <c r="F70" i="49"/>
  <c r="C72"/>
  <c r="D12" i="51"/>
  <c r="C72" i="55"/>
  <c r="F70"/>
  <c r="F12" i="56"/>
  <c r="F88"/>
  <c r="E5" i="51"/>
  <c r="F5" s="1"/>
  <c r="C41" i="56"/>
  <c r="N248" i="18"/>
  <c r="C70" i="56"/>
  <c r="D42" i="51"/>
  <c r="F42" s="1"/>
  <c r="I42" s="1"/>
  <c r="E23" i="45" s="1"/>
  <c r="D35" i="51"/>
  <c r="F41" i="55"/>
  <c r="F55" i="49"/>
  <c r="C55" i="51" s="1"/>
  <c r="C53"/>
  <c r="F25" i="55"/>
  <c r="D25" i="51" s="1"/>
  <c r="D20"/>
  <c r="E13"/>
  <c r="F13"/>
  <c r="I13" s="1"/>
  <c r="F20" i="56"/>
  <c r="F37" i="51"/>
  <c r="I37" s="1"/>
  <c r="E38" i="45" s="1"/>
  <c r="N282" i="18"/>
  <c r="E32" i="21"/>
  <c r="E12" i="51"/>
  <c r="F12" s="1"/>
  <c r="D41"/>
  <c r="C70"/>
  <c r="F72" i="49"/>
  <c r="C97" i="18"/>
  <c r="C19" i="60"/>
  <c r="G19" s="1"/>
  <c r="H19"/>
  <c r="H16" i="45"/>
  <c r="E20" i="51"/>
  <c r="F25" i="56"/>
  <c r="F26" s="1"/>
  <c r="E26" i="51" s="1"/>
  <c r="E25"/>
  <c r="E22" i="61"/>
  <c r="C47" i="49"/>
  <c r="C73"/>
  <c r="F70" i="56"/>
  <c r="C72"/>
  <c r="C73" i="55"/>
  <c r="C47"/>
  <c r="F72"/>
  <c r="D72" i="51" s="1"/>
  <c r="D70"/>
  <c r="F73" i="49"/>
  <c r="C72" i="51"/>
  <c r="F47" i="55"/>
  <c r="C48"/>
  <c r="F47" i="49"/>
  <c r="C48"/>
  <c r="F73" i="55"/>
  <c r="E70" i="51"/>
  <c r="F70" s="1"/>
  <c r="I70" s="1"/>
  <c r="F72" i="56"/>
  <c r="C73"/>
  <c r="C74" s="1"/>
  <c r="C47"/>
  <c r="F47" s="1"/>
  <c r="C73" i="51"/>
  <c r="D47"/>
  <c r="F48" i="55"/>
  <c r="C48" i="56"/>
  <c r="C47" i="51"/>
  <c r="F48" i="49"/>
  <c r="F73" i="56"/>
  <c r="E72" i="51"/>
  <c r="E73" s="1"/>
  <c r="D48"/>
  <c r="C50" i="56"/>
  <c r="C49"/>
  <c r="C48" i="51"/>
  <c r="H38" i="45" l="1"/>
  <c r="C107" i="18"/>
  <c r="I20" i="51"/>
  <c r="E8" i="45"/>
  <c r="H23"/>
  <c r="H5" i="51"/>
  <c r="H12" s="1"/>
  <c r="H44" i="45"/>
  <c r="C139" i="18"/>
  <c r="H12" i="60"/>
  <c r="C12"/>
  <c r="G12" s="1"/>
  <c r="F40" i="51"/>
  <c r="I40" s="1"/>
  <c r="E25" i="61"/>
  <c r="I19" i="60"/>
  <c r="F48" i="56"/>
  <c r="E48" i="51" s="1"/>
  <c r="F48" s="1"/>
  <c r="E47"/>
  <c r="F47" s="1"/>
  <c r="I47" s="1"/>
  <c r="E28" i="45" s="1"/>
  <c r="D73" i="51"/>
  <c r="F72"/>
  <c r="I72" s="1"/>
  <c r="I73" s="1"/>
  <c r="C220" i="18"/>
  <c r="H9" i="46"/>
  <c r="F26" i="55"/>
  <c r="C49"/>
  <c r="H17" i="45"/>
  <c r="E46" i="61"/>
  <c r="E47" s="1"/>
  <c r="H40" i="60"/>
  <c r="H41" s="1"/>
  <c r="G40"/>
  <c r="C31" i="18"/>
  <c r="H10" i="45"/>
  <c r="E8" i="46"/>
  <c r="K56" i="51"/>
  <c r="H15" i="45"/>
  <c r="C16" i="60"/>
  <c r="G16" s="1"/>
  <c r="C87" i="18"/>
  <c r="H16" i="60"/>
  <c r="I12" i="51"/>
  <c r="F55"/>
  <c r="I55" s="1"/>
  <c r="H14" i="60"/>
  <c r="H13" i="45"/>
  <c r="E31" i="51"/>
  <c r="F35" i="56"/>
  <c r="D28" i="51"/>
  <c r="F28" s="1"/>
  <c r="G88" i="55"/>
  <c r="F69"/>
  <c r="D69" i="51" s="1"/>
  <c r="D66"/>
  <c r="F62"/>
  <c r="I62" s="1"/>
  <c r="E10" i="46" s="1"/>
  <c r="P15" i="21"/>
  <c r="E16"/>
  <c r="D53" i="51"/>
  <c r="F53" s="1"/>
  <c r="I53" s="1"/>
  <c r="E6" i="46" s="1"/>
  <c r="F55" i="55"/>
  <c r="D55" i="51" s="1"/>
  <c r="F64" i="55"/>
  <c r="D64" i="51" s="1"/>
  <c r="F27" i="49"/>
  <c r="F36" i="51"/>
  <c r="I36" s="1"/>
  <c r="E35" i="45" s="1"/>
  <c r="C12" i="49"/>
  <c r="C26" s="1"/>
  <c r="C49" s="1"/>
  <c r="F31" i="51"/>
  <c r="I31" s="1"/>
  <c r="E45" i="45" s="1"/>
  <c r="F20" i="49"/>
  <c r="F88"/>
  <c r="F39" i="51"/>
  <c r="I39" s="1"/>
  <c r="E37" i="45" s="1"/>
  <c r="H37" s="1"/>
  <c r="N63" i="18"/>
  <c r="E40" i="21"/>
  <c r="F63" i="49"/>
  <c r="K282" i="18"/>
  <c r="F65" i="56"/>
  <c r="C170" i="18" l="1"/>
  <c r="H6" i="46"/>
  <c r="E65" i="51"/>
  <c r="F65" s="1"/>
  <c r="I65" s="1"/>
  <c r="E14" i="46" s="1"/>
  <c r="F69" i="56"/>
  <c r="E69" i="51" s="1"/>
  <c r="H35" i="45"/>
  <c r="H33" i="60"/>
  <c r="E54" i="21"/>
  <c r="C33" i="60"/>
  <c r="E39" i="45"/>
  <c r="F25" i="49"/>
  <c r="C20" i="51"/>
  <c r="F20" s="1"/>
  <c r="C27"/>
  <c r="F27" s="1"/>
  <c r="I27" s="1"/>
  <c r="E41" i="45" s="1"/>
  <c r="F35" i="49"/>
  <c r="H66" i="51"/>
  <c r="H73" s="1"/>
  <c r="G74" s="1"/>
  <c r="F66"/>
  <c r="I66" s="1"/>
  <c r="E15" i="46" s="1"/>
  <c r="E35" i="51"/>
  <c r="F41" i="56"/>
  <c r="H8" i="46"/>
  <c r="C208" i="18"/>
  <c r="F49" i="55"/>
  <c r="D49" i="51" s="1"/>
  <c r="D26"/>
  <c r="I48"/>
  <c r="K79" i="64"/>
  <c r="K80" s="1"/>
  <c r="E11" i="45"/>
  <c r="H8"/>
  <c r="C63" i="51"/>
  <c r="F63" s="1"/>
  <c r="I63" s="1"/>
  <c r="E11" i="46" s="1"/>
  <c r="F64" i="49"/>
  <c r="C64" i="51" s="1"/>
  <c r="F64" s="1"/>
  <c r="I64" s="1"/>
  <c r="H45" i="45"/>
  <c r="C155" i="18"/>
  <c r="H18" i="60"/>
  <c r="C234" i="18"/>
  <c r="H10" i="60"/>
  <c r="E10" i="61" s="1"/>
  <c r="H10" i="46"/>
  <c r="C10" i="60"/>
  <c r="G10" s="1"/>
  <c r="G28" i="51"/>
  <c r="I28"/>
  <c r="E42" i="45" s="1"/>
  <c r="G41" i="60"/>
  <c r="I40"/>
  <c r="H28" i="45"/>
  <c r="E7" i="61"/>
  <c r="E19" s="1"/>
  <c r="F69" i="51"/>
  <c r="I69" s="1"/>
  <c r="I16" i="60"/>
  <c r="I5" i="51"/>
  <c r="E14" i="45" s="1"/>
  <c r="E29"/>
  <c r="C18" i="60"/>
  <c r="G18" s="1"/>
  <c r="I18" s="1"/>
  <c r="H17" l="1"/>
  <c r="E24" i="61" s="1"/>
  <c r="C118" i="18"/>
  <c r="C17" i="60"/>
  <c r="G17" s="1"/>
  <c r="I17" s="1"/>
  <c r="H42" i="45"/>
  <c r="G35" i="51"/>
  <c r="K28"/>
  <c r="E41" i="21"/>
  <c r="E46" i="45"/>
  <c r="H41"/>
  <c r="C34" i="60"/>
  <c r="G34" s="1"/>
  <c r="H34"/>
  <c r="F26" i="49"/>
  <c r="C26" i="51" s="1"/>
  <c r="F26" s="1"/>
  <c r="I26" s="1"/>
  <c r="C25"/>
  <c r="F25" s="1"/>
  <c r="I25" s="1"/>
  <c r="G33" i="60"/>
  <c r="H36"/>
  <c r="E39" i="61"/>
  <c r="E42" s="1"/>
  <c r="H26" i="60"/>
  <c r="H29" s="1"/>
  <c r="D50" i="51"/>
  <c r="C63" i="18"/>
  <c r="C15" i="60"/>
  <c r="E18" i="45"/>
  <c r="E19" s="1"/>
  <c r="H14"/>
  <c r="H15" i="60"/>
  <c r="H11" i="46"/>
  <c r="H12" s="1"/>
  <c r="H17" s="1"/>
  <c r="H20" s="1"/>
  <c r="H26" s="1"/>
  <c r="C248" i="18"/>
  <c r="E41" i="51"/>
  <c r="F49" i="56"/>
  <c r="E49" i="51" s="1"/>
  <c r="E50" s="1"/>
  <c r="H15" i="46"/>
  <c r="C282" i="18"/>
  <c r="C35" i="51"/>
  <c r="F35" s="1"/>
  <c r="I35" s="1"/>
  <c r="F41" i="49"/>
  <c r="H14" i="46"/>
  <c r="H16" s="1"/>
  <c r="C267" i="18"/>
  <c r="E16" i="46"/>
  <c r="C26" i="60"/>
  <c r="E47" i="45"/>
  <c r="E48" s="1"/>
  <c r="E12" i="46"/>
  <c r="E17" s="1"/>
  <c r="G26" i="60" l="1"/>
  <c r="C29"/>
  <c r="F49" i="49"/>
  <c r="C49" i="51" s="1"/>
  <c r="C50" s="1"/>
  <c r="C41"/>
  <c r="F41" s="1"/>
  <c r="H7" i="60"/>
  <c r="H13" s="1"/>
  <c r="E20" i="46"/>
  <c r="E26" s="1"/>
  <c r="I28" i="48" s="1"/>
  <c r="C13" i="25"/>
  <c r="C7" i="60"/>
  <c r="G15"/>
  <c r="C21"/>
  <c r="C36"/>
  <c r="E23" i="61"/>
  <c r="E26" s="1"/>
  <c r="H21" i="60"/>
  <c r="G46"/>
  <c r="I33"/>
  <c r="G43"/>
  <c r="G36"/>
  <c r="I36" s="1"/>
  <c r="I34"/>
  <c r="G48"/>
  <c r="E49" i="45"/>
  <c r="I31" i="48" l="1"/>
  <c r="J28"/>
  <c r="J31" s="1"/>
  <c r="K31" s="1"/>
  <c r="G21" i="60"/>
  <c r="I21" s="1"/>
  <c r="I15"/>
  <c r="C34" i="25"/>
  <c r="C30"/>
  <c r="E32" i="61"/>
  <c r="E37" s="1"/>
  <c r="E44" s="1"/>
  <c r="G29" i="60"/>
  <c r="I29" s="1"/>
  <c r="I26"/>
  <c r="H22"/>
  <c r="C13"/>
  <c r="C22" s="1"/>
  <c r="G7"/>
  <c r="G13" s="1"/>
  <c r="I41" i="51"/>
  <c r="I49" s="1"/>
  <c r="F49"/>
  <c r="I50" s="1"/>
  <c r="G22" i="60" l="1"/>
  <c r="I13"/>
  <c r="H24"/>
  <c r="H38"/>
  <c r="C38"/>
  <c r="C40" s="1"/>
  <c r="C41" s="1"/>
  <c r="C24"/>
  <c r="G24" l="1"/>
  <c r="I24" s="1"/>
  <c r="I22"/>
  <c r="G38"/>
  <c r="I38" s="1"/>
</calcChain>
</file>

<file path=xl/comments1.xml><?xml version="1.0" encoding="utf-8"?>
<comments xmlns="http://schemas.openxmlformats.org/spreadsheetml/2006/main">
  <authors>
    <author>Marsi</author>
  </authors>
  <commentList>
    <comment ref="O8" authorId="0">
      <text>
        <r>
          <rPr>
            <b/>
            <sz val="9"/>
            <color indexed="81"/>
            <rFont val="Tahoma"/>
            <family val="2"/>
          </rPr>
          <t>Marsi:</t>
        </r>
        <r>
          <rPr>
            <sz val="9"/>
            <color indexed="81"/>
            <rFont val="Tahoma"/>
            <family val="2"/>
          </rPr>
          <t xml:space="preserve">
Sipas konfirmimit bankar</t>
        </r>
      </text>
    </comment>
    <comment ref="B41" authorId="0">
      <text>
        <r>
          <rPr>
            <b/>
            <sz val="9"/>
            <color indexed="81"/>
            <rFont val="Tahoma"/>
            <family val="2"/>
          </rPr>
          <t>Marsi:</t>
        </r>
        <r>
          <rPr>
            <sz val="9"/>
            <color indexed="81"/>
            <rFont val="Tahoma"/>
            <family val="2"/>
          </rPr>
          <t xml:space="preserve">
Perfshire Overdraftet</t>
        </r>
      </text>
    </comment>
  </commentList>
</comments>
</file>

<file path=xl/comments2.xml><?xml version="1.0" encoding="utf-8"?>
<comments xmlns="http://schemas.openxmlformats.org/spreadsheetml/2006/main">
  <authors>
    <author>Marsi</author>
  </authors>
  <commentList>
    <comment ref="G77" authorId="0">
      <text>
        <r>
          <rPr>
            <b/>
            <sz val="9"/>
            <color indexed="81"/>
            <rFont val="Tahoma"/>
            <family val="2"/>
          </rPr>
          <t>Marsi:</t>
        </r>
        <r>
          <rPr>
            <sz val="9"/>
            <color indexed="81"/>
            <rFont val="Tahoma"/>
            <family val="2"/>
          </rPr>
          <t xml:space="preserve">
Rimarrje provizioni Albvizion</t>
        </r>
      </text>
    </comment>
    <comment ref="M300" authorId="0">
      <text>
        <r>
          <rPr>
            <b/>
            <sz val="9"/>
            <color indexed="81"/>
            <rFont val="Tahoma"/>
            <family val="2"/>
          </rPr>
          <t>Marsi:</t>
        </r>
        <r>
          <rPr>
            <sz val="9"/>
            <color indexed="81"/>
            <rFont val="Tahoma"/>
            <family val="2"/>
          </rPr>
          <t xml:space="preserve">
energji e njohur per kosoven</t>
        </r>
      </text>
    </comment>
    <comment ref="L313" authorId="0">
      <text>
        <r>
          <rPr>
            <b/>
            <sz val="9"/>
            <color indexed="81"/>
            <rFont val="Tahoma"/>
            <family val="2"/>
          </rPr>
          <t>Marsi:</t>
        </r>
        <r>
          <rPr>
            <sz val="9"/>
            <color indexed="81"/>
            <rFont val="Tahoma"/>
            <family val="2"/>
          </rPr>
          <t xml:space="preserve">
shp qeraje te panjohura per kosoven - qera personeli</t>
        </r>
      </text>
    </comment>
    <comment ref="M313" authorId="0">
      <text>
        <r>
          <rPr>
            <b/>
            <sz val="9"/>
            <color indexed="81"/>
            <rFont val="Tahoma"/>
            <family val="2"/>
          </rPr>
          <t>Marsi:</t>
        </r>
        <r>
          <rPr>
            <sz val="9"/>
            <color indexed="81"/>
            <rFont val="Tahoma"/>
            <family val="2"/>
          </rPr>
          <t xml:space="preserve">
shp qeraje te njohura per kosoven</t>
        </r>
      </text>
    </comment>
    <comment ref="M327" authorId="0">
      <text>
        <r>
          <rPr>
            <b/>
            <sz val="9"/>
            <color indexed="81"/>
            <rFont val="Tahoma"/>
            <family val="2"/>
          </rPr>
          <t>Marsi:</t>
        </r>
        <r>
          <rPr>
            <sz val="9"/>
            <color indexed="81"/>
            <rFont val="Tahoma"/>
            <family val="2"/>
          </rPr>
          <t xml:space="preserve">
shp sigurimi te njohura kosova</t>
        </r>
      </text>
    </comment>
    <comment ref="M362" authorId="0">
      <text>
        <r>
          <rPr>
            <b/>
            <sz val="9"/>
            <color indexed="81"/>
            <rFont val="Tahoma"/>
            <family val="2"/>
          </rPr>
          <t>Marsi:</t>
        </r>
        <r>
          <rPr>
            <sz val="9"/>
            <color indexed="81"/>
            <rFont val="Tahoma"/>
            <family val="2"/>
          </rPr>
          <t xml:space="preserve">
shp te njohura interneti kosova</t>
        </r>
      </text>
    </comment>
    <comment ref="M371" authorId="0">
      <text>
        <r>
          <rPr>
            <b/>
            <sz val="9"/>
            <color indexed="81"/>
            <rFont val="Tahoma"/>
            <family val="2"/>
          </rPr>
          <t>Marsi:</t>
        </r>
        <r>
          <rPr>
            <sz val="9"/>
            <color indexed="81"/>
            <rFont val="Tahoma"/>
            <family val="2"/>
          </rPr>
          <t xml:space="preserve">
komisione te njohura kosova</t>
        </r>
      </text>
    </comment>
    <comment ref="M380" authorId="0">
      <text>
        <r>
          <rPr>
            <b/>
            <sz val="9"/>
            <color indexed="81"/>
            <rFont val="Tahoma"/>
            <family val="2"/>
          </rPr>
          <t>Marsi:</t>
        </r>
        <r>
          <rPr>
            <sz val="9"/>
            <color indexed="81"/>
            <rFont val="Tahoma"/>
            <family val="2"/>
          </rPr>
          <t xml:space="preserve">
Paga te njohura per kosoven</t>
        </r>
      </text>
    </comment>
    <comment ref="M381" authorId="0">
      <text>
        <r>
          <rPr>
            <b/>
            <sz val="9"/>
            <color indexed="81"/>
            <rFont val="Tahoma"/>
            <family val="2"/>
          </rPr>
          <t>Marsi:</t>
        </r>
        <r>
          <rPr>
            <sz val="9"/>
            <color indexed="81"/>
            <rFont val="Tahoma"/>
            <family val="2"/>
          </rPr>
          <t xml:space="preserve">
shp sigurime shoqerore te njohura kosova</t>
        </r>
      </text>
    </comment>
    <comment ref="L411" authorId="0">
      <text>
        <r>
          <rPr>
            <b/>
            <sz val="9"/>
            <color indexed="81"/>
            <rFont val="Tahoma"/>
            <family val="2"/>
          </rPr>
          <t>Marsi:</t>
        </r>
        <r>
          <rPr>
            <sz val="9"/>
            <color indexed="81"/>
            <rFont val="Tahoma"/>
            <family val="2"/>
          </rPr>
          <t xml:space="preserve">
shp panjohura amortizimi kosova</t>
        </r>
      </text>
    </comment>
    <comment ref="M411" authorId="0">
      <text>
        <r>
          <rPr>
            <b/>
            <sz val="9"/>
            <color indexed="81"/>
            <rFont val="Tahoma"/>
            <family val="2"/>
          </rPr>
          <t>Marsi:</t>
        </r>
        <r>
          <rPr>
            <sz val="9"/>
            <color indexed="81"/>
            <rFont val="Tahoma"/>
            <family val="2"/>
          </rPr>
          <t xml:space="preserve">
shp te njohura amortizimi kosova (blere me fature nga (DGA)</t>
        </r>
      </text>
    </comment>
  </commentList>
</comments>
</file>

<file path=xl/comments3.xml><?xml version="1.0" encoding="utf-8"?>
<comments xmlns="http://schemas.openxmlformats.org/spreadsheetml/2006/main">
  <authors>
    <author>Marsi</author>
  </authors>
  <commentList>
    <comment ref="G77" authorId="0">
      <text>
        <r>
          <rPr>
            <b/>
            <sz val="9"/>
            <color indexed="81"/>
            <rFont val="Tahoma"/>
            <family val="2"/>
          </rPr>
          <t>Marsi:</t>
        </r>
        <r>
          <rPr>
            <sz val="9"/>
            <color indexed="81"/>
            <rFont val="Tahoma"/>
            <family val="2"/>
          </rPr>
          <t xml:space="preserve">
Rimarrje provizioni Albvizion</t>
        </r>
      </text>
    </comment>
    <comment ref="M371" authorId="0">
      <text>
        <r>
          <rPr>
            <b/>
            <sz val="9"/>
            <color indexed="81"/>
            <rFont val="Tahoma"/>
            <family val="2"/>
          </rPr>
          <t>Marsi:</t>
        </r>
        <r>
          <rPr>
            <sz val="9"/>
            <color indexed="81"/>
            <rFont val="Tahoma"/>
            <family val="2"/>
          </rPr>
          <t xml:space="preserve">
shp komisioni bankare</t>
        </r>
      </text>
    </comment>
    <comment ref="M380" authorId="0">
      <text>
        <r>
          <rPr>
            <b/>
            <sz val="9"/>
            <color indexed="81"/>
            <rFont val="Tahoma"/>
            <family val="2"/>
          </rPr>
          <t>Marsi:</t>
        </r>
        <r>
          <rPr>
            <sz val="9"/>
            <color indexed="81"/>
            <rFont val="Tahoma"/>
            <family val="2"/>
          </rPr>
          <t xml:space="preserve">
shp page te njohura maqedoni</t>
        </r>
      </text>
    </comment>
  </commentList>
</comments>
</file>

<file path=xl/sharedStrings.xml><?xml version="1.0" encoding="utf-8"?>
<sst xmlns="http://schemas.openxmlformats.org/spreadsheetml/2006/main" count="4655" uniqueCount="1382">
  <si>
    <t>Statutory</t>
  </si>
  <si>
    <t>Adj./Recl.</t>
  </si>
  <si>
    <t>Other payables</t>
  </si>
  <si>
    <t>Total liabilities</t>
  </si>
  <si>
    <t>Code</t>
  </si>
  <si>
    <t>Description</t>
  </si>
  <si>
    <t>Opening Balance</t>
  </si>
  <si>
    <t>Debit</t>
  </si>
  <si>
    <t>Credit</t>
  </si>
  <si>
    <t>Clossing Balance</t>
  </si>
  <si>
    <t>Movements</t>
  </si>
  <si>
    <t>Account</t>
  </si>
  <si>
    <t>YEAR TO DATE</t>
  </si>
  <si>
    <t>IFRS</t>
  </si>
  <si>
    <t>Assets</t>
  </si>
  <si>
    <t>Liabilities</t>
  </si>
  <si>
    <t>Notes</t>
  </si>
  <si>
    <t>Inventories</t>
  </si>
  <si>
    <t>Retained earnings</t>
  </si>
  <si>
    <t>Deferred tax liabilities</t>
  </si>
  <si>
    <t>Rezerva ligjore</t>
  </si>
  <si>
    <t>ASSETS</t>
  </si>
  <si>
    <t>Total
Agregated</t>
  </si>
  <si>
    <t>CONSOLIDATED</t>
  </si>
  <si>
    <t>Total</t>
  </si>
  <si>
    <t>TOTAL</t>
  </si>
  <si>
    <t>Equity</t>
  </si>
  <si>
    <t>Lek'000</t>
  </si>
  <si>
    <t>n/a</t>
  </si>
  <si>
    <t>Income tax expense</t>
  </si>
  <si>
    <t>A</t>
  </si>
  <si>
    <t>B</t>
  </si>
  <si>
    <t>C</t>
  </si>
  <si>
    <t>INDEX</t>
  </si>
  <si>
    <t>Consolidation ADJ</t>
  </si>
  <si>
    <t>Other operating expenses</t>
  </si>
  <si>
    <t>Index</t>
  </si>
  <si>
    <t>Balance</t>
  </si>
  <si>
    <t>Adjustment</t>
  </si>
  <si>
    <t>RECON</t>
  </si>
  <si>
    <t>Te ardhura nga interesat</t>
  </si>
  <si>
    <t>Tatim ne burim</t>
  </si>
  <si>
    <t>TOP CHANNEL sh.a</t>
  </si>
  <si>
    <t>I.-</t>
  </si>
  <si>
    <t>II.-</t>
  </si>
  <si>
    <t>III.-</t>
  </si>
  <si>
    <t>IV.-</t>
  </si>
  <si>
    <t>a.-</t>
  </si>
  <si>
    <t>b.-</t>
  </si>
  <si>
    <t>Shqip</t>
  </si>
  <si>
    <t>English</t>
  </si>
  <si>
    <t>Shënime</t>
  </si>
  <si>
    <t>31.12.2011</t>
  </si>
  <si>
    <t>AKTIVET</t>
  </si>
  <si>
    <t>Aktivet afatgjata</t>
  </si>
  <si>
    <t>Non – current assets</t>
  </si>
  <si>
    <t>Aktivet afatgjata materiale</t>
  </si>
  <si>
    <t>Property, plant and equipment</t>
  </si>
  <si>
    <t>Aktivet afatgjata jomateriale</t>
  </si>
  <si>
    <t>Intangible assets</t>
  </si>
  <si>
    <t>Financial receivables</t>
  </si>
  <si>
    <t>Aktivet afatshkurtra</t>
  </si>
  <si>
    <t>Current assets</t>
  </si>
  <si>
    <t>Inventarë</t>
  </si>
  <si>
    <t>Trade and other receivables</t>
  </si>
  <si>
    <t>Mjetet monetare ne arke e ne banke</t>
  </si>
  <si>
    <t>Cash and cash equivalents</t>
  </si>
  <si>
    <t>Totali i aktiveve</t>
  </si>
  <si>
    <t>Total assets</t>
  </si>
  <si>
    <t>KAPITALI DHE DETYRIMET</t>
  </si>
  <si>
    <t>EQUITY AND LIABILITIES</t>
  </si>
  <si>
    <t>Kapitali</t>
  </si>
  <si>
    <t>Kapitali aksionar</t>
  </si>
  <si>
    <t>Share capital</t>
  </si>
  <si>
    <t>Reduktim i paregjistruar i kapitalit</t>
  </si>
  <si>
    <t>Unregistered capital reduction</t>
  </si>
  <si>
    <t>Rezerva te tjera</t>
  </si>
  <si>
    <t>Other reserves</t>
  </si>
  <si>
    <t>Legal reserves</t>
  </si>
  <si>
    <t>Fitime te mbartura</t>
  </si>
  <si>
    <t>Interesat e pakicës ne Kapital</t>
  </si>
  <si>
    <t>Minority interest in equity</t>
  </si>
  <si>
    <t>Totali i kapitalit</t>
  </si>
  <si>
    <t>Total equity</t>
  </si>
  <si>
    <t>DETYRIMET</t>
  </si>
  <si>
    <t>Detyrime afatgjata</t>
  </si>
  <si>
    <t>Non – current liabilities</t>
  </si>
  <si>
    <t>Borrowings</t>
  </si>
  <si>
    <t>Tatimi i shtyre mbi fitimin</t>
  </si>
  <si>
    <t>Detyrime te tjera afatgjata</t>
  </si>
  <si>
    <t>Other non-current liabilities</t>
  </si>
  <si>
    <t>Detyrime afatshkurtra</t>
  </si>
  <si>
    <t>Current liabilities</t>
  </si>
  <si>
    <t>Totali i detyrimeve</t>
  </si>
  <si>
    <t>Totali i kapitalit dhe detyrimeve</t>
  </si>
  <si>
    <t>Total equity and liabilities</t>
  </si>
  <si>
    <t>Te ardhura</t>
  </si>
  <si>
    <t>Revenue</t>
  </si>
  <si>
    <t>Te ardhura te tjera jo operative</t>
  </si>
  <si>
    <t>Other operating income</t>
  </si>
  <si>
    <t>Materiale te para dhe te konsumueshme</t>
  </si>
  <si>
    <t>Raw materials and consumables used</t>
  </si>
  <si>
    <t>Shpenzime personeli</t>
  </si>
  <si>
    <t>Employee benefit expense</t>
  </si>
  <si>
    <t>Shpenzime zhvlerësimi dhe amortizimi</t>
  </si>
  <si>
    <t>Depreciation and amortization</t>
  </si>
  <si>
    <t>Shpenzime te tjera</t>
  </si>
  <si>
    <t>Fitimi operativ</t>
  </si>
  <si>
    <t>Operating profit</t>
  </si>
  <si>
    <t>Fitimi para tatimit</t>
  </si>
  <si>
    <t>Profit before tax</t>
  </si>
  <si>
    <t>Fitimi i vitit</t>
  </si>
  <si>
    <t>Profit for the year</t>
  </si>
  <si>
    <t>Te ardhura te tjera gjithëpërfshirëse</t>
  </si>
  <si>
    <t>Other comprehensive income for the year</t>
  </si>
  <si>
    <t>Totali i te ardhurave te tjera gjithëpërfshirëse</t>
  </si>
  <si>
    <t>Total comprehensive income for the year</t>
  </si>
  <si>
    <t>Fitimi qe i atribuohet aksionareve te kompanisë mëmë</t>
  </si>
  <si>
    <t>Profit attributable to holders of ordinary shares</t>
  </si>
  <si>
    <t xml:space="preserve">Totali i te ardhurave gjithëpërfshirëse qe i përket aksionareve te kompanisë mëmë </t>
  </si>
  <si>
    <t>Total comprehensive income attributable to holders of ordinary Shares</t>
  </si>
  <si>
    <t>Shpenzime për interesa</t>
  </si>
  <si>
    <t>Kontribut i paregjistruar i kapitalit</t>
  </si>
  <si>
    <t>Fitime te mbartura/humbje te akumuluara</t>
  </si>
  <si>
    <t>Totali</t>
  </si>
  <si>
    <t>01 Janar 2010</t>
  </si>
  <si>
    <t>Riklasifikim i interesit te pakicës</t>
  </si>
  <si>
    <t>Pakësimi i kapitalit aksionar</t>
  </si>
  <si>
    <t>Dividendë te paguar</t>
  </si>
  <si>
    <t>Transaksionet me pronaret</t>
  </si>
  <si>
    <t>Te ardhura te tjera gjithëpërfshirëse:</t>
  </si>
  <si>
    <t>Pakësimi rezervës</t>
  </si>
  <si>
    <t>Totali i te ardhurave gjithëpërfshirëse</t>
  </si>
  <si>
    <t>31 Dhjetor 2010</t>
  </si>
  <si>
    <t>Riklasifikim ndërmjet llogarive te kapitalit</t>
  </si>
  <si>
    <t>Shpërndarje nga rezervat statutore</t>
  </si>
  <si>
    <t>1.-1</t>
  </si>
  <si>
    <t>2.-1</t>
  </si>
  <si>
    <t>3.-1</t>
  </si>
  <si>
    <t>4.-1</t>
  </si>
  <si>
    <t xml:space="preserve">Per vitin e mbyllur me </t>
  </si>
  <si>
    <t>01 Janar 2011</t>
  </si>
  <si>
    <t>31 Dhjetor 2011</t>
  </si>
  <si>
    <t>KS</t>
  </si>
  <si>
    <t>CONSOLIDATED STATEMENT TOP CHANNEL sh.a</t>
  </si>
  <si>
    <t>Mallra</t>
  </si>
  <si>
    <t>Mjete monetare ne banke</t>
  </si>
  <si>
    <t>Llogari rrjedhese</t>
  </si>
  <si>
    <t>Depozita me afat</t>
  </si>
  <si>
    <t>Mjete monetare ne arke</t>
  </si>
  <si>
    <t>Levizjet ne zhvleresimin e te drejtave per arketim</t>
  </si>
  <si>
    <t>Gjendja me 31 Dhjetor</t>
  </si>
  <si>
    <t>Paradhenie per personelin</t>
  </si>
  <si>
    <t>Te tjera</t>
  </si>
  <si>
    <t>TOP CHANNEL SH.A</t>
  </si>
  <si>
    <t>MK</t>
  </si>
  <si>
    <t>FS Code</t>
  </si>
  <si>
    <t>Kapitali i paguar</t>
  </si>
  <si>
    <t>Rezerva statutore</t>
  </si>
  <si>
    <t>Fitimi/Humbja e pashpërndarë</t>
  </si>
  <si>
    <t>Fitim humbje Kosova</t>
  </si>
  <si>
    <t>Rezultati i ushtrimit</t>
  </si>
  <si>
    <t>Toka</t>
  </si>
  <si>
    <t>Ndertim e instalim i pergjithshem</t>
  </si>
  <si>
    <t>Instalime teknike specifike dhe energjitike</t>
  </si>
  <si>
    <t>Mjete transporti</t>
  </si>
  <si>
    <t>Mobilje e orendi</t>
  </si>
  <si>
    <t>Pajisje Zyrash Informatike</t>
  </si>
  <si>
    <t>Të tjera</t>
  </si>
  <si>
    <t>Licence Software</t>
  </si>
  <si>
    <t>AQT inventar</t>
  </si>
  <si>
    <t>AA  materiale ne proçes</t>
  </si>
  <si>
    <t>AA jomateriale ne proçes</t>
  </si>
  <si>
    <t>Amortizim i ndert dhe inst te pergj</t>
  </si>
  <si>
    <t>Amortizim i Inst Mak dhe Pajisje</t>
  </si>
  <si>
    <t>Amortizim i mjeteve te transportit</t>
  </si>
  <si>
    <t>Amortizim i Mobiljeve&amp;Orendi Zyrash</t>
  </si>
  <si>
    <t>Amortizimi i Pajisjeve Informatike</t>
  </si>
  <si>
    <t>Për të tjera AA materiale</t>
  </si>
  <si>
    <t>Per te tjera aktive te qendrueshme te trupezuara</t>
  </si>
  <si>
    <t>Huadhënie afatgjatë</t>
  </si>
  <si>
    <t>Garanci home 2US</t>
  </si>
  <si>
    <t>Materialë ndihmës</t>
  </si>
  <si>
    <t>Inventar i imet</t>
  </si>
  <si>
    <t>Malllra</t>
  </si>
  <si>
    <t>Furnitore te drejta  Lek</t>
  </si>
  <si>
    <t>Furnitore te drejta Euro</t>
  </si>
  <si>
    <t>Furnitore te drejta Usd</t>
  </si>
  <si>
    <t>Furnitore te drejta Gbp</t>
  </si>
  <si>
    <t>Furnitore sherbime Lek</t>
  </si>
  <si>
    <t>Furnitore sherbim FK Lek</t>
  </si>
  <si>
    <t>Furnitore sherbime Euro</t>
  </si>
  <si>
    <t>Furnitore sherbim FK Euro</t>
  </si>
  <si>
    <t>Furnitore sherbime Usd</t>
  </si>
  <si>
    <t>Furnitore materiale dhe sherbime te ndryshme Lek</t>
  </si>
  <si>
    <t>Furnitore materiale dhe sherbime te ndryshme Euro</t>
  </si>
  <si>
    <t>Furnitore materiale sherbim usd</t>
  </si>
  <si>
    <t>Furnitore asete,mallra sherbime lek</t>
  </si>
  <si>
    <t>Furnitore asete mallra dhe sherbime euro</t>
  </si>
  <si>
    <t>Furnitore asete,mallra sherbime usd</t>
  </si>
  <si>
    <t>Furnitore asete,mallra sherbime gbp</t>
  </si>
  <si>
    <t>Furnitore mallra</t>
  </si>
  <si>
    <t>Furnitore mallra euro</t>
  </si>
  <si>
    <t>Furnitore mallra USD</t>
  </si>
  <si>
    <t>Fitues TFest</t>
  </si>
  <si>
    <t>Furnitore asete Lek</t>
  </si>
  <si>
    <t>Furnitore asete Euro</t>
  </si>
  <si>
    <t>Furnitore asete Usd</t>
  </si>
  <si>
    <t>Furnitore asete GBP</t>
  </si>
  <si>
    <t>Kliente reklama Lek</t>
  </si>
  <si>
    <t>Kliente reklama Euro</t>
  </si>
  <si>
    <t>Kliente reklama Usd</t>
  </si>
  <si>
    <t>Kliente te drejta transmetimi Chf</t>
  </si>
  <si>
    <t>Kliente drejte transmetimi Euro</t>
  </si>
  <si>
    <t>Kliente te drejta transmetimi usd</t>
  </si>
  <si>
    <t>Kliente sherbime te ndryshme lek</t>
  </si>
  <si>
    <t>Kliente sherbime te ndryshme euro</t>
  </si>
  <si>
    <t>Kliente sherbime usd</t>
  </si>
  <si>
    <t>Kliente reklama dhe sherbime</t>
  </si>
  <si>
    <t>Kliente reklama dhe sherbime euro</t>
  </si>
  <si>
    <t>Kliente reklama,asete dhe sherbime lek</t>
  </si>
  <si>
    <t>Kliente reklama,asete dhe sherbime euro</t>
  </si>
  <si>
    <t>Provizionet</t>
  </si>
  <si>
    <t>Furnitore parapagime ne  usd</t>
  </si>
  <si>
    <t>B ANH H USD</t>
  </si>
  <si>
    <t>Parapagime të dhëna</t>
  </si>
  <si>
    <t>Furnitore(deb)parapagime pagesa pjesore euro</t>
  </si>
  <si>
    <t>Paradhernie Krishna usd</t>
  </si>
  <si>
    <t>Thomson System Germany Euro</t>
  </si>
  <si>
    <t>Furnitore per fatura te pamberritura</t>
  </si>
  <si>
    <t>Parapagime te marra</t>
  </si>
  <si>
    <t>Vista View</t>
  </si>
  <si>
    <t>Prodisplay</t>
  </si>
  <si>
    <t>Cat&amp;Mouse</t>
  </si>
  <si>
    <t>Hocus Pocus USD</t>
  </si>
  <si>
    <t>Promedia Advertising EURO</t>
  </si>
  <si>
    <t>Ferlat euro</t>
  </si>
  <si>
    <t>Lightking usd</t>
  </si>
  <si>
    <t>Partners Data Systems</t>
  </si>
  <si>
    <t>Kliente(ked). Parapagime dhe pagesa pjesore</t>
  </si>
  <si>
    <t>Paradhenie tetra Pak</t>
  </si>
  <si>
    <t>Fluidi euro</t>
  </si>
  <si>
    <t>Parapagim Intermed</t>
  </si>
  <si>
    <t>Ital Food  Industry</t>
  </si>
  <si>
    <t>Frutex euro</t>
  </si>
  <si>
    <t>Gemakler</t>
  </si>
  <si>
    <t>Sigal</t>
  </si>
  <si>
    <t>Intesa San paolo</t>
  </si>
  <si>
    <t>Paga per tu paguar</t>
  </si>
  <si>
    <t>Paradhënie për punonjësit</t>
  </si>
  <si>
    <t>Shteti sigurimet Shoq &amp; Shendetesore</t>
  </si>
  <si>
    <t>Shteti takse page</t>
  </si>
  <si>
    <t>Tatim mbi fitimin</t>
  </si>
  <si>
    <t>Tatim fitimi 09</t>
  </si>
  <si>
    <t>Tatim fitimi 2010</t>
  </si>
  <si>
    <t>Shteti- TVSH për tu marrë</t>
  </si>
  <si>
    <t>Shteti  TVSH e zbritshme</t>
  </si>
  <si>
    <t>Shteti  TVSH e pagueshme</t>
  </si>
  <si>
    <t>Shteti  TVSH për tu rregulluar</t>
  </si>
  <si>
    <t>Shteti TVSH per tu paguar</t>
  </si>
  <si>
    <t>Të tjera tatime pëtu paguar dhe për tu kthyer</t>
  </si>
  <si>
    <t>Të drejta ndaj pronarëve për kapitalin e nënshkruar</t>
  </si>
  <si>
    <t>Ortake-llogari kontributi</t>
  </si>
  <si>
    <t>Ortake llog te kontributiit euro</t>
  </si>
  <si>
    <t>Ortake llog kontributi $</t>
  </si>
  <si>
    <t>Debitorë të tjerë, kreditorë të tjerë</t>
  </si>
  <si>
    <t>tvsh sistem 4456</t>
  </si>
  <si>
    <t>Un nderkombetar Tiranes</t>
  </si>
  <si>
    <t>TCHannel dega Kosove</t>
  </si>
  <si>
    <t>Tchannel dega Shkup</t>
  </si>
  <si>
    <t>Kerkese padi Jona Pharma</t>
  </si>
  <si>
    <t>VGA</t>
  </si>
  <si>
    <t>Sistemim gjobes sipas drejt Apelimit</t>
  </si>
  <si>
    <t>Detyrim ndaj  ILD</t>
  </si>
  <si>
    <t>Drejtoria Rajonale Sig shoqerore</t>
  </si>
  <si>
    <t>Kerkese padi Scan Color</t>
  </si>
  <si>
    <t>Keerkese padi Ministria Jashtme</t>
  </si>
  <si>
    <t>Shkolla Obotit</t>
  </si>
  <si>
    <t>Kerkese pade Taci OIL</t>
  </si>
  <si>
    <t>Kerkse padi Nec&amp;Co</t>
  </si>
  <si>
    <t>Kerkese padi justicia</t>
  </si>
  <si>
    <t>Kerkese padi Ballkan Pazar</t>
  </si>
  <si>
    <t>Kerkese padi  RTSH</t>
  </si>
  <si>
    <t>Kerkese Padi jeta Media</t>
  </si>
  <si>
    <t>TAR EURO</t>
  </si>
  <si>
    <t>TAR leke</t>
  </si>
  <si>
    <t>Tar Kredi euro</t>
  </si>
  <si>
    <t>Interesa perllog TGold</t>
  </si>
  <si>
    <t>Te tjera interesa te perllogaritura</t>
  </si>
  <si>
    <t>Garanci qera Albafilm</t>
  </si>
  <si>
    <t>TVSH Dogana</t>
  </si>
  <si>
    <t>Garanci Mezuraj</t>
  </si>
  <si>
    <t>Norga Euro</t>
  </si>
  <si>
    <t>Garanci SEAS</t>
  </si>
  <si>
    <t>Banka Credins-Principali Hua Euro</t>
  </si>
  <si>
    <t>Kredi Procredit euro</t>
  </si>
  <si>
    <t>Credins Hua Lek</t>
  </si>
  <si>
    <t>Kredi RZB euro</t>
  </si>
  <si>
    <t>Kredi BPopullore euro</t>
  </si>
  <si>
    <t>Kredi Kevitan euro</t>
  </si>
  <si>
    <t>Hua VGA</t>
  </si>
  <si>
    <t>Kredi RZB 30.12.10</t>
  </si>
  <si>
    <t>Kredi Valtelino-Bia Euro-linje kredie</t>
  </si>
  <si>
    <t>Kredi TGold</t>
  </si>
  <si>
    <t>Kredi Frigo Food</t>
  </si>
  <si>
    <t>Hua Sajmir dede</t>
  </si>
  <si>
    <t>100 MILIONSHI</t>
  </si>
  <si>
    <t>Shp punimesh Mezuraj</t>
  </si>
  <si>
    <t>Nd ambiete Big Brother</t>
  </si>
  <si>
    <t>Mobilim shtepise  BBrother</t>
  </si>
  <si>
    <t>Shp per tu shperndare-Ekspozita</t>
  </si>
  <si>
    <t>Shp ekspozita viti 08</t>
  </si>
  <si>
    <t>Shp-Ekspozita</t>
  </si>
  <si>
    <t>Shp  Deja-Vu</t>
  </si>
  <si>
    <t>Shp TShow</t>
  </si>
  <si>
    <t>Fiks Fare</t>
  </si>
  <si>
    <t>Shp Top NewsTV Koha</t>
  </si>
  <si>
    <t>Studio lajme</t>
  </si>
  <si>
    <t>Skenografi Wake Up</t>
  </si>
  <si>
    <t>Kondicionim ekspozita</t>
  </si>
  <si>
    <t>Instalime elektrike ish TV KOHA</t>
  </si>
  <si>
    <t>Skenografi Portokalli</t>
  </si>
  <si>
    <t>Procesi Sportiv</t>
  </si>
  <si>
    <t>E Diell</t>
  </si>
  <si>
    <t>Emisioni Ti Vlen</t>
  </si>
  <si>
    <t>7 PER 7000</t>
  </si>
  <si>
    <t>Big Brother  2010</t>
  </si>
  <si>
    <t>TOP STORY</t>
  </si>
  <si>
    <t>Skenografi Studio BBrother 09</t>
  </si>
  <si>
    <t>Shpia BBrother</t>
  </si>
  <si>
    <t>Skenografia Tfest</t>
  </si>
  <si>
    <t>Magazina Lori</t>
  </si>
  <si>
    <t>Ish kinostudio</t>
  </si>
  <si>
    <t>Telenovela Komuna e Parisit</t>
  </si>
  <si>
    <t>Rikonstruksion Ndertesa Yzberisht</t>
  </si>
  <si>
    <t>Pasdite ne TCH</t>
  </si>
  <si>
    <t>Nje kenge per ty</t>
  </si>
  <si>
    <t>Telefilm Ne kerkim Te Kujt</t>
  </si>
  <si>
    <t>Fan Club</t>
  </si>
  <si>
    <t>Me&amp;You</t>
  </si>
  <si>
    <t>Albanian Got Talent</t>
  </si>
  <si>
    <t>Shp punime viti 2005</t>
  </si>
  <si>
    <t>BBrother 4</t>
  </si>
  <si>
    <t>Rikonstruksion ambientesh TV Koha</t>
  </si>
  <si>
    <t>Shp internet ABrahaj euro</t>
  </si>
  <si>
    <t>Shpenzime të periudhave të ardhme</t>
  </si>
  <si>
    <t>Shp viti 2011</t>
  </si>
  <si>
    <t>Te drejta 2008</t>
  </si>
  <si>
    <t>Te drejta  2009</t>
  </si>
  <si>
    <t>Shp te ardhshme qera</t>
  </si>
  <si>
    <t>Te drejta te vitit raportues</t>
  </si>
  <si>
    <t>Te drejta viti pasardhes</t>
  </si>
  <si>
    <t>Shpenz. invetariale</t>
  </si>
  <si>
    <t>Shp sig Sigma 2010</t>
  </si>
  <si>
    <t>Shp interalbanian 09</t>
  </si>
  <si>
    <t>Shp Interalbanian viti pasardhes</t>
  </si>
  <si>
    <t>Shp sig viti 2010</t>
  </si>
  <si>
    <t>Shp sig viti pasardhes</t>
  </si>
  <si>
    <t>Abacus-Internet viti 06 usd</t>
  </si>
  <si>
    <t>Shp sig pasurie,jete</t>
  </si>
  <si>
    <t>Kamera falas Thomson</t>
  </si>
  <si>
    <t>First Investment Bank</t>
  </si>
  <si>
    <t>BKT Lek</t>
  </si>
  <si>
    <t>BKT Usd</t>
  </si>
  <si>
    <t>BKT Euro</t>
  </si>
  <si>
    <t>First Investment Bank USD</t>
  </si>
  <si>
    <t>Tirana Bank Lek</t>
  </si>
  <si>
    <t>Tirana Bank Usd</t>
  </si>
  <si>
    <t>Tirana Bank Euro</t>
  </si>
  <si>
    <t>First Investment Bank Euro</t>
  </si>
  <si>
    <t>Credins Lek(52493)</t>
  </si>
  <si>
    <t>Credins Usd (53645)</t>
  </si>
  <si>
    <t>Credins Usd((3356)</t>
  </si>
  <si>
    <t>Credins Euro (52479)</t>
  </si>
  <si>
    <t>Credins Euro (3643)</t>
  </si>
  <si>
    <t>Credins Chf</t>
  </si>
  <si>
    <t>Credins Gbp</t>
  </si>
  <si>
    <t>Overdraft Credins</t>
  </si>
  <si>
    <t>Banka Amerikane Lek</t>
  </si>
  <si>
    <t>Banka Amerikane Usd</t>
  </si>
  <si>
    <t>Banka Amerikane Euro</t>
  </si>
  <si>
    <t>Amex bill</t>
  </si>
  <si>
    <t>Banka Amerikane 304</t>
  </si>
  <si>
    <t>Raiffeisen Bank Lek</t>
  </si>
  <si>
    <t>Raiffeisen Bank Usd</t>
  </si>
  <si>
    <t>Raiffesen Bank Euro</t>
  </si>
  <si>
    <t>Union Bank Lek</t>
  </si>
  <si>
    <t>Union Bank Usd</t>
  </si>
  <si>
    <t>Union Bank Euro (100438)</t>
  </si>
  <si>
    <t>Union Bank313</t>
  </si>
  <si>
    <t>Banka Popullore Lek</t>
  </si>
  <si>
    <t>Banka Popullore Usd</t>
  </si>
  <si>
    <t>Banka Popullore Euro</t>
  </si>
  <si>
    <t>Banka Italiana di Sviluppo  Lek</t>
  </si>
  <si>
    <t>Banka Italiana di Sviluppo Usd</t>
  </si>
  <si>
    <t>Banka Italiana di Sviluppo Euro</t>
  </si>
  <si>
    <t>Procredit Bank Lek</t>
  </si>
  <si>
    <t>Procredit  Bank Euro</t>
  </si>
  <si>
    <t>Procredit usd</t>
  </si>
  <si>
    <t>Instituti Credins Usd</t>
  </si>
  <si>
    <t>Instituti Credins Euro</t>
  </si>
  <si>
    <t>NBG Lek</t>
  </si>
  <si>
    <t>NBG Euro</t>
  </si>
  <si>
    <t>Alpha BANK</t>
  </si>
  <si>
    <t>Alpha EURO</t>
  </si>
  <si>
    <t>Overdraft BCredins</t>
  </si>
  <si>
    <t>Arka  lekë</t>
  </si>
  <si>
    <t>Arka Usd</t>
  </si>
  <si>
    <t>Arka Euro</t>
  </si>
  <si>
    <t>Arka CHF</t>
  </si>
  <si>
    <t>Xhirime të brendëshme</t>
  </si>
  <si>
    <t>Xhirime te brendshme (arke banke)</t>
  </si>
  <si>
    <t>Blerje,energji,avull,uje</t>
  </si>
  <si>
    <t>Shp karburanti</t>
  </si>
  <si>
    <t>Blerje/Shpenzime mallrash, shërbimesh</t>
  </si>
  <si>
    <t>Blerje te pastokushme(materiale)</t>
  </si>
  <si>
    <t>Te pastokushme(kancelari)</t>
  </si>
  <si>
    <t>Veshje  emisione TCH</t>
  </si>
  <si>
    <t>Blerje te pastokushme(mat elektrike etj)</t>
  </si>
  <si>
    <t>Shp skenografi,instalime</t>
  </si>
  <si>
    <t>Blerje pastokushme (grim)</t>
  </si>
  <si>
    <t>Abonime gazeta,revista</t>
  </si>
  <si>
    <t>Shp ENDEMOL</t>
  </si>
  <si>
    <t>Qira</t>
  </si>
  <si>
    <t>Qera</t>
  </si>
  <si>
    <t>Qera te ndryshme</t>
  </si>
  <si>
    <t>Qira deka</t>
  </si>
  <si>
    <t>Qira kontrata</t>
  </si>
  <si>
    <t>Mirëmbajtje dhe riparime</t>
  </si>
  <si>
    <t>Mirembajtje riparime</t>
  </si>
  <si>
    <t>Mirembajtje riparim makine</t>
  </si>
  <si>
    <t>Mirëmbajtje riparim mallra</t>
  </si>
  <si>
    <t>Mirembajtje riparim kompjutrash</t>
  </si>
  <si>
    <t>Sigurime</t>
  </si>
  <si>
    <t>Konsultim projekti</t>
  </si>
  <si>
    <t>Te drejta sherbime</t>
  </si>
  <si>
    <t>Sherbim satelit</t>
  </si>
  <si>
    <t>Sherbim UP Link</t>
  </si>
  <si>
    <t>Sherbim  HOME 2US</t>
  </si>
  <si>
    <t>Cmime Fitues spektakel TCH</t>
  </si>
  <si>
    <t>Shp per BBrother</t>
  </si>
  <si>
    <t>Te ndryshme te panjohura</t>
  </si>
  <si>
    <t>Shp koeficient i kreditimi</t>
  </si>
  <si>
    <t>Komision agjensie</t>
  </si>
  <si>
    <t>Personel jashtë njesisë</t>
  </si>
  <si>
    <t>Sherbim roje private</t>
  </si>
  <si>
    <t>Kronika lajme</t>
  </si>
  <si>
    <t>Pjesmarrje ne Emisione TCH</t>
  </si>
  <si>
    <t>Shp per honorare</t>
  </si>
  <si>
    <t>Honorare bashkpuntore E diell,7per 7000,Ti Vlen</t>
  </si>
  <si>
    <t>Konsulence/Auditim+sherbime te tjera</t>
  </si>
  <si>
    <t>Sherbim doganor</t>
  </si>
  <si>
    <t>Sherbim e te ndryshme Top Albania;VGA</t>
  </si>
  <si>
    <t>Publicitet, reklama</t>
  </si>
  <si>
    <t>Reklama media shkruar</t>
  </si>
  <si>
    <t>Reklama te tjera</t>
  </si>
  <si>
    <t>Transferime, udhëtime, dieta</t>
  </si>
  <si>
    <t>Telefon fikse</t>
  </si>
  <si>
    <t>Telefon mobile</t>
  </si>
  <si>
    <t>Sherbim interneti dhe fotografie</t>
  </si>
  <si>
    <t>Sherbim postar</t>
  </si>
  <si>
    <t>Sherbim magazinimi</t>
  </si>
  <si>
    <t>Shp instalim rrjeti</t>
  </si>
  <si>
    <t>Shpenzime transpoti</t>
  </si>
  <si>
    <t>Për blerjet</t>
  </si>
  <si>
    <t>Transporte te tjera</t>
  </si>
  <si>
    <t>Për personelin</t>
  </si>
  <si>
    <t>Shpenzime për shërbimet bankare</t>
  </si>
  <si>
    <t>Komisione bankare</t>
  </si>
  <si>
    <t>Taksa, tarifa doganore</t>
  </si>
  <si>
    <t>Taksa dhe tarifa vendore</t>
  </si>
  <si>
    <t>Taksa e regjistrimit</t>
  </si>
  <si>
    <t>Tatime të tjera</t>
  </si>
  <si>
    <t>TAKSA MAKINE</t>
  </si>
  <si>
    <t>Paga personelit,Sektori:01</t>
  </si>
  <si>
    <t>Ndermarrja Sigurimet Shoq&amp;Shend,Sektori:01</t>
  </si>
  <si>
    <t>Shpenzime të tjera për personelin</t>
  </si>
  <si>
    <t>Shperblime</t>
  </si>
  <si>
    <t>Antaresim AMCHam</t>
  </si>
  <si>
    <t>Shpenzime për pritje dhe përfaqësime</t>
  </si>
  <si>
    <t>Sherbime hoteleri</t>
  </si>
  <si>
    <t>Gjoba dhe dëmshpërblime</t>
  </si>
  <si>
    <t>Shpenzime të tjera korente</t>
  </si>
  <si>
    <t>Interesa Raiffesen EURO</t>
  </si>
  <si>
    <t>Interesa Credins Lek</t>
  </si>
  <si>
    <t>Interes Credins EURO</t>
  </si>
  <si>
    <t>Interesa Procredit Euro</t>
  </si>
  <si>
    <t>Interesa BPopullore EURO</t>
  </si>
  <si>
    <t>Shpenzime financiare të tjera</t>
  </si>
  <si>
    <t>Humbje nga këmbimet dhe perkthimet valutore</t>
  </si>
  <si>
    <t>Humbje nga azhornimi i Arkes/Bankes</t>
  </si>
  <si>
    <t>Sistemim veprimi</t>
  </si>
  <si>
    <t>Amortizime te aktiveve te qendrueshme</t>
  </si>
  <si>
    <t>Kuota pjese e shpenzimeve per tu shperndare</t>
  </si>
  <si>
    <t>Te ardhura nga reklamat</t>
  </si>
  <si>
    <t>Te ardhura nga te dreja e transmetimi</t>
  </si>
  <si>
    <t>Te ardhura nga sherbime te ndryshme</t>
  </si>
  <si>
    <t>Te ardhura nga mat arkive</t>
  </si>
  <si>
    <t>Te ardhura nga shitja e biletave</t>
  </si>
  <si>
    <t>Te ardhura nga qeraja</t>
  </si>
  <si>
    <t>Shitje mallrash</t>
  </si>
  <si>
    <t>Të ardhura nga shtije te tjera</t>
  </si>
  <si>
    <t>Prodhimi i AA materialë</t>
  </si>
  <si>
    <t>Të ardhura nga grantet</t>
  </si>
  <si>
    <t>Te ndryshme</t>
  </si>
  <si>
    <t>Të ardhura nga interesat</t>
  </si>
  <si>
    <t>Të ardhura të tjera financiare</t>
  </si>
  <si>
    <t>Te ardhura me sms per permbytje</t>
  </si>
  <si>
    <t>Fitim nga kembimet valutore</t>
  </si>
  <si>
    <t>Fitime nga azhornimi i Arkes/Bankes</t>
  </si>
  <si>
    <t>Bilanci i Çeljes</t>
  </si>
  <si>
    <t>LEK</t>
  </si>
  <si>
    <t>EUR</t>
  </si>
  <si>
    <t>USD</t>
  </si>
  <si>
    <t>GBP</t>
  </si>
  <si>
    <t>CHF</t>
  </si>
  <si>
    <t>CcY</t>
  </si>
  <si>
    <t>Makineri e Pajisje</t>
  </si>
  <si>
    <t>Albaroad</t>
  </si>
  <si>
    <t>Kkreditimi i paradhenieve</t>
  </si>
  <si>
    <t>Kliente mallra lek</t>
  </si>
  <si>
    <t>kliente mallra usd</t>
  </si>
  <si>
    <t>Frigo Food</t>
  </si>
  <si>
    <t>Parapagime euro</t>
  </si>
  <si>
    <t>Premieros92 Euro</t>
  </si>
  <si>
    <t>Paradhenie per punonjesit</t>
  </si>
  <si>
    <t>Paradhenie dieta</t>
  </si>
  <si>
    <t>Akciza</t>
  </si>
  <si>
    <t>Tatim fitimi</t>
  </si>
  <si>
    <t>Tvsh 10 %</t>
  </si>
  <si>
    <t>Albert  Sino</t>
  </si>
  <si>
    <t>Debitore&amp;kreditore te tjere</t>
  </si>
  <si>
    <t>Fondacioni Dritan Hoxha</t>
  </si>
  <si>
    <t>Sa kaluar gabim kurum</t>
  </si>
  <si>
    <t>Likujditete ne udhetim</t>
  </si>
  <si>
    <t>Zyra Permbarimit</t>
  </si>
  <si>
    <t>Alban Sadiku</t>
  </si>
  <si>
    <t>Refail Maliqi</t>
  </si>
  <si>
    <t>Studio BB</t>
  </si>
  <si>
    <t>The Voice</t>
  </si>
  <si>
    <t>Kosto teknike</t>
  </si>
  <si>
    <t>Shp te ardhshme</t>
  </si>
  <si>
    <t>Shp per tu shperndare viti ushtrimor</t>
  </si>
  <si>
    <t>Raiffeisen Bank Lek 6091</t>
  </si>
  <si>
    <t>Banka Societe Generale</t>
  </si>
  <si>
    <t>Arka GBP</t>
  </si>
  <si>
    <t>Arke mbyllje</t>
  </si>
  <si>
    <t>Arke mbyllje euro</t>
  </si>
  <si>
    <t>Blerje materialeve te para e te tjera</t>
  </si>
  <si>
    <t>Energji &amp; Uje</t>
  </si>
  <si>
    <t>Shp operacionale amb qera</t>
  </si>
  <si>
    <t>Qera Mezuraj</t>
  </si>
  <si>
    <t>Qera makine</t>
  </si>
  <si>
    <t>Shp qera panjohur</t>
  </si>
  <si>
    <t>Mirëmbajtje për administratën</t>
  </si>
  <si>
    <t>Sigurime te ndryshme</t>
  </si>
  <si>
    <t>Provizionime kliente furnitore</t>
  </si>
  <si>
    <t>Shp fushata elektorale</t>
  </si>
  <si>
    <t>Konsultim stafi</t>
  </si>
  <si>
    <t>Sherbim sinoptik</t>
  </si>
  <si>
    <t>Autofatura - Sherbim nga jashte TCH</t>
  </si>
  <si>
    <t>Reklama (media elektronike)</t>
  </si>
  <si>
    <t>Te tjera tatime taksa</t>
  </si>
  <si>
    <t>Raporte mjekesore</t>
  </si>
  <si>
    <t>Shp kafe caj uje</t>
  </si>
  <si>
    <t>Shp pritje percjellje me TB</t>
  </si>
  <si>
    <t>Gjobat e akt kontrollit</t>
  </si>
  <si>
    <t>Shp financiare Societe Generale</t>
  </si>
  <si>
    <t>Shp interesa</t>
  </si>
  <si>
    <t>Humbje nga kembime valutore</t>
  </si>
  <si>
    <t>Vlera kontabel e aktive te qendrueshme te shitura</t>
  </si>
  <si>
    <t>Shpenzime te tjera jo korente</t>
  </si>
  <si>
    <t>Te ardhura nga sms</t>
  </si>
  <si>
    <t>Autofatura - Te ardh nga sherb nga jasht</t>
  </si>
  <si>
    <t>Shitje Mallra</t>
  </si>
  <si>
    <t>Rimarrje provizioni</t>
  </si>
  <si>
    <t>Fitime kembime valutore</t>
  </si>
  <si>
    <t>Te ardhura te tjera</t>
  </si>
  <si>
    <t>Shpenzime tatim fitimi</t>
  </si>
  <si>
    <t>Mjetet Monetare</t>
  </si>
  <si>
    <t xml:space="preserve"> Llogari kerkesa te arketueshme</t>
  </si>
  <si>
    <t xml:space="preserve"> Llogari kerkesa te tjera te arketueshme</t>
  </si>
  <si>
    <t xml:space="preserve"> Inventar</t>
  </si>
  <si>
    <t>Parapagime dhe shpenzime te shtyra</t>
  </si>
  <si>
    <t>Ndertesa (neto)</t>
  </si>
  <si>
    <t>Makineri dhe pajisje (neto)</t>
  </si>
  <si>
    <t>Akitive te tjera afatgjata materiele (neto)</t>
  </si>
  <si>
    <t>Aktive te tjera afatgjata jomateriele</t>
  </si>
  <si>
    <t>Aksione dhe pjesemarrje te tjera ne njesi te kontrolluara</t>
  </si>
  <si>
    <t>Llogari kerkese te arketueshme</t>
  </si>
  <si>
    <t>Te tjera aktive afatgjata ne proces</t>
  </si>
  <si>
    <t>Huate dhe obligacionet afatshkurtra</t>
  </si>
  <si>
    <t>Te pagueshme ndaj furnitoreve</t>
  </si>
  <si>
    <t>Te pagueshme ndaj punonjesve</t>
  </si>
  <si>
    <t>Detyrimet tatimore</t>
  </si>
  <si>
    <t>Parapagimet e arketueshme</t>
  </si>
  <si>
    <t>Grantet dhe te ardhura te shtyra</t>
  </si>
  <si>
    <t>Hua, bono dhe detyrime nga qeraja financiare</t>
  </si>
  <si>
    <t>Huamarrje te tjera afatgjata</t>
  </si>
  <si>
    <t>Provizionet afatgjata</t>
  </si>
  <si>
    <t>Grandet dhe te ardhura te shtyra</t>
  </si>
  <si>
    <t>Kapitali i aksionereve te shoqerise meme</t>
  </si>
  <si>
    <t>Fitimi i pashperndare</t>
  </si>
  <si>
    <t>Fitimi (humbje) e vitit financiar</t>
  </si>
  <si>
    <t>Te pagueshme ndaj shoqerive te konsoliduara</t>
  </si>
  <si>
    <t>Te pagueshme ndaj shoqerive te tjera te grupit</t>
  </si>
  <si>
    <t>Llogari te arketueshme shoqeri te konsoliduara</t>
  </si>
  <si>
    <t>Llogari te arketueshme shoqeri te grupit</t>
  </si>
  <si>
    <t xml:space="preserve">Shitjet neto </t>
  </si>
  <si>
    <t>Të ardhura të tjera nga veprimtaritë e shfrytëzimit</t>
  </si>
  <si>
    <t xml:space="preserve">Materialet e konsumuara </t>
  </si>
  <si>
    <t>Ndryshimet në inventarin e produkteve
të gatshme dhe prodhimit në proçes</t>
  </si>
  <si>
    <t xml:space="preserve">-pagat e personelit </t>
  </si>
  <si>
    <t xml:space="preserve">-shpenzimet per sigurimet shoqërore dhe shëndetsore </t>
  </si>
  <si>
    <t>-shpenzime te tjera personeli</t>
  </si>
  <si>
    <t>Kosto e personelit</t>
  </si>
  <si>
    <t xml:space="preserve">Amortizimet dhe zhvlerësimet </t>
  </si>
  <si>
    <t xml:space="preserve">Shpenzime të tjera </t>
  </si>
  <si>
    <t>Të ardhurat dhe shpenzimet financiare nga investime të tjera financiare afatgjata</t>
  </si>
  <si>
    <t>Të ardhurat dhe shpenzimet nga interesat</t>
  </si>
  <si>
    <t>Fitimet (humbjet) nga kursi i këmbimi</t>
  </si>
  <si>
    <t>Të ardhura dhe shpenzime të tjera financiare</t>
  </si>
  <si>
    <t>Totali i të ardhurave dhe shpenzimeve financiare
(12.1+/-12.2+/-12.3+/-12.4)</t>
  </si>
  <si>
    <t>Fitimi (humbja) para tatimit (9+/-13)</t>
  </si>
  <si>
    <t>Shpenzimet e tatimit mbi fitimin</t>
  </si>
  <si>
    <t>TCH Kosova</t>
  </si>
  <si>
    <t>TCH Maqedonia</t>
  </si>
  <si>
    <t>Parapagesat per furnizime</t>
  </si>
  <si>
    <t>Pershkrimi</t>
  </si>
  <si>
    <t>Pasqyra e Pozicionit Financiar</t>
  </si>
  <si>
    <t>Total Aktive afatshkurtra</t>
  </si>
  <si>
    <t>Aktive Afatgjata Materiale</t>
  </si>
  <si>
    <t>Total Aktive afatgjata</t>
  </si>
  <si>
    <t>Total detyrime afatshkurtra</t>
  </si>
  <si>
    <t>Total detyrime afatgjata</t>
  </si>
  <si>
    <t>Total Detyrime</t>
  </si>
  <si>
    <t>Total kapitali aksionar</t>
  </si>
  <si>
    <t>TOTALI I DETYRIMEVE DHE KAPITALIT</t>
  </si>
  <si>
    <t>TOTAL AKTIVE</t>
  </si>
  <si>
    <t>Pasqyra e rezultatit</t>
  </si>
  <si>
    <t>Total te ardhura</t>
  </si>
  <si>
    <t>Total shpenzime operacionale</t>
  </si>
  <si>
    <t>Fitimi (humbja) NETO</t>
  </si>
  <si>
    <t>SHOQERI TE TJERA TE GRUPIT</t>
  </si>
  <si>
    <t>SHOQERI/DEGE TE KONSOLIDUARA</t>
  </si>
  <si>
    <t>Amortizim i  akumuluar ndertesa</t>
  </si>
  <si>
    <t>Amortizim i  akumuluar makineri e pajisje</t>
  </si>
  <si>
    <t>Amortizim i  akumuluar te tjera</t>
  </si>
  <si>
    <t>Llogari kerkesa te arketueshme</t>
  </si>
  <si>
    <t>Llogari kerkesa te tjera te arketueshme</t>
  </si>
  <si>
    <t>Inventar</t>
  </si>
  <si>
    <t>TCH  - AL</t>
  </si>
  <si>
    <t>TCH   -  KS</t>
  </si>
  <si>
    <t>TCH   -  MK</t>
  </si>
  <si>
    <t>PASQYRA E KONSOLIDUAR E POZICIONIT FINANCIAR TOP CHANNEL sh.a</t>
  </si>
  <si>
    <t>PASQYRA E KONSOLIDUAR E REZULTATIT  FINANCIAR TOP CHANNEL sh.a</t>
  </si>
  <si>
    <t>Raiffeisen Bank sh.a</t>
  </si>
  <si>
    <t>Societè Generale sh.a</t>
  </si>
  <si>
    <t>Credins Bank sh.a</t>
  </si>
  <si>
    <t>Union Bank sh.a (OD)</t>
  </si>
  <si>
    <t>Intesa Sanpaolo Bank (OD)</t>
  </si>
  <si>
    <t>Raiffeisen Bank (OD)</t>
  </si>
  <si>
    <t>Societè Generale (OD)</t>
  </si>
  <si>
    <t>NET</t>
  </si>
  <si>
    <t>Check</t>
  </si>
  <si>
    <t>Profit</t>
  </si>
  <si>
    <t>F</t>
  </si>
  <si>
    <t>E</t>
  </si>
  <si>
    <t>D</t>
  </si>
  <si>
    <t xml:space="preserve">Fitimi para tatimit (i konsoliduar) </t>
  </si>
  <si>
    <t>Humbje Kosova (e panjohur)</t>
  </si>
  <si>
    <t>Humbje Maqedonia (e panjohur)</t>
  </si>
  <si>
    <t>Shpenzime te panjohura</t>
  </si>
  <si>
    <t>TB i panjohur</t>
  </si>
  <si>
    <t>AMEX-et</t>
  </si>
  <si>
    <t>Diferenca te perhershme</t>
  </si>
  <si>
    <t>Fitimi para tatimit (perfshire shpenzimet e panjohura)</t>
  </si>
  <si>
    <t>Fitimi Neto (pas tatimit)</t>
  </si>
  <si>
    <t>Gjoba akt kontrolli dhe te tjera</t>
  </si>
  <si>
    <t>Norma efektive e interesit ne %</t>
  </si>
  <si>
    <t>Maturimi</t>
  </si>
  <si>
    <t>AL</t>
  </si>
  <si>
    <t>HUA ME INTERESA DHE OVERDRAFT</t>
  </si>
  <si>
    <t>HUA AFATGJATA</t>
  </si>
  <si>
    <t>OVERDRAFT</t>
  </si>
  <si>
    <t>1 vit</t>
  </si>
  <si>
    <t>Pjesa afatshkurter e huase afatgjate</t>
  </si>
  <si>
    <t>Pjesa afatgjate e huase afatgjate</t>
  </si>
  <si>
    <t>TOTAL AFATGJATE</t>
  </si>
  <si>
    <t>TOTAL AFATSHKURTER</t>
  </si>
  <si>
    <t>Kursi</t>
  </si>
  <si>
    <t>Rivlerësime</t>
  </si>
  <si>
    <t>G</t>
  </si>
  <si>
    <t>H</t>
  </si>
  <si>
    <t>I</t>
  </si>
  <si>
    <t>J</t>
  </si>
  <si>
    <t>K</t>
  </si>
  <si>
    <t>L</t>
  </si>
  <si>
    <t>Fitimi i ushtrimit</t>
  </si>
  <si>
    <t>Current year profit</t>
  </si>
  <si>
    <t>M</t>
  </si>
  <si>
    <t>N</t>
  </si>
  <si>
    <t>O</t>
  </si>
  <si>
    <t>P</t>
  </si>
  <si>
    <t>Q</t>
  </si>
  <si>
    <t>Grante dhe te ardhura te shtyra</t>
  </si>
  <si>
    <t>Grants and deferred income</t>
  </si>
  <si>
    <t>Hua afatgjata</t>
  </si>
  <si>
    <t>Hua afatshkurtra</t>
  </si>
  <si>
    <t>Llogari te pagueshme te tjera</t>
  </si>
  <si>
    <t>Trade payables</t>
  </si>
  <si>
    <t>Advances recievables</t>
  </si>
  <si>
    <t>S</t>
  </si>
  <si>
    <t>T</t>
  </si>
  <si>
    <t>U</t>
  </si>
  <si>
    <t>V</t>
  </si>
  <si>
    <t>X</t>
  </si>
  <si>
    <t>Y</t>
  </si>
  <si>
    <t>Z</t>
  </si>
  <si>
    <t>ZH</t>
  </si>
  <si>
    <t>W</t>
  </si>
  <si>
    <t>LL</t>
  </si>
  <si>
    <t>R</t>
  </si>
  <si>
    <t>SH</t>
  </si>
  <si>
    <t>XX</t>
  </si>
  <si>
    <t>Shpenzime financiare Neto</t>
  </si>
  <si>
    <t>Total shpenzime financiare</t>
  </si>
  <si>
    <t>Net income from controlling units</t>
  </si>
  <si>
    <t>Financial (expenses) Net</t>
  </si>
  <si>
    <t>Total Financial (expenses)</t>
  </si>
  <si>
    <t>Shpenzimi i tatimit mbi fitimin</t>
  </si>
  <si>
    <t>5 vjet</t>
  </si>
  <si>
    <t>Ne monedhe origjinale</t>
  </si>
  <si>
    <t>Euro</t>
  </si>
  <si>
    <t>Leke</t>
  </si>
  <si>
    <t>Raiffeisen Bank sh.a ne Euro</t>
  </si>
  <si>
    <t>Societè Generale sh.a ne Euro</t>
  </si>
  <si>
    <t>Kontabilizim aktkontrolli</t>
  </si>
  <si>
    <t>Llogari te arketueshme  tregetare</t>
  </si>
  <si>
    <t>EE</t>
  </si>
  <si>
    <t>Parapagimet  dhe shpenzimet e shtyra</t>
  </si>
  <si>
    <t>Prepayments and deferred expenses</t>
  </si>
  <si>
    <t>PP</t>
  </si>
  <si>
    <t>Të ardhurat dhe shpenzimet financiare nga shoqerite e kontrolluara</t>
  </si>
  <si>
    <t>Tatim Fitimi</t>
  </si>
  <si>
    <t>PAKETA RAPORTUESE</t>
  </si>
  <si>
    <t>Shenimet shpjeguese te pasqyrave financiare</t>
  </si>
  <si>
    <t xml:space="preserve">Pasqyra e konsoliduar e Pozicionit Finanaciar </t>
  </si>
  <si>
    <t>Pasqyra e konsoliduar e te ardhurave e shpenzimeve</t>
  </si>
  <si>
    <t>Pasqyra e konsoliduar e Fluksit te Parave</t>
  </si>
  <si>
    <t>Pasqyra e konsoliduar e Kapitalit</t>
  </si>
  <si>
    <t>Shenimet shpjeguese</t>
  </si>
  <si>
    <t>Pasqyra e aktiveve afatgjata materiale</t>
  </si>
  <si>
    <t>Huate dhe Overdraftet</t>
  </si>
  <si>
    <t>Auxiliary Files</t>
  </si>
  <si>
    <t>Pasqyrat tranzitore te konsoliduara</t>
  </si>
  <si>
    <t>Pasqyrat Individuale TCH AL</t>
  </si>
  <si>
    <t>Pasqyrat Individuale TCH KS</t>
  </si>
  <si>
    <t>Pasqyrat Individuale TCH MK</t>
  </si>
  <si>
    <t>c.-</t>
  </si>
  <si>
    <t>d.-</t>
  </si>
  <si>
    <t>e.-</t>
  </si>
  <si>
    <t>f.-</t>
  </si>
  <si>
    <t>g.-</t>
  </si>
  <si>
    <t>Trial Balance TCH AL</t>
  </si>
  <si>
    <t>Trial Balance TCH KS</t>
  </si>
  <si>
    <t>Trial Balance TCH MK</t>
  </si>
  <si>
    <t>27- Tatim Fitimi</t>
  </si>
  <si>
    <t>II- Shenimet per pasqyrat financiare</t>
  </si>
  <si>
    <t>2011</t>
  </si>
  <si>
    <t>ne Lek</t>
  </si>
  <si>
    <t>5: Aktive afatgjata jomateriale</t>
  </si>
  <si>
    <t>Shtesa</t>
  </si>
  <si>
    <t>Pakesime</t>
  </si>
  <si>
    <t>Gjendja me 31 Dhjetor 2011</t>
  </si>
  <si>
    <t>Me kosto</t>
  </si>
  <si>
    <t>Amortizimi</t>
  </si>
  <si>
    <t>Amortizimi i vitit</t>
  </si>
  <si>
    <t>Kthim amortizimi</t>
  </si>
  <si>
    <t>Gjendja Neto me 31 Dhjetor 2011</t>
  </si>
  <si>
    <t>AAJM</t>
  </si>
  <si>
    <t>Me 31 Dhjetor 2011</t>
  </si>
  <si>
    <t>Me 31 Dhjetor 2010</t>
  </si>
  <si>
    <t>Vlera Kontabel Neto</t>
  </si>
  <si>
    <t>Gjendja me 1 Janar 2011 pas ndryshimeve</t>
  </si>
  <si>
    <t>Riklasifikime</t>
  </si>
  <si>
    <t>Ne 1 Janar 2011</t>
  </si>
  <si>
    <t>Amortizimi i Akumuluar</t>
  </si>
  <si>
    <t>Me Kosto</t>
  </si>
  <si>
    <t>Me 31 dhjetor 2010</t>
  </si>
  <si>
    <t>Me 31 dhjetor 2009</t>
  </si>
  <si>
    <t>Vlera kontabel neto</t>
  </si>
  <si>
    <t>Gjendja me 31 dhjetor 2010</t>
  </si>
  <si>
    <t>Pakesimet</t>
  </si>
  <si>
    <t>Shtesat</t>
  </si>
  <si>
    <t>Sistemime</t>
  </si>
  <si>
    <t>Gjendja me 31 dhjetor 2009</t>
  </si>
  <si>
    <t>Amortizimi i akumuluar</t>
  </si>
  <si>
    <t>Gjendja më 31 dhjetor 2010</t>
  </si>
  <si>
    <t>Gjendja me 31 dhjetor 2009 pas sistemimeve</t>
  </si>
  <si>
    <t>Mobilje e Orendi</t>
  </si>
  <si>
    <t>Ndertime &amp; Instalime pergj.</t>
  </si>
  <si>
    <t>Pajisje Zyre dhe Informatike</t>
  </si>
  <si>
    <t>Ndertesa</t>
  </si>
  <si>
    <t>6 : Llogarite e arketueshme afatgjata</t>
  </si>
  <si>
    <t>Hua e dhene paleve te treta</t>
  </si>
  <si>
    <t>7 :  Inventari</t>
  </si>
  <si>
    <t>Kliente</t>
  </si>
  <si>
    <t>Zhvleresimi per vitin/(Rimarrje per vitin)</t>
  </si>
  <si>
    <t xml:space="preserve">Gjendja me 1 Janar </t>
  </si>
  <si>
    <t>Zhvleresim i llogarive te arketueshme</t>
  </si>
  <si>
    <t>8 : Llogarite e arketueshme afatshkurtra</t>
  </si>
  <si>
    <t>9 : Llogarite e arketueshme afatshkurtra</t>
  </si>
  <si>
    <t>Garanci</t>
  </si>
  <si>
    <t>10 : Parapagimet dhe shpenzimet e shtyra</t>
  </si>
  <si>
    <t>Parapagime per furnitoret</t>
  </si>
  <si>
    <t>Shpenzime te shtyra</t>
  </si>
  <si>
    <t>11 :  Mjete Monetare</t>
  </si>
  <si>
    <t>15: Hua afatshkurtra</t>
  </si>
  <si>
    <t>Hua me interesa</t>
  </si>
  <si>
    <t>15: Hua afatgjata</t>
  </si>
  <si>
    <t>Te tjera hua afatgjata</t>
  </si>
  <si>
    <t>Te tjera hua afatshkurtra</t>
  </si>
  <si>
    <t>14: Detyrime te tjera afatgjata</t>
  </si>
  <si>
    <t>16: Llogari te pagueshme</t>
  </si>
  <si>
    <t>Provizionet furnitore paradhenie</t>
  </si>
  <si>
    <t>Provizionet kliente</t>
  </si>
  <si>
    <t>Furnitore</t>
  </si>
  <si>
    <t>17: Parapagimet e arketueshme</t>
  </si>
  <si>
    <t>Grante,te ardhura te shtyra e te tjera detyrime</t>
  </si>
  <si>
    <t>Interesa te perllogaritura</t>
  </si>
  <si>
    <t>Paga per t'u paguar</t>
  </si>
  <si>
    <t>Detyrime per sigurime shoqerore &amp; shendetesore</t>
  </si>
  <si>
    <t>TVSH per t'u paguar</t>
  </si>
  <si>
    <t>Debitore &amp; kreditore te tjere</t>
  </si>
  <si>
    <t>19: Llogari te pagueshme te tjera</t>
  </si>
  <si>
    <t>18: Grante, te ardhurat e shtyra dhe te tjera detyrime</t>
  </si>
  <si>
    <t>20: Te ardhura nga shitja</t>
  </si>
  <si>
    <t>Detyrime per tatimin mbi te ardhurat personale</t>
  </si>
  <si>
    <t>sipas FDP</t>
  </si>
  <si>
    <t>Paradhenie ne Celje (-)</t>
  </si>
  <si>
    <t>Paradhenie ne Mbyllje (+)</t>
  </si>
  <si>
    <t>Të ardhura nga shitje te tjera</t>
  </si>
  <si>
    <t>Autofatura</t>
  </si>
  <si>
    <t>Diff</t>
  </si>
  <si>
    <t>Te ardhura nga shitja e materialeve te arkives</t>
  </si>
  <si>
    <t>21: Materiale te para dhe te konsumueshme</t>
  </si>
  <si>
    <t>Shpenz. karburanti</t>
  </si>
  <si>
    <t>Blerje te pastokushme</t>
  </si>
  <si>
    <t>Shpenz. Kancelari</t>
  </si>
  <si>
    <t>Shpenz. Qera</t>
  </si>
  <si>
    <t>Koeficent kreditimi/veshje etj</t>
  </si>
  <si>
    <t>22: Shpenzime personeli</t>
  </si>
  <si>
    <t>Shpenzime per paga</t>
  </si>
  <si>
    <t>Shpenzime per sigurime shoqerore e shendetesore</t>
  </si>
  <si>
    <t>Sipas FDP</t>
  </si>
  <si>
    <t>23: Shpenzime zhvleresimi dhe amortizimi</t>
  </si>
  <si>
    <t>Shpenzime amortizimi</t>
  </si>
  <si>
    <t>Te ardhura nga Grantet</t>
  </si>
  <si>
    <t>24: Shpenzime te tjera</t>
  </si>
  <si>
    <t>Kuota pjese e shpenzimeve per t'u shperndare</t>
  </si>
  <si>
    <t>Taksa te ndryshme</t>
  </si>
  <si>
    <t>Gjoba te ndryshme</t>
  </si>
  <si>
    <t>Dalja jashte perdorimit dhe shitja e aktiveve afatgjata materiale</t>
  </si>
  <si>
    <t>Te ardhura nga shitja e AAM</t>
  </si>
  <si>
    <t>Shpenzime nga shitja e AAM</t>
  </si>
  <si>
    <t>Rezultati Neto nga shitja e AAM</t>
  </si>
  <si>
    <t>25: Te ardhura dhe shpenzime financiare nga njesite  e kontrolluara</t>
  </si>
  <si>
    <t>Te ardhura dhe shpenzime financiare nga njesite  e kontrolluara</t>
  </si>
  <si>
    <t>26: Shpenzime financiare Neto</t>
  </si>
  <si>
    <t>Shpenzime per interesa</t>
  </si>
  <si>
    <t>Te ardhura nga rrimarje provizioni</t>
  </si>
  <si>
    <t>Humbje nga kembimet valutote</t>
  </si>
  <si>
    <t>Te ardhura nga kembimet valutore</t>
  </si>
  <si>
    <t xml:space="preserve">Te tjera </t>
  </si>
  <si>
    <t>Komisione bankare dhe te tjera</t>
  </si>
  <si>
    <t>Per te tjera AA Jomateriale</t>
  </si>
  <si>
    <t>Amortizime te aktiveve Jo materiale</t>
  </si>
  <si>
    <t>Adjustments</t>
  </si>
  <si>
    <t>Kupona  shperblim</t>
  </si>
  <si>
    <t>Fatura ardhur me vonese</t>
  </si>
  <si>
    <t>bilanc KS</t>
  </si>
  <si>
    <t>komisione</t>
  </si>
  <si>
    <t>bilanc MK</t>
  </si>
  <si>
    <t>Raporte mjekesore paguar nga TCH</t>
  </si>
  <si>
    <t>Te ardhurat/shpenzime financiare nga njesite e kontrolluara</t>
  </si>
  <si>
    <t>31.12.2009</t>
  </si>
  <si>
    <t>Celje sipas sistemit tatimor</t>
  </si>
  <si>
    <t>Total teprice kreditore</t>
  </si>
  <si>
    <t>Sponsorizime mbi limitin ligjor</t>
  </si>
  <si>
    <t>Teprica kreditore per t'u mbartur</t>
  </si>
  <si>
    <t>444x</t>
  </si>
  <si>
    <t>Tatim fitimi per tu rregulluar</t>
  </si>
  <si>
    <t>eshte nxjerre ne nje llog te vecante diferenca e TF qe kemi me sistemin</t>
  </si>
  <si>
    <t>Sigurim jete</t>
  </si>
  <si>
    <t>Te tjera (sponsorizime)</t>
  </si>
  <si>
    <t>1.10.1 - Llogaritja e tatim fitimit</t>
  </si>
  <si>
    <t>&gt;1 vit</t>
  </si>
  <si>
    <t>Shpërndarja e fitimit te vitit 2010</t>
  </si>
  <si>
    <t>ok</t>
  </si>
  <si>
    <t>Te panjohura</t>
  </si>
  <si>
    <t>Te njohura</t>
  </si>
  <si>
    <t>CASH FLOW STATEMENT</t>
  </si>
  <si>
    <t>Unrealized gains</t>
  </si>
  <si>
    <t>Unrealized losses</t>
  </si>
  <si>
    <t>Accrued Interest</t>
  </si>
  <si>
    <t>OPERATING ACTIVITIES</t>
  </si>
  <si>
    <t>NET PROFIT OF PERIOD</t>
  </si>
  <si>
    <t>DEDUCT (ADD BACK) ACCRUED INTEREST</t>
  </si>
  <si>
    <t>DEDUCT (ADD BACK) UNREALIZED LOSSES (GAINS) FOR THE PERIOD</t>
  </si>
  <si>
    <t>ADD-BACK DEPRECIATION CHARGE/DEDUCT DEPR. RETRIEVALS</t>
  </si>
  <si>
    <t>ADD-BACK PROVISION CHARGE/DEDUCT PROV. RETRIEVALS</t>
  </si>
  <si>
    <t>NET OPERATING CASHFLOW FOR THE PERIOD</t>
  </si>
  <si>
    <t>(INCREASE)/DECREASE OF INVENTORIES</t>
  </si>
  <si>
    <t>(INCREASE)/DECREASE OF TRADE RECEIVABLES</t>
  </si>
  <si>
    <t>(INCREASE)/DECREASE OF OTHER RECEIVABLES</t>
  </si>
  <si>
    <t>(DECREASE)/INCREASE OF TRADE PAYABLES</t>
  </si>
  <si>
    <t>(DECREASE)/INCREASE OF OTHER PAYABLES</t>
  </si>
  <si>
    <t>INCREASE/(DECREASE) IN CONVERSION DIFF., LIABS</t>
  </si>
  <si>
    <t>NET WORKING CAPITAL CHANGES</t>
  </si>
  <si>
    <t>CASHFLOW FROM/(USED IN) OPERATING ACTIVITIES</t>
  </si>
  <si>
    <t>INVESTMENT ACTIVITIES</t>
  </si>
  <si>
    <t>PURCHASE OF FIXED ASSETS, NET OF DISPOSALS</t>
  </si>
  <si>
    <t>PURCHASE OF DEFERRED CHARGES</t>
  </si>
  <si>
    <t>PURCHASE OF OTHER INVESTMENTS, DEPOSITS ETC.</t>
  </si>
  <si>
    <t>CASHFLOW FROM/(USED IN) INVESTING ACTIVITIES</t>
  </si>
  <si>
    <t>FINANCING ACTIVITIES</t>
  </si>
  <si>
    <t>SUBSCRIPTION OF SHARE CAPITAL</t>
  </si>
  <si>
    <t>INCREASE/(DECREASE) OF SHAREHOLDER LOANS</t>
  </si>
  <si>
    <t>INCREASE/(DECREASE) IN LONG-TERM LOANS</t>
  </si>
  <si>
    <t>INCREASE/(DECREASE) IN SHORT-TERM LOANS</t>
  </si>
  <si>
    <t>INCREASE/(DECREASE) IN FINANCIAL LEASE</t>
  </si>
  <si>
    <t>CASHFLOW FROM/(USED IN) FINANCING ACTIVITIES</t>
  </si>
  <si>
    <t>NET CASH GENERATION</t>
  </si>
  <si>
    <t>CASH AND CASH EQUIVALENTS AT BEGINNING OF PERIOD</t>
  </si>
  <si>
    <t>CASH AND CASH EQUIVALENTS AT END OF PERIOD</t>
  </si>
  <si>
    <t>REALIZED</t>
  </si>
  <si>
    <t>Llogari te arketueshme  te tjera</t>
  </si>
  <si>
    <t>Llogari te arketueshme te tjera</t>
  </si>
  <si>
    <t>(INCREASE)/DECREASE IN DEFERRED EXPENSES</t>
  </si>
  <si>
    <t>Llogari te pagueshme tregetare</t>
  </si>
  <si>
    <t>INCOME TAX PAYMENT</t>
  </si>
  <si>
    <t>INCOME TAX EXPENSE</t>
  </si>
  <si>
    <t>Consolidated 31.12.2011</t>
  </si>
  <si>
    <t>PASQYRA E KONSOLIDUAR E FLUKSIT TE PARAVE TOP CHANNEL sh.a</t>
  </si>
  <si>
    <t>Flukset e parasë nga aktivitetet operative</t>
  </si>
  <si>
    <t>Operating activities</t>
  </si>
  <si>
    <t>Axhustime për zërat  jo-monetare:</t>
  </si>
  <si>
    <t>Adjustment for non-cash items:</t>
  </si>
  <si>
    <t>Zhvlerësimi dhe amortizimi</t>
  </si>
  <si>
    <t>Income from subsidies and grants</t>
  </si>
  <si>
    <t>Nxjerrja jashtë përdorimit e Mjeteve fikseve, neto nga fitimi  kapital</t>
  </si>
  <si>
    <t>Disposal of fixed assets, net of capital gain</t>
  </si>
  <si>
    <t>Pakësimi i rezervave</t>
  </si>
  <si>
    <t>Release from reserves</t>
  </si>
  <si>
    <t>Interest income</t>
  </si>
  <si>
    <t>Interest expense</t>
  </si>
  <si>
    <t>Net exchange gains on borrowings</t>
  </si>
  <si>
    <t>Tatimi mbi fitimin</t>
  </si>
  <si>
    <t>Fitimi operativ përpara ndryshimeve ne kapitalin qarkullues</t>
  </si>
  <si>
    <t>Operating profit before changes in working capital</t>
  </si>
  <si>
    <t>Ndryshimi ne kapitalin qarkullues</t>
  </si>
  <si>
    <t>Changes in working capital</t>
  </si>
  <si>
    <t>Ndryshimi ne inventar</t>
  </si>
  <si>
    <t>Changes in inventories</t>
  </si>
  <si>
    <t>Ndryshimi ne llogari te arketueshme dhe te tjera</t>
  </si>
  <si>
    <t>Changes in trade and other receivables</t>
  </si>
  <si>
    <t>Ndryshimi ne llogari te pagueshme dhe te tjera</t>
  </si>
  <si>
    <t>Changes in trade and other payables</t>
  </si>
  <si>
    <t>Restricted cash</t>
  </si>
  <si>
    <t>Mjetet monetare te gjeneruara nga aktivitetet operative</t>
  </si>
  <si>
    <t>Cash generated from operations</t>
  </si>
  <si>
    <t>Interesa te paguara</t>
  </si>
  <si>
    <t>Interest paid</t>
  </si>
  <si>
    <t>Tatimi mbi fitimin i paguar gjate vitit</t>
  </si>
  <si>
    <t>Income tax paid</t>
  </si>
  <si>
    <t xml:space="preserve">Aktivitetet investuese </t>
  </si>
  <si>
    <t>Investing activities</t>
  </si>
  <si>
    <t>Blerje te aktiveve afatgjata material</t>
  </si>
  <si>
    <t>Purchase of property, plant and equipment</t>
  </si>
  <si>
    <t>Blerje te aktiveve afatgjata jomateriale</t>
  </si>
  <si>
    <t>Purchase of intangible assets</t>
  </si>
  <si>
    <t>Te hyra nga shitja e aktiveve afatgjata materiale</t>
  </si>
  <si>
    <t>Proceeds from sold property, plant and equipment</t>
  </si>
  <si>
    <t>Hua dhënë palëve te treta, neto</t>
  </si>
  <si>
    <t>Granted loans to third parties, net</t>
  </si>
  <si>
    <t>Interesa te marra</t>
  </si>
  <si>
    <t>Interest received</t>
  </si>
  <si>
    <t>Aktivitetet financuese</t>
  </si>
  <si>
    <t>Financing activities</t>
  </si>
  <si>
    <t>(Ripagim)/ te hyrat neto nga kreditë</t>
  </si>
  <si>
    <t>(Repayments) / proceeds from borrowings, net</t>
  </si>
  <si>
    <t>Te hyra nga grantet qeveritare</t>
  </si>
  <si>
    <t>Proceeds from government grants</t>
  </si>
  <si>
    <t>Dividendë paguar</t>
  </si>
  <si>
    <t>Dividends paid</t>
  </si>
  <si>
    <t>Ndryshimi neto i mjeteve monetare</t>
  </si>
  <si>
    <t>Net change in cash and cash equivalents</t>
  </si>
  <si>
    <t>Mjetet monetare ne fillim te periudhës</t>
  </si>
  <si>
    <t>Cash and cash equivalents at beginning</t>
  </si>
  <si>
    <t>Mjetet monetare ne fund te periudhës</t>
  </si>
  <si>
    <t>Cash and cash equivalents at end</t>
  </si>
  <si>
    <t>Diferenca konvertimi te parealizuara</t>
  </si>
  <si>
    <t>Ndryshimi ne parapagime e shpenzime te shtyra</t>
  </si>
  <si>
    <t>AAM ne Proces</t>
  </si>
  <si>
    <t>Shpenzime te panjohura te tjera (si me poshte)</t>
  </si>
  <si>
    <t>Tatim fitimi 2012</t>
  </si>
  <si>
    <t>AA Proces</t>
  </si>
  <si>
    <t>Mallra dhe produkte</t>
  </si>
  <si>
    <t>Furnitore(deb)parapagime pagesa pjesore usd</t>
  </si>
  <si>
    <t>Event MEDIA</t>
  </si>
  <si>
    <t>Parapagime Galina</t>
  </si>
  <si>
    <t>Sigal Uniqa Group Austria Kosove</t>
  </si>
  <si>
    <t>Arseni</t>
  </si>
  <si>
    <t>B&amp;M</t>
  </si>
  <si>
    <t>Unlimited Media</t>
  </si>
  <si>
    <t>Armo</t>
  </si>
  <si>
    <t>Kastrati</t>
  </si>
  <si>
    <t>Nobel Ilac</t>
  </si>
  <si>
    <t>Adi KRASTA</t>
  </si>
  <si>
    <t>Hua Kevitan Security&amp;Communication</t>
  </si>
  <si>
    <t>Hua Kevitan euro</t>
  </si>
  <si>
    <t>1001 pse</t>
  </si>
  <si>
    <t>Next</t>
  </si>
  <si>
    <t>Kape Kohen</t>
  </si>
  <si>
    <t>Dua Vendin Tim</t>
  </si>
  <si>
    <t>Kush e ngriti Falmurin</t>
  </si>
  <si>
    <t>Shp qera makine</t>
  </si>
  <si>
    <t>Credins Amex</t>
  </si>
  <si>
    <t>RZB EURO 7420211</t>
  </si>
  <si>
    <t>Union Bank Overdraft</t>
  </si>
  <si>
    <t>Union Amex</t>
  </si>
  <si>
    <t>Union Bank 38020415</t>
  </si>
  <si>
    <t>Banka Popullore Lek Karte</t>
  </si>
  <si>
    <t>Sherbime Hoteli</t>
  </si>
  <si>
    <t>Furnitore materiale sherbim gbp</t>
  </si>
  <si>
    <t>Paradhenie Intermed</t>
  </si>
  <si>
    <t>Nobel Ilac VE</t>
  </si>
  <si>
    <t>2012</t>
  </si>
  <si>
    <t>Gjendja me 31 Dhjetor 2012</t>
  </si>
  <si>
    <t>Raiffeisen Bank sha</t>
  </si>
  <si>
    <t>Credins sh.a</t>
  </si>
  <si>
    <t>31.12.2012</t>
  </si>
  <si>
    <t xml:space="preserve"> </t>
  </si>
  <si>
    <t>Fitimi ushtrimor</t>
  </si>
  <si>
    <t>31 Dhjetor 2012</t>
  </si>
  <si>
    <t>Sa kaluar gabim ne llog furnitore</t>
  </si>
  <si>
    <t>TOP CHANNEL 2012</t>
  </si>
  <si>
    <t>Amexe</t>
  </si>
  <si>
    <t>Gjendja Neto me 31 Dhjetor 2012</t>
  </si>
  <si>
    <t>ALL</t>
  </si>
  <si>
    <t>FBT</t>
  </si>
  <si>
    <t>61</t>
  </si>
  <si>
    <t>Qera muaji nentor-dhjetoe QNK</t>
  </si>
  <si>
    <t>PF</t>
  </si>
  <si>
    <t>TR</t>
  </si>
  <si>
    <t>L002ISP</t>
  </si>
  <si>
    <t>Lik qera janar QNK</t>
  </si>
  <si>
    <t>ABA</t>
  </si>
  <si>
    <t>159.003.00</t>
  </si>
  <si>
    <t>L050ISP</t>
  </si>
  <si>
    <t>Lik qera shkurt QKPanaire</t>
  </si>
  <si>
    <t>L099ISP</t>
  </si>
  <si>
    <t>Lik qera mars QKPanaireve</t>
  </si>
  <si>
    <t>L124ISP</t>
  </si>
  <si>
    <t>Lik qera shtator QKPanaireve</t>
  </si>
  <si>
    <t>L145ISP</t>
  </si>
  <si>
    <t>Lik qera prill QKPanaireve</t>
  </si>
  <si>
    <t>L207ISP</t>
  </si>
  <si>
    <t>Lik qera maj QKPanaireve</t>
  </si>
  <si>
    <t>L257ISP</t>
  </si>
  <si>
    <t>Lik qera qershor QKPanaireve</t>
  </si>
  <si>
    <t>L300ISP</t>
  </si>
  <si>
    <t>Lik fat korrik QKPanaireve</t>
  </si>
  <si>
    <t>L339ISP</t>
  </si>
  <si>
    <t>Lik fat qera gusht QKPanaireve</t>
  </si>
  <si>
    <t>L367ISP</t>
  </si>
  <si>
    <t>Lik fat nentor QKPanaireve</t>
  </si>
  <si>
    <t>L402ISP</t>
  </si>
  <si>
    <t>Lik qera dhjetor QKPanaireve</t>
  </si>
  <si>
    <t>Shuma</t>
  </si>
  <si>
    <t>597</t>
  </si>
  <si>
    <t>Dhurata Vit i Ri Arteg</t>
  </si>
  <si>
    <t>772</t>
  </si>
  <si>
    <t>Faturim sipas kontrates Neptun</t>
  </si>
  <si>
    <t>207</t>
  </si>
  <si>
    <t>Kupona Vit Ri Delhaize Albania</t>
  </si>
  <si>
    <t>05</t>
  </si>
  <si>
    <t>Bilete ne favor te Alisjana Isufaj</t>
  </si>
  <si>
    <t>L105RZB</t>
  </si>
  <si>
    <t>Pag M.Sadushaj</t>
  </si>
  <si>
    <t>RZB</t>
  </si>
  <si>
    <t>52</t>
  </si>
  <si>
    <t>Bilete avioni  Alexandros Lountzis Adria Aegan</t>
  </si>
  <si>
    <t>E025RZB</t>
  </si>
  <si>
    <t>Lik proforme Musikahaus Thoman</t>
  </si>
  <si>
    <t>RZBE</t>
  </si>
  <si>
    <t>FK</t>
  </si>
  <si>
    <t>02/04</t>
  </si>
  <si>
    <t>Amortizim i panjohur  janar shkurt</t>
  </si>
  <si>
    <t>626020</t>
  </si>
  <si>
    <t>Individual registratoin fee Reed MIDEN</t>
  </si>
  <si>
    <t>878</t>
  </si>
  <si>
    <t>Sig TPL Interalbanian</t>
  </si>
  <si>
    <t>3</t>
  </si>
  <si>
    <t>Shebrim grimi  BB5 Jetmira Lleshi</t>
  </si>
  <si>
    <t>04/06</t>
  </si>
  <si>
    <t>Vl e panjohur amort mars prill</t>
  </si>
  <si>
    <t>72</t>
  </si>
  <si>
    <t>Dhurata Kids Land</t>
  </si>
  <si>
    <t>L004SK</t>
  </si>
  <si>
    <t>Lik fat 5377 Mercator</t>
  </si>
  <si>
    <t>SOCIETEKARTE</t>
  </si>
  <si>
    <t>L012SK</t>
  </si>
  <si>
    <t>Lik detyrimi Rossman</t>
  </si>
  <si>
    <t>L017SK</t>
  </si>
  <si>
    <t>Lik detyrimi Megatek</t>
  </si>
  <si>
    <t>L020SK</t>
  </si>
  <si>
    <t>Lik detyrimi Kotton</t>
  </si>
  <si>
    <t>L021SK</t>
  </si>
  <si>
    <t>Li kfat Adriatik SHOP</t>
  </si>
  <si>
    <t>L035SK</t>
  </si>
  <si>
    <t>Lik detyrimi Intersport</t>
  </si>
  <si>
    <t>L046SK</t>
  </si>
  <si>
    <t>Li kdetyrimi LC Waikiki</t>
  </si>
  <si>
    <t>L051SK</t>
  </si>
  <si>
    <t>Lik detyrimi Neranxi</t>
  </si>
  <si>
    <t>05/06</t>
  </si>
  <si>
    <t>Dieta janar-prill  2012</t>
  </si>
  <si>
    <t>4</t>
  </si>
  <si>
    <t>Stilim grim Jetmira Lleshi</t>
  </si>
  <si>
    <t>B62012</t>
  </si>
  <si>
    <t>Sherbim ne internet Das Bunderarchiv</t>
  </si>
  <si>
    <t>630</t>
  </si>
  <si>
    <t>Fjetje ne hotel Vangjel Vardhami</t>
  </si>
  <si>
    <t>0427127</t>
  </si>
  <si>
    <t>Bileta avioni Jona Travel</t>
  </si>
  <si>
    <t>NDF</t>
  </si>
  <si>
    <t>Colorful</t>
  </si>
  <si>
    <t>Colorful Light sistemim diference transporti</t>
  </si>
  <si>
    <t>0</t>
  </si>
  <si>
    <t>181</t>
  </si>
  <si>
    <t>Pro haze fluid Prosound</t>
  </si>
  <si>
    <t>L084SK</t>
  </si>
  <si>
    <t>Lik fat Librari Albania</t>
  </si>
  <si>
    <t>252/2012</t>
  </si>
  <si>
    <t>License fee 3 muaj Voice  BMat Music</t>
  </si>
  <si>
    <t>08/05</t>
  </si>
  <si>
    <t>Amortizim i panjohur qershor gusht</t>
  </si>
  <si>
    <t>08/01</t>
  </si>
  <si>
    <t>Dieta maj-gusht; Dieta qershor ks+gjakove</t>
  </si>
  <si>
    <t>E001C</t>
  </si>
  <si>
    <t>Lik steak House</t>
  </si>
  <si>
    <t>UNIANCARD</t>
  </si>
  <si>
    <t>E002C</t>
  </si>
  <si>
    <t>Lik detyrimi Amor Tirane</t>
  </si>
  <si>
    <t>E003C</t>
  </si>
  <si>
    <t>Lik detyrimi Alitalia</t>
  </si>
  <si>
    <t>E004C</t>
  </si>
  <si>
    <t>Lik detyrimi Aliitalia</t>
  </si>
  <si>
    <t>E005C</t>
  </si>
  <si>
    <t>Lik detyrimi Padam</t>
  </si>
  <si>
    <t>493</t>
  </si>
  <si>
    <t>Transport nderkombetar Lidia Tarns</t>
  </si>
  <si>
    <t>L129SK</t>
  </si>
  <si>
    <t>Lik fat Neptun</t>
  </si>
  <si>
    <t>09/08</t>
  </si>
  <si>
    <t>Mbyllur parapagim i 2010</t>
  </si>
  <si>
    <t>718</t>
  </si>
  <si>
    <t>TVSH fat se televizoreve Philips Neptun</t>
  </si>
  <si>
    <t>L166ISP</t>
  </si>
  <si>
    <t>Lik qera tetor QKPanaireve</t>
  </si>
  <si>
    <t>L692RZB</t>
  </si>
  <si>
    <t>Pag noterre M.SADUSHAJ</t>
  </si>
  <si>
    <t>E006C</t>
  </si>
  <si>
    <t>Lik detyrimi THOMAN</t>
  </si>
  <si>
    <t>L165SK</t>
  </si>
  <si>
    <t>Lik fat Hotel Tirana</t>
  </si>
  <si>
    <t>10/08</t>
  </si>
  <si>
    <t>Amortizim muaji tetor</t>
  </si>
  <si>
    <t>L805RZB</t>
  </si>
  <si>
    <t>Regjistrim kontrates se hipotekes per garantimin e kredise se dhen nga banka&amp;leshim kopje kartele pa</t>
  </si>
  <si>
    <t>E009C</t>
  </si>
  <si>
    <t>Lik dteyrim Green House</t>
  </si>
  <si>
    <t>7641</t>
  </si>
  <si>
    <t>Libra kinematografia ALBAS</t>
  </si>
  <si>
    <t>01234802</t>
  </si>
  <si>
    <t>Parfum,krem Erelor</t>
  </si>
  <si>
    <t>111043333</t>
  </si>
  <si>
    <t>Terrazes Resarva Maelbec Euronuovo</t>
  </si>
  <si>
    <t>111043332</t>
  </si>
  <si>
    <t>2175</t>
  </si>
  <si>
    <t>pupa kokeshi Orbico</t>
  </si>
  <si>
    <t>111043543</t>
  </si>
  <si>
    <t>Shporte dhurate Euronuovo</t>
  </si>
  <si>
    <t>U066UB</t>
  </si>
  <si>
    <t>Pagese detyrimi  Home US</t>
  </si>
  <si>
    <t>UNIONBANKUSD</t>
  </si>
  <si>
    <t>2879</t>
  </si>
  <si>
    <t>Sipas kontrates kupona Tirana East Gate</t>
  </si>
  <si>
    <t>1193</t>
  </si>
  <si>
    <t>Spraj kromo Kead</t>
  </si>
  <si>
    <t>99</t>
  </si>
  <si>
    <t>Shtojce kontrate kredie Luena Tolica</t>
  </si>
  <si>
    <t>199</t>
  </si>
  <si>
    <t>Tullumbace Summer FEST kids land ( TVSH fat qershor)</t>
  </si>
  <si>
    <t>12/11</t>
  </si>
  <si>
    <t>12/01</t>
  </si>
  <si>
    <t>Amortizim muaji dhjetor</t>
  </si>
  <si>
    <t>12/16</t>
  </si>
  <si>
    <t>Kontabilizim dietash</t>
  </si>
  <si>
    <t>NDK</t>
  </si>
  <si>
    <t>renova</t>
  </si>
  <si>
    <t>Renova mbyllur keinti</t>
  </si>
  <si>
    <t>12/21</t>
  </si>
  <si>
    <t>pagesa e punonjese nga  KS</t>
  </si>
  <si>
    <t>12/25</t>
  </si>
  <si>
    <t>Sposorizimet e fondacionit</t>
  </si>
  <si>
    <t>U001AM</t>
  </si>
  <si>
    <t>Ame dhjetor</t>
  </si>
  <si>
    <t>ABAARD</t>
  </si>
  <si>
    <t>U003AM</t>
  </si>
  <si>
    <t>Amex janar</t>
  </si>
  <si>
    <t>U006AM</t>
  </si>
  <si>
    <t>Amex bill shkurt</t>
  </si>
  <si>
    <t>U008AM</t>
  </si>
  <si>
    <t>Amex bill mars</t>
  </si>
  <si>
    <t>U010AM</t>
  </si>
  <si>
    <t>Amex bill prill</t>
  </si>
  <si>
    <t>U022ISP</t>
  </si>
  <si>
    <t>ABAUSD</t>
  </si>
  <si>
    <t>amex korrik</t>
  </si>
  <si>
    <t>CREDINSAMEX</t>
  </si>
  <si>
    <t>U004AM</t>
  </si>
  <si>
    <t>Amex gusht</t>
  </si>
  <si>
    <t>U005AM</t>
  </si>
  <si>
    <t>Amex shtator</t>
  </si>
  <si>
    <t>Amex tetor</t>
  </si>
  <si>
    <t>U007AM</t>
  </si>
  <si>
    <t>Amex nentor</t>
  </si>
  <si>
    <t>E024BP</t>
  </si>
  <si>
    <t>Pagese penaliteti vonese pagese</t>
  </si>
  <si>
    <t>BPOPULLOREE</t>
  </si>
  <si>
    <t>E034SG</t>
  </si>
  <si>
    <t>Penalitet vonese pagese kest kredie</t>
  </si>
  <si>
    <t>MP</t>
  </si>
  <si>
    <t>11/33</t>
  </si>
  <si>
    <t>Pagese gjobe</t>
  </si>
  <si>
    <t>ARKALEK</t>
  </si>
  <si>
    <t>Shp interesa Overdrafti</t>
  </si>
  <si>
    <t>L002UB</t>
  </si>
  <si>
    <t>Interesa overdrafti</t>
  </si>
  <si>
    <t>L010UB</t>
  </si>
  <si>
    <t>L019UB</t>
  </si>
  <si>
    <t>L023UB</t>
  </si>
  <si>
    <t>L026UB</t>
  </si>
  <si>
    <t>L042UB</t>
  </si>
  <si>
    <t>L050UB</t>
  </si>
  <si>
    <t>L058UB</t>
  </si>
  <si>
    <t>L071UB</t>
  </si>
  <si>
    <t>L073UB</t>
  </si>
  <si>
    <t>L089UB</t>
  </si>
  <si>
    <t>L093UB</t>
  </si>
  <si>
    <t>L120UB</t>
  </si>
  <si>
    <t>L128UB</t>
  </si>
  <si>
    <t>L129UB</t>
  </si>
  <si>
    <t>L151UB</t>
  </si>
  <si>
    <t>L160UB</t>
  </si>
  <si>
    <t>L163UB</t>
  </si>
  <si>
    <t>L168UB</t>
  </si>
  <si>
    <t>L170UB</t>
  </si>
  <si>
    <t>* Sjelle ne shpenzime ND vetem interesat e OV nga Union Bank per te mbuluar Huate e dhena per Kevitan Security &amp; VGA ( qe jane afersisht me te njejten vlere)</t>
  </si>
  <si>
    <t>90</t>
  </si>
  <si>
    <t>uje bora Voice of Albania Lani</t>
  </si>
  <si>
    <t>82</t>
  </si>
  <si>
    <t>Kokteil Voice Alfazed</t>
  </si>
  <si>
    <t>560</t>
  </si>
  <si>
    <t>Bileta avioni konkurente BB5 Sava Tours</t>
  </si>
  <si>
    <t>307</t>
  </si>
  <si>
    <t>Ushqim punonjesi Helios Catering</t>
  </si>
  <si>
    <t>311</t>
  </si>
  <si>
    <t>Dreke punonjes Helios CATERING</t>
  </si>
  <si>
    <t>328</t>
  </si>
  <si>
    <t>Dreke Punonjes Helios Catering</t>
  </si>
  <si>
    <t>331</t>
  </si>
  <si>
    <t>Darke punonjesi Helios Catering</t>
  </si>
  <si>
    <t>338</t>
  </si>
  <si>
    <t>Dreke punonjesi helios Catering</t>
  </si>
  <si>
    <t>351</t>
  </si>
  <si>
    <t>Dreke punonjesit Helios Catering</t>
  </si>
  <si>
    <t>356</t>
  </si>
  <si>
    <t>Darke punonjesit Helios Catering</t>
  </si>
  <si>
    <t>378</t>
  </si>
  <si>
    <t>Dreke punonjesi Dasmat Helios Catering</t>
  </si>
  <si>
    <t>384</t>
  </si>
  <si>
    <t>Dreke punonjes Dasma  Helios Catering</t>
  </si>
  <si>
    <t>406</t>
  </si>
  <si>
    <t>Dreke pune HELIOS Catering</t>
  </si>
  <si>
    <t>411</t>
  </si>
  <si>
    <t>433</t>
  </si>
  <si>
    <t>Dreke punonjesi Helios Catering</t>
  </si>
  <si>
    <t>438</t>
  </si>
  <si>
    <t>Dreke punonjesit Helis Catering</t>
  </si>
  <si>
    <t>455</t>
  </si>
  <si>
    <t>459</t>
  </si>
  <si>
    <t>471</t>
  </si>
  <si>
    <t>Dreke punonjesi Helios  Catering</t>
  </si>
  <si>
    <t>38</t>
  </si>
  <si>
    <t>Katering emisioni E diell BB Food Service</t>
  </si>
  <si>
    <t>01</t>
  </si>
  <si>
    <t>Sherbim ofruar staf TFest Arena Luxury</t>
  </si>
  <si>
    <t>0427171</t>
  </si>
  <si>
    <t>Bileta avioni Rezart Aga,Skerdi Drenova TIR-AM-TIR Jona Travel</t>
  </si>
  <si>
    <t>22</t>
  </si>
  <si>
    <t>Uje natyral Voice  Atlas</t>
  </si>
  <si>
    <t>44</t>
  </si>
  <si>
    <t>Sherbim restorant Rudina Xhunga Trio Difinition</t>
  </si>
  <si>
    <t>545</t>
  </si>
  <si>
    <t>Bilete transporti ajror  A.Cani Belle Air</t>
  </si>
  <si>
    <t>111041464</t>
  </si>
  <si>
    <t>Verera Euronuovo</t>
  </si>
  <si>
    <t>11041469</t>
  </si>
  <si>
    <t>32</t>
  </si>
  <si>
    <t>Bilete avioni Arben Bajraktari All Fly</t>
  </si>
  <si>
    <t>10</t>
  </si>
  <si>
    <t>Uje lattas Voice  Atlas</t>
  </si>
  <si>
    <t>3459</t>
  </si>
  <si>
    <t>Sherbim akomodimi Kristal</t>
  </si>
  <si>
    <t>27</t>
  </si>
  <si>
    <t>Bitele avioni Ardian Gjoni</t>
  </si>
  <si>
    <t>Uje castilatas Atlas</t>
  </si>
  <si>
    <t>9445</t>
  </si>
  <si>
    <t>Sherbim restoranti Geci</t>
  </si>
  <si>
    <t>175</t>
  </si>
  <si>
    <t>Bileta transporti Bell Air</t>
  </si>
  <si>
    <t>30</t>
  </si>
  <si>
    <t>Uje konkurente Voice</t>
  </si>
  <si>
    <t>148</t>
  </si>
  <si>
    <t>Bileta avioni Belle Air</t>
  </si>
  <si>
    <t>Total TR</t>
  </si>
  <si>
    <t>Deductible</t>
  </si>
  <si>
    <t>0.3% te te ardhurave</t>
  </si>
  <si>
    <t>Non Deductible</t>
  </si>
  <si>
    <t>TOTAL Shpenzime ND - 2012</t>
  </si>
  <si>
    <t>Parapagim 2012</t>
  </si>
  <si>
    <t>Shpenzime tatim fitimi viti 2012</t>
  </si>
  <si>
    <t>Saktesimi fatures dhjetor te GIZ</t>
  </si>
  <si>
    <t>Te ardhura nga shitja e AAM ( paraqiten neto ne shpenzime)</t>
  </si>
  <si>
    <t>----------&gt;</t>
  </si>
  <si>
    <t>VITI 2011</t>
  </si>
  <si>
    <t>AQT ne Proces</t>
  </si>
  <si>
    <t>Gjëndja me 31 dhjetor 2009 pas ndryshimeve</t>
  </si>
  <si>
    <t>VITI 2012</t>
  </si>
  <si>
    <t>Gjendja me 31 dhjetor 2010 pas sistemimeve</t>
  </si>
  <si>
    <t>Gjendja më 31 dhjetor 2011</t>
  </si>
  <si>
    <r>
      <t>Gjëndja</t>
    </r>
    <r>
      <rPr>
        <b/>
        <sz val="10"/>
        <color indexed="8"/>
        <rFont val="Calibri"/>
        <family val="2"/>
      </rPr>
      <t xml:space="preserve"> me 31 dhjetor 2010 pas ndryshimeve</t>
    </r>
  </si>
  <si>
    <t>Gjendja me 31 dhjetor 2011</t>
  </si>
  <si>
    <t>Me 31 dhjetor 2011</t>
  </si>
  <si>
    <t>Ne 1 Janar 2012</t>
  </si>
  <si>
    <t>Gjendja me 1 Janar 2012 pas ndryshimeve</t>
  </si>
  <si>
    <t>Me 31 Dhjetor 2012</t>
  </si>
  <si>
    <t>as per FS</t>
  </si>
  <si>
    <t>PER VITIN E MBYLLUR ME 31 DHJETOR 2012</t>
  </si>
  <si>
    <t>Diferenca konvertimi nga parapagimet ne monedhe te huaj</t>
  </si>
  <si>
    <t>468x</t>
  </si>
  <si>
    <t xml:space="preserve">Hua afatshkurter ( RZB </t>
  </si>
  <si>
    <t>Hua afatshkurter Societe</t>
  </si>
  <si>
    <t>Kupona Conad dhe Vera Kid`s Land (Fatura te pamberritura)</t>
  </si>
  <si>
    <t>Amex bill maj</t>
  </si>
  <si>
    <t>LOSS</t>
  </si>
  <si>
    <t>Me 31 Dhjetor 2012 Kosova</t>
  </si>
  <si>
    <t>Me 31 Dhjetor 2011 Vlera kontabel neto TCH</t>
  </si>
  <si>
    <t xml:space="preserve">Kuota pjese per tu shperndare/ Te ardhura nga grante </t>
  </si>
  <si>
    <t>Parapagime per mallra</t>
  </si>
  <si>
    <t>Tatim fitimi Kosove</t>
  </si>
  <si>
    <t>Sa mbyllur paradhenia Galina</t>
  </si>
  <si>
    <t>+/-</t>
  </si>
  <si>
    <t>kurum</t>
  </si>
  <si>
    <t>bc</t>
  </si>
  <si>
    <t>aci</t>
  </si>
  <si>
    <t>diwi</t>
  </si>
  <si>
    <t>alb uji</t>
  </si>
</sst>
</file>

<file path=xl/styles.xml><?xml version="1.0" encoding="utf-8"?>
<styleSheet xmlns="http://schemas.openxmlformats.org/spreadsheetml/2006/main">
  <numFmts count="22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#,##0.0000000000000000000000000000000000000000000"/>
    <numFmt numFmtId="166" formatCode="#,##0.000"/>
    <numFmt numFmtId="167" formatCode="[$-409]mmm\-yy;@"/>
    <numFmt numFmtId="168" formatCode="_(* #,##0_);_(* \(#,##0\);_(* &quot;-&quot;??_);_(@_)"/>
    <numFmt numFmtId="169" formatCode="[$-409]d\-mmm\-yy;@"/>
    <numFmt numFmtId="170" formatCode="_ * #,##0_)\ _L_e_k_ ;_ * \(#,##0\)\ _L_e_k_ ;_ * &quot;-&quot;_)\ _L_e_k_ ;_ @_ "/>
    <numFmt numFmtId="171" formatCode="[$-409]d\-mmm\-yyyy;@"/>
    <numFmt numFmtId="172" formatCode="#,##0;\(#,##0\);&quot;-&quot;"/>
    <numFmt numFmtId="173" formatCode="_(* #,##0.0_);_(* \(#,##0.0\);_(* &quot;-&quot;??_);_(@_)"/>
    <numFmt numFmtId="174" formatCode="0.0%"/>
    <numFmt numFmtId="175" formatCode="[$-409]mmm/yy;@"/>
    <numFmt numFmtId="176" formatCode="_-* #,##0.00_-;\-* #,##0.00_-;_-* &quot;-&quot;??_-;_-@_-"/>
    <numFmt numFmtId="177" formatCode="_([$€-2]* #,##0.00_);_([$€-2]* \(#,##0.00\);_([$€-2]* &quot;-&quot;??_)"/>
    <numFmt numFmtId="178" formatCode="#,##0.00_);\-#,##0.00"/>
    <numFmt numFmtId="179" formatCode="_(* #,##0.0000_);_(* \(#,##0.0000\);_(* &quot;-&quot;??_);_(@_)"/>
    <numFmt numFmtId="180" formatCode="dd&quot;/&quot;mm&quot;/&quot;yyyy"/>
    <numFmt numFmtId="181" formatCode="_(* #,##0.0000000000_);_(* \(#,##0.0000000000\);_(* &quot;-&quot;??_);_(@_)"/>
  </numFmts>
  <fonts count="190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1"/>
      <color indexed="62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u/>
      <sz val="10"/>
      <name val="Calibri"/>
      <family val="2"/>
    </font>
    <font>
      <sz val="8"/>
      <name val="Arial"/>
      <family val="2"/>
    </font>
    <font>
      <sz val="9"/>
      <name val="Tahoma"/>
      <family val="2"/>
    </font>
    <font>
      <sz val="9"/>
      <name val="Tahoma"/>
      <family val="2"/>
    </font>
    <font>
      <sz val="12"/>
      <name val="Tms Rmn"/>
      <charset val="161"/>
    </font>
    <font>
      <sz val="10"/>
      <name val="Palatino Linotype"/>
      <family val="1"/>
    </font>
    <font>
      <sz val="11"/>
      <name val="Arial"/>
      <family val="2"/>
      <charset val="178"/>
    </font>
    <font>
      <sz val="12"/>
      <name val="Arial CE"/>
      <charset val="23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0"/>
      <color indexed="8"/>
      <name val="MS Sans Serif"/>
      <family val="2"/>
    </font>
    <font>
      <b/>
      <u val="singleAccounting"/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u/>
      <sz val="7.5"/>
      <color indexed="12"/>
      <name val="Arial"/>
      <family val="2"/>
    </font>
    <font>
      <sz val="9"/>
      <color indexed="8"/>
      <name val="Times New Roman"/>
      <family val="1"/>
    </font>
    <font>
      <sz val="10"/>
      <color indexed="8"/>
      <name val="MS Sans Serif"/>
      <family val="2"/>
    </font>
    <font>
      <sz val="11"/>
      <color indexed="8"/>
      <name val="Garamond"/>
      <family val="1"/>
      <charset val="162"/>
    </font>
    <font>
      <i/>
      <sz val="11"/>
      <color indexed="8"/>
      <name val="Garamond"/>
      <family val="1"/>
      <charset val="162"/>
    </font>
    <font>
      <b/>
      <u/>
      <sz val="11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u/>
      <sz val="10"/>
      <color indexed="39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0"/>
      <color indexed="8"/>
      <name val="Calibri"/>
      <family val="2"/>
    </font>
    <font>
      <sz val="11"/>
      <color indexed="13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1"/>
      <color indexed="10"/>
      <name val="Calibri"/>
      <family val="2"/>
    </font>
    <font>
      <i/>
      <sz val="11"/>
      <color indexed="8"/>
      <name val="Calibri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b/>
      <i/>
      <u/>
      <sz val="10"/>
      <name val="Calibri"/>
      <family val="2"/>
    </font>
    <font>
      <b/>
      <u/>
      <sz val="10"/>
      <color indexed="8"/>
      <name val="Calibri"/>
      <family val="2"/>
    </font>
    <font>
      <sz val="8"/>
      <name val="Arial"/>
      <family val="2"/>
    </font>
    <font>
      <b/>
      <u/>
      <sz val="11"/>
      <color indexed="8"/>
      <name val="Calibri"/>
      <family val="2"/>
    </font>
    <font>
      <b/>
      <sz val="14"/>
      <name val="Calibri"/>
      <family val="2"/>
    </font>
    <font>
      <sz val="9"/>
      <name val="Tahoma"/>
      <family val="2"/>
    </font>
    <font>
      <b/>
      <u/>
      <sz val="12"/>
      <name val="Calibri"/>
      <family val="2"/>
    </font>
    <font>
      <u/>
      <sz val="11"/>
      <color indexed="3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0"/>
      <color indexed="8"/>
      <name val="Calibri"/>
      <family val="2"/>
    </font>
    <font>
      <b/>
      <i/>
      <u val="singleAccounting"/>
      <sz val="10"/>
      <name val="Calibri"/>
      <family val="2"/>
    </font>
    <font>
      <sz val="10"/>
      <name val="Arial"/>
      <family val="2"/>
    </font>
    <font>
      <u/>
      <sz val="10"/>
      <color indexed="39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b/>
      <u val="singleAccounting"/>
      <sz val="11"/>
      <color indexed="8"/>
      <name val="Calibri"/>
      <family val="2"/>
    </font>
    <font>
      <sz val="9"/>
      <name val="Calibri"/>
      <family val="2"/>
    </font>
    <font>
      <b/>
      <sz val="12"/>
      <color indexed="9"/>
      <name val="Calibri"/>
      <family val="2"/>
    </font>
    <font>
      <b/>
      <sz val="10"/>
      <name val="Arial"/>
      <family val="2"/>
    </font>
    <font>
      <b/>
      <i/>
      <sz val="11"/>
      <name val="Calibri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2"/>
      <color indexed="8"/>
      <name val="Garamond"/>
      <family val="2"/>
    </font>
    <font>
      <b/>
      <sz val="12"/>
      <color indexed="8"/>
      <name val="Arial"/>
      <family val="2"/>
    </font>
    <font>
      <b/>
      <sz val="9.9499999999999993"/>
      <color indexed="8"/>
      <name val="Tahoma"/>
      <family val="2"/>
    </font>
    <font>
      <sz val="8.0500000000000007"/>
      <color indexed="8"/>
      <name val="Arial"/>
      <family val="2"/>
    </font>
    <font>
      <b/>
      <sz val="8.9"/>
      <color indexed="8"/>
      <name val="Arial"/>
      <family val="2"/>
    </font>
    <font>
      <b/>
      <sz val="9"/>
      <color indexed="8"/>
      <name val="Arial"/>
      <family val="2"/>
    </font>
    <font>
      <i/>
      <sz val="11"/>
      <name val="Calibri"/>
      <family val="2"/>
    </font>
    <font>
      <sz val="9.85"/>
      <color indexed="9"/>
      <name val="Times New Roman"/>
      <family val="1"/>
    </font>
    <font>
      <b/>
      <sz val="8.0500000000000007"/>
      <color indexed="8"/>
      <name val="Arial"/>
      <family val="2"/>
    </font>
    <font>
      <b/>
      <i/>
      <sz val="8.9"/>
      <color indexed="8"/>
      <name val="Arial"/>
      <family val="2"/>
    </font>
    <font>
      <b/>
      <i/>
      <sz val="8.0500000000000007"/>
      <color indexed="8"/>
      <name val="Arial"/>
      <family val="2"/>
    </font>
    <font>
      <i/>
      <sz val="10"/>
      <color indexed="8"/>
      <name val="MS Sans Serif"/>
      <family val="2"/>
    </font>
    <font>
      <i/>
      <sz val="8.0500000000000007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Garamond"/>
      <family val="2"/>
    </font>
    <font>
      <sz val="11"/>
      <color theme="0"/>
      <name val="Calibri"/>
      <family val="2"/>
      <scheme val="minor"/>
    </font>
    <font>
      <sz val="12"/>
      <color theme="0"/>
      <name val="Garamond"/>
      <family val="2"/>
    </font>
    <font>
      <sz val="12"/>
      <color rgb="FF9C0006"/>
      <name val="Garamond"/>
      <family val="2"/>
    </font>
    <font>
      <b/>
      <sz val="12"/>
      <color rgb="FFFA7D00"/>
      <name val="Garamond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i/>
      <sz val="12"/>
      <color rgb="FF7F7F7F"/>
      <name val="Garamond"/>
      <family val="2"/>
    </font>
    <font>
      <sz val="12"/>
      <color rgb="FF006100"/>
      <name val="Garamond"/>
      <family val="2"/>
    </font>
    <font>
      <b/>
      <sz val="15"/>
      <color theme="3"/>
      <name val="Garamond"/>
      <family val="2"/>
    </font>
    <font>
      <b/>
      <sz val="13"/>
      <color theme="3"/>
      <name val="Garamond"/>
      <family val="2"/>
    </font>
    <font>
      <b/>
      <sz val="11"/>
      <color theme="3"/>
      <name val="Garamond"/>
      <family val="2"/>
    </font>
    <font>
      <u/>
      <sz val="10"/>
      <color theme="10"/>
      <name val="Arial"/>
      <family val="2"/>
    </font>
    <font>
      <u/>
      <sz val="9"/>
      <color theme="10"/>
      <name val="Tahoma"/>
      <family val="2"/>
    </font>
    <font>
      <sz val="11"/>
      <color rgb="FF3F3F76"/>
      <name val="Calibri"/>
      <family val="2"/>
      <scheme val="minor"/>
    </font>
    <font>
      <sz val="12"/>
      <color rgb="FFFA7D00"/>
      <name val="Garamond"/>
      <family val="2"/>
    </font>
    <font>
      <sz val="12"/>
      <color rgb="FF9C6500"/>
      <name val="Garamond"/>
      <family val="2"/>
    </font>
    <font>
      <b/>
      <sz val="12"/>
      <color rgb="FF3F3F3F"/>
      <name val="Garamond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Garamond"/>
      <family val="2"/>
    </font>
    <font>
      <sz val="12"/>
      <color rgb="FFFF0000"/>
      <name val="Garamond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i/>
      <sz val="11"/>
      <color indexed="8"/>
      <name val="Calibri"/>
      <family val="2"/>
      <scheme val="minor"/>
    </font>
    <font>
      <u/>
      <sz val="11"/>
      <color indexed="39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7030A0"/>
      <name val="Calibri"/>
      <family val="2"/>
    </font>
    <font>
      <sz val="10"/>
      <color theme="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i/>
      <sz val="10"/>
      <color rgb="FF0070C0"/>
      <name val="Calibri"/>
      <family val="2"/>
    </font>
    <font>
      <b/>
      <i/>
      <sz val="10"/>
      <color rgb="FFFF0000"/>
      <name val="Calibri"/>
      <family val="2"/>
    </font>
    <font>
      <sz val="10"/>
      <color theme="0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FFFF00"/>
      <name val="Calibri"/>
      <family val="2"/>
    </font>
    <font>
      <b/>
      <i/>
      <sz val="11"/>
      <color rgb="FF0070C0"/>
      <name val="Calibri"/>
      <family val="2"/>
    </font>
    <font>
      <b/>
      <sz val="11"/>
      <color rgb="FFFFFF00"/>
      <name val="Calibri"/>
      <family val="2"/>
    </font>
    <font>
      <b/>
      <sz val="10"/>
      <color theme="0"/>
      <name val="Calibri"/>
      <family val="2"/>
    </font>
    <font>
      <sz val="10"/>
      <color rgb="FF0070C0"/>
      <name val="Calibri"/>
      <family val="2"/>
    </font>
    <font>
      <sz val="10"/>
      <color theme="0" tint="-0.34998626667073579"/>
      <name val="Calibri"/>
      <family val="2"/>
      <scheme val="minor"/>
    </font>
    <font>
      <sz val="10"/>
      <color theme="0" tint="-0.249977111117893"/>
      <name val="Calibri"/>
      <family val="2"/>
    </font>
    <font>
      <sz val="10"/>
      <color theme="0" tint="-0.34998626667073579"/>
      <name val="Calibri"/>
      <family val="2"/>
    </font>
    <font>
      <b/>
      <sz val="10"/>
      <color theme="0" tint="-0.34998626667073579"/>
      <name val="Calibri"/>
      <family val="2"/>
    </font>
    <font>
      <i/>
      <sz val="10"/>
      <color rgb="FF00000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8"/>
      <color rgb="FF000000"/>
      <name val="Arial"/>
      <family val="2"/>
    </font>
    <font>
      <sz val="11"/>
      <color rgb="FFFF0000"/>
      <name val="Calibri"/>
      <family val="2"/>
    </font>
    <font>
      <sz val="10"/>
      <color rgb="FF00B050"/>
      <name val="Calibri"/>
      <family val="2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9.9499999999999993"/>
      <color indexed="8"/>
      <name val="Calibri"/>
      <family val="2"/>
      <scheme val="minor"/>
    </font>
    <font>
      <sz val="8.0500000000000007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.9"/>
      <color indexed="8"/>
      <name val="Calibri"/>
      <family val="2"/>
      <scheme val="minor"/>
    </font>
    <font>
      <b/>
      <sz val="8.0500000000000007"/>
      <color indexed="8"/>
      <name val="Calibri"/>
      <family val="2"/>
      <scheme val="minor"/>
    </font>
    <font>
      <b/>
      <sz val="9.9499999999999993"/>
      <color indexed="8"/>
      <name val="Calibri"/>
      <family val="2"/>
      <scheme val="minor"/>
    </font>
    <font>
      <i/>
      <sz val="8.0500000000000007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rgb="FFFF0000"/>
      <name val="Arial"/>
      <family val="2"/>
    </font>
    <font>
      <sz val="9"/>
      <color indexed="8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</fonts>
  <fills count="7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theme="9" tint="-0.24994659260841701"/>
      </bottom>
      <diagonal/>
    </border>
  </borders>
  <cellStyleXfs count="486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10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109" fillId="35" borderId="0" applyNumberFormat="0" applyBorder="0" applyAlignment="0" applyProtection="0"/>
    <xf numFmtId="0" fontId="109" fillId="35" borderId="0" applyNumberFormat="0" applyBorder="0" applyAlignment="0" applyProtection="0"/>
    <xf numFmtId="0" fontId="109" fillId="35" borderId="0" applyNumberFormat="0" applyBorder="0" applyAlignment="0" applyProtection="0"/>
    <xf numFmtId="0" fontId="109" fillId="35" borderId="0" applyNumberFormat="0" applyBorder="0" applyAlignment="0" applyProtection="0"/>
    <xf numFmtId="0" fontId="109" fillId="35" borderId="0" applyNumberFormat="0" applyBorder="0" applyAlignment="0" applyProtection="0"/>
    <xf numFmtId="0" fontId="110" fillId="35" borderId="0" applyNumberFormat="0" applyBorder="0" applyAlignment="0" applyProtection="0"/>
    <xf numFmtId="0" fontId="109" fillId="35" borderId="0" applyNumberFormat="0" applyBorder="0" applyAlignment="0" applyProtection="0"/>
    <xf numFmtId="0" fontId="109" fillId="35" borderId="0" applyNumberFormat="0" applyBorder="0" applyAlignment="0" applyProtection="0"/>
    <xf numFmtId="0" fontId="109" fillId="35" borderId="0" applyNumberFormat="0" applyBorder="0" applyAlignment="0" applyProtection="0"/>
    <xf numFmtId="0" fontId="109" fillId="35" borderId="0" applyNumberFormat="0" applyBorder="0" applyAlignment="0" applyProtection="0"/>
    <xf numFmtId="0" fontId="109" fillId="35" borderId="0" applyNumberFormat="0" applyBorder="0" applyAlignment="0" applyProtection="0"/>
    <xf numFmtId="0" fontId="109" fillId="35" borderId="0" applyNumberFormat="0" applyBorder="0" applyAlignment="0" applyProtection="0"/>
    <xf numFmtId="0" fontId="109" fillId="35" borderId="0" applyNumberFormat="0" applyBorder="0" applyAlignment="0" applyProtection="0"/>
    <xf numFmtId="0" fontId="109" fillId="36" borderId="0" applyNumberFormat="0" applyBorder="0" applyAlignment="0" applyProtection="0"/>
    <xf numFmtId="0" fontId="109" fillId="36" borderId="0" applyNumberFormat="0" applyBorder="0" applyAlignment="0" applyProtection="0"/>
    <xf numFmtId="0" fontId="109" fillId="36" borderId="0" applyNumberFormat="0" applyBorder="0" applyAlignment="0" applyProtection="0"/>
    <xf numFmtId="0" fontId="109" fillId="36" borderId="0" applyNumberFormat="0" applyBorder="0" applyAlignment="0" applyProtection="0"/>
    <xf numFmtId="0" fontId="109" fillId="36" borderId="0" applyNumberFormat="0" applyBorder="0" applyAlignment="0" applyProtection="0"/>
    <xf numFmtId="0" fontId="109" fillId="36" borderId="0" applyNumberFormat="0" applyBorder="0" applyAlignment="0" applyProtection="0"/>
    <xf numFmtId="0" fontId="110" fillId="36" borderId="0" applyNumberFormat="0" applyBorder="0" applyAlignment="0" applyProtection="0"/>
    <xf numFmtId="0" fontId="109" fillId="36" borderId="0" applyNumberFormat="0" applyBorder="0" applyAlignment="0" applyProtection="0"/>
    <xf numFmtId="0" fontId="109" fillId="36" borderId="0" applyNumberFormat="0" applyBorder="0" applyAlignment="0" applyProtection="0"/>
    <xf numFmtId="0" fontId="109" fillId="36" borderId="0" applyNumberFormat="0" applyBorder="0" applyAlignment="0" applyProtection="0"/>
    <xf numFmtId="0" fontId="109" fillId="36" borderId="0" applyNumberFormat="0" applyBorder="0" applyAlignment="0" applyProtection="0"/>
    <xf numFmtId="0" fontId="109" fillId="36" borderId="0" applyNumberFormat="0" applyBorder="0" applyAlignment="0" applyProtection="0"/>
    <xf numFmtId="0" fontId="109" fillId="36" borderId="0" applyNumberFormat="0" applyBorder="0" applyAlignment="0" applyProtection="0"/>
    <xf numFmtId="0" fontId="109" fillId="36" borderId="0" applyNumberFormat="0" applyBorder="0" applyAlignment="0" applyProtection="0"/>
    <xf numFmtId="0" fontId="109" fillId="37" borderId="0" applyNumberFormat="0" applyBorder="0" applyAlignment="0" applyProtection="0"/>
    <xf numFmtId="0" fontId="109" fillId="37" borderId="0" applyNumberFormat="0" applyBorder="0" applyAlignment="0" applyProtection="0"/>
    <xf numFmtId="0" fontId="109" fillId="37" borderId="0" applyNumberFormat="0" applyBorder="0" applyAlignment="0" applyProtection="0"/>
    <xf numFmtId="0" fontId="109" fillId="37" borderId="0" applyNumberFormat="0" applyBorder="0" applyAlignment="0" applyProtection="0"/>
    <xf numFmtId="0" fontId="109" fillId="37" borderId="0" applyNumberFormat="0" applyBorder="0" applyAlignment="0" applyProtection="0"/>
    <xf numFmtId="0" fontId="109" fillId="37" borderId="0" applyNumberFormat="0" applyBorder="0" applyAlignment="0" applyProtection="0"/>
    <xf numFmtId="0" fontId="110" fillId="37" borderId="0" applyNumberFormat="0" applyBorder="0" applyAlignment="0" applyProtection="0"/>
    <xf numFmtId="0" fontId="109" fillId="37" borderId="0" applyNumberFormat="0" applyBorder="0" applyAlignment="0" applyProtection="0"/>
    <xf numFmtId="0" fontId="109" fillId="37" borderId="0" applyNumberFormat="0" applyBorder="0" applyAlignment="0" applyProtection="0"/>
    <xf numFmtId="0" fontId="109" fillId="37" borderId="0" applyNumberFormat="0" applyBorder="0" applyAlignment="0" applyProtection="0"/>
    <xf numFmtId="0" fontId="109" fillId="37" borderId="0" applyNumberFormat="0" applyBorder="0" applyAlignment="0" applyProtection="0"/>
    <xf numFmtId="0" fontId="109" fillId="37" borderId="0" applyNumberFormat="0" applyBorder="0" applyAlignment="0" applyProtection="0"/>
    <xf numFmtId="0" fontId="109" fillId="37" borderId="0" applyNumberFormat="0" applyBorder="0" applyAlignment="0" applyProtection="0"/>
    <xf numFmtId="0" fontId="10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8" borderId="0" applyNumberFormat="0" applyBorder="0" applyAlignment="0" applyProtection="0"/>
    <xf numFmtId="0" fontId="109" fillId="38" borderId="0" applyNumberFormat="0" applyBorder="0" applyAlignment="0" applyProtection="0"/>
    <xf numFmtId="0" fontId="109" fillId="38" borderId="0" applyNumberFormat="0" applyBorder="0" applyAlignment="0" applyProtection="0"/>
    <xf numFmtId="0" fontId="109" fillId="38" borderId="0" applyNumberFormat="0" applyBorder="0" applyAlignment="0" applyProtection="0"/>
    <xf numFmtId="0" fontId="109" fillId="38" borderId="0" applyNumberFormat="0" applyBorder="0" applyAlignment="0" applyProtection="0"/>
    <xf numFmtId="0" fontId="110" fillId="38" borderId="0" applyNumberFormat="0" applyBorder="0" applyAlignment="0" applyProtection="0"/>
    <xf numFmtId="0" fontId="109" fillId="38" borderId="0" applyNumberFormat="0" applyBorder="0" applyAlignment="0" applyProtection="0"/>
    <xf numFmtId="0" fontId="109" fillId="38" borderId="0" applyNumberFormat="0" applyBorder="0" applyAlignment="0" applyProtection="0"/>
    <xf numFmtId="0" fontId="109" fillId="38" borderId="0" applyNumberFormat="0" applyBorder="0" applyAlignment="0" applyProtection="0"/>
    <xf numFmtId="0" fontId="109" fillId="38" borderId="0" applyNumberFormat="0" applyBorder="0" applyAlignment="0" applyProtection="0"/>
    <xf numFmtId="0" fontId="109" fillId="38" borderId="0" applyNumberFormat="0" applyBorder="0" applyAlignment="0" applyProtection="0"/>
    <xf numFmtId="0" fontId="109" fillId="38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109" fillId="39" borderId="0" applyNumberFormat="0" applyBorder="0" applyAlignment="0" applyProtection="0"/>
    <xf numFmtId="0" fontId="109" fillId="39" borderId="0" applyNumberFormat="0" applyBorder="0" applyAlignment="0" applyProtection="0"/>
    <xf numFmtId="0" fontId="109" fillId="39" borderId="0" applyNumberFormat="0" applyBorder="0" applyAlignment="0" applyProtection="0"/>
    <xf numFmtId="0" fontId="109" fillId="39" borderId="0" applyNumberFormat="0" applyBorder="0" applyAlignment="0" applyProtection="0"/>
    <xf numFmtId="0" fontId="109" fillId="39" borderId="0" applyNumberFormat="0" applyBorder="0" applyAlignment="0" applyProtection="0"/>
    <xf numFmtId="0" fontId="110" fillId="39" borderId="0" applyNumberFormat="0" applyBorder="0" applyAlignment="0" applyProtection="0"/>
    <xf numFmtId="0" fontId="109" fillId="39" borderId="0" applyNumberFormat="0" applyBorder="0" applyAlignment="0" applyProtection="0"/>
    <xf numFmtId="0" fontId="109" fillId="39" borderId="0" applyNumberFormat="0" applyBorder="0" applyAlignment="0" applyProtection="0"/>
    <xf numFmtId="0" fontId="109" fillId="39" borderId="0" applyNumberFormat="0" applyBorder="0" applyAlignment="0" applyProtection="0"/>
    <xf numFmtId="0" fontId="109" fillId="39" borderId="0" applyNumberFormat="0" applyBorder="0" applyAlignment="0" applyProtection="0"/>
    <xf numFmtId="0" fontId="109" fillId="39" borderId="0" applyNumberFormat="0" applyBorder="0" applyAlignment="0" applyProtection="0"/>
    <xf numFmtId="0" fontId="109" fillId="39" borderId="0" applyNumberFormat="0" applyBorder="0" applyAlignment="0" applyProtection="0"/>
    <xf numFmtId="0" fontId="109" fillId="39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5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109" fillId="40" borderId="0" applyNumberFormat="0" applyBorder="0" applyAlignment="0" applyProtection="0"/>
    <xf numFmtId="0" fontId="109" fillId="40" borderId="0" applyNumberFormat="0" applyBorder="0" applyAlignment="0" applyProtection="0"/>
    <xf numFmtId="0" fontId="109" fillId="40" borderId="0" applyNumberFormat="0" applyBorder="0" applyAlignment="0" applyProtection="0"/>
    <xf numFmtId="0" fontId="109" fillId="40" borderId="0" applyNumberFormat="0" applyBorder="0" applyAlignment="0" applyProtection="0"/>
    <xf numFmtId="0" fontId="109" fillId="40" borderId="0" applyNumberFormat="0" applyBorder="0" applyAlignment="0" applyProtection="0"/>
    <xf numFmtId="0" fontId="109" fillId="40" borderId="0" applyNumberFormat="0" applyBorder="0" applyAlignment="0" applyProtection="0"/>
    <xf numFmtId="0" fontId="110" fillId="40" borderId="0" applyNumberFormat="0" applyBorder="0" applyAlignment="0" applyProtection="0"/>
    <xf numFmtId="0" fontId="109" fillId="40" borderId="0" applyNumberFormat="0" applyBorder="0" applyAlignment="0" applyProtection="0"/>
    <xf numFmtId="0" fontId="109" fillId="40" borderId="0" applyNumberFormat="0" applyBorder="0" applyAlignment="0" applyProtection="0"/>
    <xf numFmtId="0" fontId="109" fillId="40" borderId="0" applyNumberFormat="0" applyBorder="0" applyAlignment="0" applyProtection="0"/>
    <xf numFmtId="0" fontId="109" fillId="40" borderId="0" applyNumberFormat="0" applyBorder="0" applyAlignment="0" applyProtection="0"/>
    <xf numFmtId="0" fontId="109" fillId="40" borderId="0" applyNumberFormat="0" applyBorder="0" applyAlignment="0" applyProtection="0"/>
    <xf numFmtId="0" fontId="109" fillId="40" borderId="0" applyNumberFormat="0" applyBorder="0" applyAlignment="0" applyProtection="0"/>
    <xf numFmtId="0" fontId="109" fillId="40" borderId="0" applyNumberFormat="0" applyBorder="0" applyAlignment="0" applyProtection="0"/>
    <xf numFmtId="0" fontId="109" fillId="41" borderId="0" applyNumberFormat="0" applyBorder="0" applyAlignment="0" applyProtection="0"/>
    <xf numFmtId="0" fontId="109" fillId="41" borderId="0" applyNumberFormat="0" applyBorder="0" applyAlignment="0" applyProtection="0"/>
    <xf numFmtId="0" fontId="109" fillId="41" borderId="0" applyNumberFormat="0" applyBorder="0" applyAlignment="0" applyProtection="0"/>
    <xf numFmtId="0" fontId="109" fillId="41" borderId="0" applyNumberFormat="0" applyBorder="0" applyAlignment="0" applyProtection="0"/>
    <xf numFmtId="0" fontId="109" fillId="41" borderId="0" applyNumberFormat="0" applyBorder="0" applyAlignment="0" applyProtection="0"/>
    <xf numFmtId="0" fontId="109" fillId="41" borderId="0" applyNumberFormat="0" applyBorder="0" applyAlignment="0" applyProtection="0"/>
    <xf numFmtId="0" fontId="110" fillId="41" borderId="0" applyNumberFormat="0" applyBorder="0" applyAlignment="0" applyProtection="0"/>
    <xf numFmtId="0" fontId="109" fillId="41" borderId="0" applyNumberFormat="0" applyBorder="0" applyAlignment="0" applyProtection="0"/>
    <xf numFmtId="0" fontId="109" fillId="41" borderId="0" applyNumberFormat="0" applyBorder="0" applyAlignment="0" applyProtection="0"/>
    <xf numFmtId="0" fontId="109" fillId="41" borderId="0" applyNumberFormat="0" applyBorder="0" applyAlignment="0" applyProtection="0"/>
    <xf numFmtId="0" fontId="109" fillId="41" borderId="0" applyNumberFormat="0" applyBorder="0" applyAlignment="0" applyProtection="0"/>
    <xf numFmtId="0" fontId="109" fillId="41" borderId="0" applyNumberFormat="0" applyBorder="0" applyAlignment="0" applyProtection="0"/>
    <xf numFmtId="0" fontId="109" fillId="41" borderId="0" applyNumberFormat="0" applyBorder="0" applyAlignment="0" applyProtection="0"/>
    <xf numFmtId="0" fontId="10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2" borderId="0" applyNumberFormat="0" applyBorder="0" applyAlignment="0" applyProtection="0"/>
    <xf numFmtId="0" fontId="109" fillId="42" borderId="0" applyNumberFormat="0" applyBorder="0" applyAlignment="0" applyProtection="0"/>
    <xf numFmtId="0" fontId="109" fillId="42" borderId="0" applyNumberFormat="0" applyBorder="0" applyAlignment="0" applyProtection="0"/>
    <xf numFmtId="0" fontId="109" fillId="42" borderId="0" applyNumberFormat="0" applyBorder="0" applyAlignment="0" applyProtection="0"/>
    <xf numFmtId="0" fontId="109" fillId="42" borderId="0" applyNumberFormat="0" applyBorder="0" applyAlignment="0" applyProtection="0"/>
    <xf numFmtId="0" fontId="110" fillId="42" borderId="0" applyNumberFormat="0" applyBorder="0" applyAlignment="0" applyProtection="0"/>
    <xf numFmtId="0" fontId="109" fillId="42" borderId="0" applyNumberFormat="0" applyBorder="0" applyAlignment="0" applyProtection="0"/>
    <xf numFmtId="0" fontId="109" fillId="42" borderId="0" applyNumberFormat="0" applyBorder="0" applyAlignment="0" applyProtection="0"/>
    <xf numFmtId="0" fontId="109" fillId="42" borderId="0" applyNumberFormat="0" applyBorder="0" applyAlignment="0" applyProtection="0"/>
    <xf numFmtId="0" fontId="109" fillId="42" borderId="0" applyNumberFormat="0" applyBorder="0" applyAlignment="0" applyProtection="0"/>
    <xf numFmtId="0" fontId="109" fillId="42" borderId="0" applyNumberFormat="0" applyBorder="0" applyAlignment="0" applyProtection="0"/>
    <xf numFmtId="0" fontId="109" fillId="42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109" fillId="43" borderId="0" applyNumberFormat="0" applyBorder="0" applyAlignment="0" applyProtection="0"/>
    <xf numFmtId="0" fontId="109" fillId="43" borderId="0" applyNumberFormat="0" applyBorder="0" applyAlignment="0" applyProtection="0"/>
    <xf numFmtId="0" fontId="109" fillId="43" borderId="0" applyNumberFormat="0" applyBorder="0" applyAlignment="0" applyProtection="0"/>
    <xf numFmtId="0" fontId="109" fillId="43" borderId="0" applyNumberFormat="0" applyBorder="0" applyAlignment="0" applyProtection="0"/>
    <xf numFmtId="0" fontId="109" fillId="43" borderId="0" applyNumberFormat="0" applyBorder="0" applyAlignment="0" applyProtection="0"/>
    <xf numFmtId="0" fontId="109" fillId="43" borderId="0" applyNumberFormat="0" applyBorder="0" applyAlignment="0" applyProtection="0"/>
    <xf numFmtId="0" fontId="110" fillId="43" borderId="0" applyNumberFormat="0" applyBorder="0" applyAlignment="0" applyProtection="0"/>
    <xf numFmtId="0" fontId="109" fillId="43" borderId="0" applyNumberFormat="0" applyBorder="0" applyAlignment="0" applyProtection="0"/>
    <xf numFmtId="0" fontId="109" fillId="43" borderId="0" applyNumberFormat="0" applyBorder="0" applyAlignment="0" applyProtection="0"/>
    <xf numFmtId="0" fontId="109" fillId="43" borderId="0" applyNumberFormat="0" applyBorder="0" applyAlignment="0" applyProtection="0"/>
    <xf numFmtId="0" fontId="109" fillId="43" borderId="0" applyNumberFormat="0" applyBorder="0" applyAlignment="0" applyProtection="0"/>
    <xf numFmtId="0" fontId="109" fillId="43" borderId="0" applyNumberFormat="0" applyBorder="0" applyAlignment="0" applyProtection="0"/>
    <xf numFmtId="0" fontId="109" fillId="43" borderId="0" applyNumberFormat="0" applyBorder="0" applyAlignment="0" applyProtection="0"/>
    <xf numFmtId="0" fontId="109" fillId="43" borderId="0" applyNumberFormat="0" applyBorder="0" applyAlignment="0" applyProtection="0"/>
    <xf numFmtId="0" fontId="109" fillId="44" borderId="0" applyNumberFormat="0" applyBorder="0" applyAlignment="0" applyProtection="0"/>
    <xf numFmtId="0" fontId="109" fillId="44" borderId="0" applyNumberFormat="0" applyBorder="0" applyAlignment="0" applyProtection="0"/>
    <xf numFmtId="0" fontId="109" fillId="44" borderId="0" applyNumberFormat="0" applyBorder="0" applyAlignment="0" applyProtection="0"/>
    <xf numFmtId="0" fontId="109" fillId="44" borderId="0" applyNumberFormat="0" applyBorder="0" applyAlignment="0" applyProtection="0"/>
    <xf numFmtId="0" fontId="109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44" borderId="0" applyNumberFormat="0" applyBorder="0" applyAlignment="0" applyProtection="0"/>
    <xf numFmtId="0" fontId="109" fillId="44" borderId="0" applyNumberFormat="0" applyBorder="0" applyAlignment="0" applyProtection="0"/>
    <xf numFmtId="0" fontId="109" fillId="44" borderId="0" applyNumberFormat="0" applyBorder="0" applyAlignment="0" applyProtection="0"/>
    <xf numFmtId="0" fontId="109" fillId="44" borderId="0" applyNumberFormat="0" applyBorder="0" applyAlignment="0" applyProtection="0"/>
    <xf numFmtId="0" fontId="109" fillId="44" borderId="0" applyNumberFormat="0" applyBorder="0" applyAlignment="0" applyProtection="0"/>
    <xf numFmtId="0" fontId="109" fillId="44" borderId="0" applyNumberFormat="0" applyBorder="0" applyAlignment="0" applyProtection="0"/>
    <xf numFmtId="0" fontId="109" fillId="44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45" borderId="0" applyNumberFormat="0" applyBorder="0" applyAlignment="0" applyProtection="0"/>
    <xf numFmtId="0" fontId="109" fillId="45" borderId="0" applyNumberFormat="0" applyBorder="0" applyAlignment="0" applyProtection="0"/>
    <xf numFmtId="0" fontId="109" fillId="45" borderId="0" applyNumberFormat="0" applyBorder="0" applyAlignment="0" applyProtection="0"/>
    <xf numFmtId="0" fontId="109" fillId="45" borderId="0" applyNumberFormat="0" applyBorder="0" applyAlignment="0" applyProtection="0"/>
    <xf numFmtId="0" fontId="109" fillId="45" borderId="0" applyNumberFormat="0" applyBorder="0" applyAlignment="0" applyProtection="0"/>
    <xf numFmtId="0" fontId="110" fillId="45" borderId="0" applyNumberFormat="0" applyBorder="0" applyAlignment="0" applyProtection="0"/>
    <xf numFmtId="0" fontId="109" fillId="45" borderId="0" applyNumberFormat="0" applyBorder="0" applyAlignment="0" applyProtection="0"/>
    <xf numFmtId="0" fontId="109" fillId="45" borderId="0" applyNumberFormat="0" applyBorder="0" applyAlignment="0" applyProtection="0"/>
    <xf numFmtId="0" fontId="109" fillId="45" borderId="0" applyNumberFormat="0" applyBorder="0" applyAlignment="0" applyProtection="0"/>
    <xf numFmtId="0" fontId="109" fillId="45" borderId="0" applyNumberFormat="0" applyBorder="0" applyAlignment="0" applyProtection="0"/>
    <xf numFmtId="0" fontId="109" fillId="45" borderId="0" applyNumberFormat="0" applyBorder="0" applyAlignment="0" applyProtection="0"/>
    <xf numFmtId="0" fontId="109" fillId="45" borderId="0" applyNumberFormat="0" applyBorder="0" applyAlignment="0" applyProtection="0"/>
    <xf numFmtId="0" fontId="109" fillId="45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112" fillId="46" borderId="0" applyNumberFormat="0" applyBorder="0" applyAlignment="0" applyProtection="0"/>
    <xf numFmtId="0" fontId="112" fillId="47" borderId="0" applyNumberFormat="0" applyBorder="0" applyAlignment="0" applyProtection="0"/>
    <xf numFmtId="0" fontId="112" fillId="48" borderId="0" applyNumberFormat="0" applyBorder="0" applyAlignment="0" applyProtection="0"/>
    <xf numFmtId="167" fontId="11" fillId="13" borderId="0" applyNumberFormat="0" applyBorder="0" applyAlignment="0" applyProtection="0"/>
    <xf numFmtId="0" fontId="112" fillId="49" borderId="0" applyNumberFormat="0" applyBorder="0" applyAlignment="0" applyProtection="0"/>
    <xf numFmtId="174" fontId="11" fillId="16" borderId="0" applyNumberFormat="0" applyBorder="0" applyAlignment="0" applyProtection="0"/>
    <xf numFmtId="175" fontId="11" fillId="16" borderId="0" applyNumberFormat="0" applyBorder="0" applyAlignment="0" applyProtection="0"/>
    <xf numFmtId="175" fontId="11" fillId="16" borderId="0" applyNumberFormat="0" applyBorder="0" applyAlignment="0" applyProtection="0"/>
    <xf numFmtId="175" fontId="11" fillId="16" borderId="0" applyNumberFormat="0" applyBorder="0" applyAlignment="0" applyProtection="0"/>
    <xf numFmtId="175" fontId="11" fillId="16" borderId="0" applyNumberFormat="0" applyBorder="0" applyAlignment="0" applyProtection="0"/>
    <xf numFmtId="0" fontId="112" fillId="50" borderId="0" applyNumberFormat="0" applyBorder="0" applyAlignment="0" applyProtection="0"/>
    <xf numFmtId="0" fontId="112" fillId="51" borderId="0" applyNumberFormat="0" applyBorder="0" applyAlignment="0" applyProtection="0"/>
    <xf numFmtId="0" fontId="11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1" fillId="52" borderId="0" applyNumberFormat="0" applyBorder="0" applyAlignment="0" applyProtection="0"/>
    <xf numFmtId="167" fontId="11" fillId="20" borderId="0" applyNumberFormat="0" applyBorder="0" applyAlignment="0" applyProtection="0"/>
    <xf numFmtId="0" fontId="111" fillId="53" borderId="0" applyNumberFormat="0" applyBorder="0" applyAlignment="0" applyProtection="0"/>
    <xf numFmtId="167" fontId="11" fillId="20" borderId="0" applyNumberFormat="0" applyBorder="0" applyAlignment="0" applyProtection="0"/>
    <xf numFmtId="0" fontId="112" fillId="53" borderId="0" applyNumberFormat="0" applyBorder="0" applyAlignment="0" applyProtection="0"/>
    <xf numFmtId="0" fontId="111" fillId="53" borderId="0" applyNumberFormat="0" applyBorder="0" applyAlignment="0" applyProtection="0"/>
    <xf numFmtId="0" fontId="112" fillId="54" borderId="0" applyNumberFormat="0" applyBorder="0" applyAlignment="0" applyProtection="0"/>
    <xf numFmtId="167" fontId="11" fillId="22" borderId="0" applyNumberFormat="0" applyBorder="0" applyAlignment="0" applyProtection="0"/>
    <xf numFmtId="0" fontId="112" fillId="55" borderId="0" applyNumberFormat="0" applyBorder="0" applyAlignment="0" applyProtection="0"/>
    <xf numFmtId="0" fontId="112" fillId="56" borderId="0" applyNumberFormat="0" applyBorder="0" applyAlignment="0" applyProtection="0"/>
    <xf numFmtId="0" fontId="112" fillId="57" borderId="0" applyNumberFormat="0" applyBorder="0" applyAlignment="0" applyProtection="0"/>
    <xf numFmtId="0" fontId="26" fillId="0" borderId="0" applyNumberFormat="0" applyFill="0" applyBorder="0" applyAlignment="0" applyProtection="0"/>
    <xf numFmtId="0" fontId="113" fillId="58" borderId="0" applyNumberFormat="0" applyBorder="0" applyAlignment="0" applyProtection="0"/>
    <xf numFmtId="0" fontId="8" fillId="13" borderId="1" applyNumberFormat="0" applyAlignment="0" applyProtection="0"/>
    <xf numFmtId="0" fontId="27" fillId="13" borderId="1" applyNumberFormat="0" applyAlignment="0" applyProtection="0"/>
    <xf numFmtId="167" fontId="8" fillId="24" borderId="1" applyNumberFormat="0" applyAlignment="0" applyProtection="0"/>
    <xf numFmtId="0" fontId="114" fillId="59" borderId="63" applyNumberFormat="0" applyAlignment="0" applyProtection="0"/>
    <xf numFmtId="0" fontId="74" fillId="0" borderId="2" applyNumberFormat="0" applyFill="0" applyAlignment="0" applyProtection="0"/>
    <xf numFmtId="0" fontId="9" fillId="25" borderId="3" applyNumberFormat="0" applyAlignment="0" applyProtection="0"/>
    <xf numFmtId="0" fontId="28" fillId="0" borderId="2" applyNumberFormat="0" applyFill="0" applyAlignment="0" applyProtection="0"/>
    <xf numFmtId="167" fontId="9" fillId="25" borderId="3" applyNumberFormat="0" applyAlignment="0" applyProtection="0"/>
    <xf numFmtId="0" fontId="9" fillId="25" borderId="3" applyNumberFormat="0" applyAlignment="0" applyProtection="0"/>
    <xf numFmtId="167" fontId="9" fillId="25" borderId="3" applyNumberFormat="0" applyAlignment="0" applyProtection="0"/>
    <xf numFmtId="0" fontId="115" fillId="60" borderId="64" applyNumberFormat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3" borderId="0" applyNumberFormat="0" applyBorder="0" applyAlignment="0" applyProtection="0"/>
    <xf numFmtId="43" fontId="5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12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 applyBorder="0" applyProtection="0">
      <alignment horizontal="left" vertical="top" wrapText="1"/>
      <protection locked="0"/>
    </xf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9" fillId="0" borderId="0" applyFont="0" applyFill="0" applyBorder="0" applyAlignment="0" applyProtection="0"/>
    <xf numFmtId="0" fontId="39" fillId="0" borderId="0" applyNumberFormat="0" applyFill="0" applyBorder="0" applyProtection="0">
      <alignment vertical="center"/>
    </xf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16" fillId="0" borderId="0" applyFont="0" applyFill="0" applyBorder="0" applyAlignment="0" applyProtection="0"/>
    <xf numFmtId="0" fontId="18" fillId="0" borderId="0" applyBorder="0" applyProtection="0">
      <alignment horizontal="left" vertical="top" wrapText="1"/>
      <protection locked="0"/>
    </xf>
    <xf numFmtId="43" fontId="44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8" fillId="0" borderId="0" applyBorder="0" applyProtection="0">
      <alignment horizontal="left" vertical="top" wrapText="1"/>
      <protection locked="0"/>
    </xf>
    <xf numFmtId="0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8" fillId="0" borderId="0" applyBorder="0" applyProtection="0">
      <alignment horizontal="left" vertical="top" wrapText="1"/>
      <protection locked="0"/>
    </xf>
    <xf numFmtId="0" fontId="12" fillId="9" borderId="4" applyNumberFormat="0" applyFont="0" applyAlignment="0" applyProtection="0"/>
    <xf numFmtId="44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4" fontId="116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7" fontId="20" fillId="0" borderId="0" applyNumberFormat="0" applyFill="0" applyBorder="0" applyAlignment="0" applyProtection="0"/>
    <xf numFmtId="0" fontId="29" fillId="7" borderId="1" applyNumberFormat="0" applyAlignment="0" applyProtection="0"/>
    <xf numFmtId="164" fontId="21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65" fillId="0" borderId="0"/>
    <xf numFmtId="0" fontId="118" fillId="61" borderId="0" applyNumberFormat="0" applyBorder="0" applyAlignment="0" applyProtection="0"/>
    <xf numFmtId="0" fontId="119" fillId="0" borderId="65" applyNumberFormat="0" applyFill="0" applyAlignment="0" applyProtection="0"/>
    <xf numFmtId="0" fontId="120" fillId="0" borderId="66" applyNumberFormat="0" applyFill="0" applyAlignment="0" applyProtection="0"/>
    <xf numFmtId="0" fontId="121" fillId="0" borderId="67" applyNumberFormat="0" applyFill="0" applyAlignment="0" applyProtection="0"/>
    <xf numFmtId="0" fontId="75" fillId="0" borderId="0" applyNumberFormat="0" applyFill="0" applyBorder="0" applyAlignment="0" applyProtection="0"/>
    <xf numFmtId="167" fontId="22" fillId="26" borderId="6" applyNumberFormat="0" applyFont="0" applyBorder="0" applyAlignment="0">
      <alignment vertical="center"/>
    </xf>
    <xf numFmtId="167" fontId="22" fillId="27" borderId="7" applyNumberFormat="0" applyFont="0" applyBorder="0" applyAlignment="0"/>
    <xf numFmtId="0" fontId="12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166" fontId="12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169" fontId="43" fillId="0" borderId="0" applyNumberFormat="0" applyFill="0" applyBorder="0" applyAlignment="0" applyProtection="0">
      <alignment vertical="top"/>
      <protection locked="0"/>
    </xf>
    <xf numFmtId="167" fontId="7" fillId="14" borderId="1" applyNumberFormat="0" applyAlignment="0" applyProtection="0"/>
    <xf numFmtId="0" fontId="124" fillId="62" borderId="63" applyNumberFormat="0" applyAlignment="0" applyProtection="0"/>
    <xf numFmtId="0" fontId="30" fillId="3" borderId="0" applyNumberFormat="0" applyBorder="0" applyAlignment="0" applyProtection="0"/>
    <xf numFmtId="0" fontId="125" fillId="0" borderId="68" applyNumberFormat="0" applyFill="0" applyAlignment="0" applyProtection="0"/>
    <xf numFmtId="43" fontId="1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26" fillId="63" borderId="0" applyNumberFormat="0" applyBorder="0" applyAlignment="0" applyProtection="0"/>
    <xf numFmtId="0" fontId="76" fillId="14" borderId="0" applyNumberFormat="0" applyBorder="0" applyAlignment="0" applyProtection="0"/>
    <xf numFmtId="0" fontId="31" fillId="14" borderId="0" applyNumberFormat="0" applyBorder="0" applyAlignment="0" applyProtection="0"/>
    <xf numFmtId="0" fontId="45" fillId="0" borderId="0"/>
    <xf numFmtId="0" fontId="12" fillId="0" borderId="0"/>
    <xf numFmtId="0" fontId="12" fillId="0" borderId="0"/>
    <xf numFmtId="0" fontId="45" fillId="0" borderId="0"/>
    <xf numFmtId="0" fontId="12" fillId="0" borderId="0"/>
    <xf numFmtId="0" fontId="45" fillId="0" borderId="0"/>
    <xf numFmtId="0" fontId="45" fillId="0" borderId="0"/>
    <xf numFmtId="0" fontId="12" fillId="0" borderId="0"/>
    <xf numFmtId="0" fontId="109" fillId="0" borderId="0"/>
    <xf numFmtId="0" fontId="109" fillId="0" borderId="0"/>
    <xf numFmtId="0" fontId="109" fillId="0" borderId="0"/>
    <xf numFmtId="0" fontId="95" fillId="0" borderId="0"/>
    <xf numFmtId="0" fontId="109" fillId="0" borderId="0"/>
    <xf numFmtId="0" fontId="109" fillId="0" borderId="0"/>
    <xf numFmtId="167" fontId="12" fillId="0" borderId="0"/>
    <xf numFmtId="0" fontId="39" fillId="0" borderId="0"/>
    <xf numFmtId="169" fontId="12" fillId="0" borderId="0"/>
    <xf numFmtId="0" fontId="12" fillId="0" borderId="0"/>
    <xf numFmtId="0" fontId="18" fillId="0" borderId="0" applyBorder="0" applyProtection="0">
      <alignment horizontal="left" vertical="top" wrapText="1"/>
      <protection locked="0"/>
    </xf>
    <xf numFmtId="0" fontId="24" fillId="0" borderId="0"/>
    <xf numFmtId="0" fontId="116" fillId="0" borderId="0"/>
    <xf numFmtId="0" fontId="4" fillId="0" borderId="0"/>
    <xf numFmtId="167" fontId="12" fillId="0" borderId="0"/>
    <xf numFmtId="0" fontId="39" fillId="0" borderId="0"/>
    <xf numFmtId="167" fontId="12" fillId="0" borderId="0"/>
    <xf numFmtId="167" fontId="12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167" fontId="4" fillId="0" borderId="0"/>
    <xf numFmtId="0" fontId="4" fillId="0" borderId="0"/>
    <xf numFmtId="0" fontId="109" fillId="0" borderId="0"/>
    <xf numFmtId="0" fontId="4" fillId="0" borderId="0"/>
    <xf numFmtId="0" fontId="109" fillId="0" borderId="0"/>
    <xf numFmtId="0" fontId="109" fillId="0" borderId="0"/>
    <xf numFmtId="0" fontId="4" fillId="0" borderId="0"/>
    <xf numFmtId="0" fontId="39" fillId="0" borderId="0"/>
    <xf numFmtId="167" fontId="4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175" fontId="18" fillId="0" borderId="0" applyBorder="0" applyProtection="0">
      <alignment horizontal="left" vertical="top" wrapText="1"/>
      <protection locked="0"/>
    </xf>
    <xf numFmtId="164" fontId="18" fillId="0" borderId="0" applyBorder="0" applyProtection="0">
      <alignment horizontal="left" vertical="top" wrapText="1"/>
      <protection locked="0"/>
    </xf>
    <xf numFmtId="175" fontId="18" fillId="0" borderId="0" applyBorder="0" applyProtection="0">
      <alignment horizontal="left" vertical="top" wrapText="1"/>
      <protection locked="0"/>
    </xf>
    <xf numFmtId="167" fontId="4" fillId="0" borderId="0"/>
    <xf numFmtId="0" fontId="4" fillId="0" borderId="0"/>
    <xf numFmtId="167" fontId="18" fillId="0" borderId="0" applyBorder="0" applyProtection="0">
      <alignment horizontal="left" vertical="top" wrapText="1"/>
      <protection locked="0"/>
    </xf>
    <xf numFmtId="167" fontId="4" fillId="0" borderId="0"/>
    <xf numFmtId="175" fontId="18" fillId="0" borderId="0" applyBorder="0" applyProtection="0">
      <alignment horizontal="left" vertical="top" wrapText="1"/>
      <protection locked="0"/>
    </xf>
    <xf numFmtId="175" fontId="18" fillId="0" borderId="0" applyBorder="0" applyProtection="0">
      <alignment horizontal="left" vertical="top" wrapText="1"/>
      <protection locked="0"/>
    </xf>
    <xf numFmtId="175" fontId="18" fillId="0" borderId="0" applyBorder="0" applyProtection="0">
      <alignment horizontal="left" vertical="top" wrapText="1"/>
      <protection locked="0"/>
    </xf>
    <xf numFmtId="175" fontId="18" fillId="0" borderId="0" applyBorder="0" applyProtection="0">
      <alignment horizontal="left" vertical="top" wrapText="1"/>
      <protection locked="0"/>
    </xf>
    <xf numFmtId="175" fontId="18" fillId="0" borderId="0" applyBorder="0" applyProtection="0">
      <alignment horizontal="left" vertical="top" wrapText="1"/>
      <protection locked="0"/>
    </xf>
    <xf numFmtId="0" fontId="109" fillId="0" borderId="0"/>
    <xf numFmtId="0" fontId="109" fillId="0" borderId="0"/>
    <xf numFmtId="167" fontId="4" fillId="0" borderId="0"/>
    <xf numFmtId="174" fontId="109" fillId="0" borderId="0"/>
    <xf numFmtId="167" fontId="4" fillId="0" borderId="0"/>
    <xf numFmtId="0" fontId="109" fillId="0" borderId="0"/>
    <xf numFmtId="0" fontId="109" fillId="0" borderId="0"/>
    <xf numFmtId="0" fontId="109" fillId="0" borderId="0"/>
    <xf numFmtId="169" fontId="109" fillId="0" borderId="0"/>
    <xf numFmtId="167" fontId="4" fillId="0" borderId="0"/>
    <xf numFmtId="0" fontId="12" fillId="0" borderId="0"/>
    <xf numFmtId="166" fontId="71" fillId="0" borderId="0" applyBorder="0" applyProtection="0">
      <alignment horizontal="left" vertical="top" wrapText="1"/>
      <protection locked="0"/>
    </xf>
    <xf numFmtId="0" fontId="45" fillId="0" borderId="0"/>
    <xf numFmtId="0" fontId="18" fillId="0" borderId="0" applyBorder="0" applyProtection="0">
      <alignment horizontal="left" vertical="top" wrapText="1"/>
      <protection locked="0"/>
    </xf>
    <xf numFmtId="0" fontId="45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" fillId="0" borderId="0"/>
    <xf numFmtId="0" fontId="12" fillId="0" borderId="0"/>
    <xf numFmtId="167" fontId="19" fillId="0" borderId="0" applyBorder="0" applyProtection="0">
      <alignment horizontal="left" vertical="top" wrapText="1"/>
      <protection locked="0"/>
    </xf>
    <xf numFmtId="0" fontId="12" fillId="0" borderId="0"/>
    <xf numFmtId="0" fontId="12" fillId="0" borderId="0"/>
    <xf numFmtId="0" fontId="1" fillId="0" borderId="0"/>
    <xf numFmtId="0" fontId="39" fillId="0" borderId="0"/>
    <xf numFmtId="0" fontId="12" fillId="0" borderId="0"/>
    <xf numFmtId="167" fontId="23" fillId="0" borderId="0"/>
    <xf numFmtId="0" fontId="12" fillId="9" borderId="4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96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09" fillId="64" borderId="69" applyNumberFormat="0" applyFont="0" applyAlignment="0" applyProtection="0"/>
    <xf numFmtId="0" fontId="127" fillId="59" borderId="70" applyNumberFormat="0" applyAlignment="0" applyProtection="0"/>
    <xf numFmtId="9" fontId="8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4" borderId="0" applyNumberFormat="0" applyBorder="0" applyAlignment="0" applyProtection="0"/>
    <xf numFmtId="0" fontId="33" fillId="13" borderId="8" applyNumberFormat="0" applyAlignment="0" applyProtection="0"/>
    <xf numFmtId="0" fontId="5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8" fillId="0" borderId="9" applyNumberFormat="0" applyFill="0" applyAlignment="0" applyProtection="0"/>
    <xf numFmtId="0" fontId="79" fillId="0" borderId="5" applyNumberFormat="0" applyFill="0" applyAlignment="0" applyProtection="0"/>
    <xf numFmtId="0" fontId="75" fillId="0" borderId="10" applyNumberFormat="0" applyFill="0" applyAlignment="0" applyProtection="0"/>
    <xf numFmtId="0" fontId="7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5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129" fillId="0" borderId="71" applyNumberFormat="0" applyFill="0" applyAlignment="0" applyProtection="0"/>
    <xf numFmtId="0" fontId="10" fillId="0" borderId="11" applyNumberFormat="0" applyFill="0" applyAlignment="0" applyProtection="0"/>
    <xf numFmtId="0" fontId="80" fillId="3" borderId="0" applyNumberFormat="0" applyBorder="0" applyAlignment="0" applyProtection="0"/>
    <xf numFmtId="0" fontId="81" fillId="4" borderId="0" applyNumberFormat="0" applyBorder="0" applyAlignment="0" applyProtection="0"/>
    <xf numFmtId="0" fontId="38" fillId="25" borderId="3" applyNumberFormat="0" applyAlignment="0" applyProtection="0"/>
    <xf numFmtId="0" fontId="130" fillId="0" borderId="0" applyNumberFormat="0" applyFill="0" applyBorder="0" applyAlignment="0" applyProtection="0"/>
    <xf numFmtId="0" fontId="12" fillId="0" borderId="0"/>
  </cellStyleXfs>
  <cellXfs count="739">
    <xf numFmtId="0" fontId="0" fillId="0" borderId="0" xfId="0"/>
    <xf numFmtId="3" fontId="13" fillId="28" borderId="0" xfId="0" applyNumberFormat="1" applyFont="1" applyFill="1"/>
    <xf numFmtId="3" fontId="14" fillId="28" borderId="0" xfId="0" applyNumberFormat="1" applyFont="1" applyFill="1" applyAlignment="1">
      <alignment horizontal="center"/>
    </xf>
    <xf numFmtId="3" fontId="14" fillId="28" borderId="0" xfId="0" applyNumberFormat="1" applyFont="1" applyFill="1"/>
    <xf numFmtId="165" fontId="13" fillId="28" borderId="0" xfId="0" applyNumberFormat="1" applyFont="1" applyFill="1"/>
    <xf numFmtId="166" fontId="13" fillId="28" borderId="0" xfId="0" applyNumberFormat="1" applyFont="1" applyFill="1"/>
    <xf numFmtId="0" fontId="13" fillId="28" borderId="0" xfId="0" applyNumberFormat="1" applyFont="1" applyFill="1"/>
    <xf numFmtId="0" fontId="14" fillId="28" borderId="0" xfId="0" applyNumberFormat="1" applyFont="1" applyFill="1" applyAlignment="1">
      <alignment horizontal="center"/>
    </xf>
    <xf numFmtId="0" fontId="14" fillId="28" borderId="0" xfId="0" applyNumberFormat="1" applyFont="1" applyFill="1"/>
    <xf numFmtId="41" fontId="13" fillId="28" borderId="0" xfId="0" applyNumberFormat="1" applyFont="1" applyFill="1"/>
    <xf numFmtId="41" fontId="14" fillId="28" borderId="0" xfId="0" applyNumberFormat="1" applyFont="1" applyFill="1"/>
    <xf numFmtId="3" fontId="14" fillId="28" borderId="0" xfId="0" applyNumberFormat="1" applyFont="1" applyFill="1" applyBorder="1"/>
    <xf numFmtId="3" fontId="14" fillId="29" borderId="12" xfId="0" applyNumberFormat="1" applyFont="1" applyFill="1" applyBorder="1"/>
    <xf numFmtId="3" fontId="14" fillId="29" borderId="13" xfId="0" applyNumberFormat="1" applyFont="1" applyFill="1" applyBorder="1" applyAlignment="1">
      <alignment horizontal="center" wrapText="1"/>
    </xf>
    <xf numFmtId="3" fontId="14" fillId="29" borderId="13" xfId="0" applyNumberFormat="1" applyFont="1" applyFill="1" applyBorder="1" applyAlignment="1">
      <alignment horizontal="center"/>
    </xf>
    <xf numFmtId="3" fontId="14" fillId="29" borderId="14" xfId="0" applyNumberFormat="1" applyFont="1" applyFill="1" applyBorder="1" applyAlignment="1">
      <alignment horizontal="center"/>
    </xf>
    <xf numFmtId="3" fontId="13" fillId="29" borderId="12" xfId="0" applyNumberFormat="1" applyFont="1" applyFill="1" applyBorder="1"/>
    <xf numFmtId="3" fontId="15" fillId="29" borderId="15" xfId="0" applyNumberFormat="1" applyFont="1" applyFill="1" applyBorder="1"/>
    <xf numFmtId="14" fontId="14" fillId="29" borderId="16" xfId="0" applyNumberFormat="1" applyFont="1" applyFill="1" applyBorder="1" applyAlignment="1">
      <alignment horizontal="center" wrapText="1"/>
    </xf>
    <xf numFmtId="49" fontId="14" fillId="29" borderId="16" xfId="0" applyNumberFormat="1" applyFont="1" applyFill="1" applyBorder="1" applyAlignment="1">
      <alignment horizontal="center"/>
    </xf>
    <xf numFmtId="14" fontId="14" fillId="29" borderId="17" xfId="0" applyNumberFormat="1" applyFont="1" applyFill="1" applyBorder="1" applyAlignment="1">
      <alignment horizontal="center" wrapText="1"/>
    </xf>
    <xf numFmtId="3" fontId="13" fillId="28" borderId="18" xfId="0" applyNumberFormat="1" applyFont="1" applyFill="1" applyBorder="1"/>
    <xf numFmtId="41" fontId="13" fillId="28" borderId="19" xfId="0" applyNumberFormat="1" applyFont="1" applyFill="1" applyBorder="1"/>
    <xf numFmtId="41" fontId="13" fillId="28" borderId="20" xfId="0" applyNumberFormat="1" applyFont="1" applyFill="1" applyBorder="1"/>
    <xf numFmtId="3" fontId="13" fillId="28" borderId="21" xfId="0" applyNumberFormat="1" applyFont="1" applyFill="1" applyBorder="1"/>
    <xf numFmtId="41" fontId="13" fillId="28" borderId="0" xfId="0" applyNumberFormat="1" applyFont="1" applyFill="1" applyBorder="1" applyAlignment="1"/>
    <xf numFmtId="41" fontId="13" fillId="28" borderId="0" xfId="0" applyNumberFormat="1" applyFont="1" applyFill="1" applyBorder="1"/>
    <xf numFmtId="41" fontId="13" fillId="28" borderId="22" xfId="0" applyNumberFormat="1" applyFont="1" applyFill="1" applyBorder="1"/>
    <xf numFmtId="3" fontId="14" fillId="28" borderId="21" xfId="0" applyNumberFormat="1" applyFont="1" applyFill="1" applyBorder="1"/>
    <xf numFmtId="41" fontId="14" fillId="28" borderId="0" xfId="0" applyNumberFormat="1" applyFont="1" applyFill="1" applyBorder="1"/>
    <xf numFmtId="41" fontId="14" fillId="28" borderId="22" xfId="0" applyNumberFormat="1" applyFont="1" applyFill="1" applyBorder="1"/>
    <xf numFmtId="3" fontId="14" fillId="28" borderId="23" xfId="0" applyNumberFormat="1" applyFont="1" applyFill="1" applyBorder="1"/>
    <xf numFmtId="41" fontId="14" fillId="28" borderId="24" xfId="0" applyNumberFormat="1" applyFont="1" applyFill="1" applyBorder="1"/>
    <xf numFmtId="3" fontId="14" fillId="29" borderId="15" xfId="0" applyNumberFormat="1" applyFont="1" applyFill="1" applyBorder="1" applyAlignment="1">
      <alignment horizontal="left"/>
    </xf>
    <xf numFmtId="3" fontId="15" fillId="28" borderId="18" xfId="0" applyNumberFormat="1" applyFont="1" applyFill="1" applyBorder="1" applyAlignment="1">
      <alignment horizontal="left"/>
    </xf>
    <xf numFmtId="14" fontId="14" fillId="28" borderId="19" xfId="0" applyNumberFormat="1" applyFont="1" applyFill="1" applyBorder="1" applyAlignment="1">
      <alignment horizontal="center" wrapText="1"/>
    </xf>
    <xf numFmtId="49" fontId="14" fillId="28" borderId="19" xfId="0" applyNumberFormat="1" applyFont="1" applyFill="1" applyBorder="1" applyAlignment="1">
      <alignment horizontal="center"/>
    </xf>
    <xf numFmtId="14" fontId="14" fillId="28" borderId="20" xfId="0" applyNumberFormat="1" applyFont="1" applyFill="1" applyBorder="1" applyAlignment="1">
      <alignment horizontal="center" wrapText="1"/>
    </xf>
    <xf numFmtId="3" fontId="15" fillId="28" borderId="21" xfId="0" applyNumberFormat="1" applyFont="1" applyFill="1" applyBorder="1"/>
    <xf numFmtId="41" fontId="13" fillId="28" borderId="0" xfId="0" applyNumberFormat="1" applyFont="1" applyFill="1" applyBorder="1" applyAlignment="1">
      <alignment horizontal="right"/>
    </xf>
    <xf numFmtId="49" fontId="14" fillId="29" borderId="25" xfId="0" applyNumberFormat="1" applyFont="1" applyFill="1" applyBorder="1" applyAlignment="1">
      <alignment horizontal="center"/>
    </xf>
    <xf numFmtId="3" fontId="14" fillId="29" borderId="26" xfId="0" applyNumberFormat="1" applyFont="1" applyFill="1" applyBorder="1" applyAlignment="1">
      <alignment horizontal="center" wrapText="1"/>
    </xf>
    <xf numFmtId="3" fontId="14" fillId="29" borderId="26" xfId="0" applyNumberFormat="1" applyFont="1" applyFill="1" applyBorder="1" applyAlignment="1">
      <alignment horizontal="center"/>
    </xf>
    <xf numFmtId="3" fontId="14" fillId="29" borderId="27" xfId="0" applyNumberFormat="1" applyFont="1" applyFill="1" applyBorder="1" applyAlignment="1">
      <alignment horizontal="center"/>
    </xf>
    <xf numFmtId="41" fontId="14" fillId="28" borderId="28" xfId="0" applyNumberFormat="1" applyFont="1" applyFill="1" applyBorder="1"/>
    <xf numFmtId="41" fontId="15" fillId="28" borderId="0" xfId="0" applyNumberFormat="1" applyFont="1" applyFill="1" applyBorder="1"/>
    <xf numFmtId="41" fontId="16" fillId="28" borderId="0" xfId="0" applyNumberFormat="1" applyFont="1" applyFill="1" applyBorder="1"/>
    <xf numFmtId="3" fontId="14" fillId="30" borderId="21" xfId="0" applyNumberFormat="1" applyFont="1" applyFill="1" applyBorder="1"/>
    <xf numFmtId="41" fontId="14" fillId="30" borderId="0" xfId="0" applyNumberFormat="1" applyFont="1" applyFill="1" applyBorder="1"/>
    <xf numFmtId="41" fontId="14" fillId="30" borderId="22" xfId="0" applyNumberFormat="1" applyFont="1" applyFill="1" applyBorder="1"/>
    <xf numFmtId="3" fontId="14" fillId="30" borderId="23" xfId="0" applyNumberFormat="1" applyFont="1" applyFill="1" applyBorder="1"/>
    <xf numFmtId="41" fontId="14" fillId="30" borderId="24" xfId="0" applyNumberFormat="1" applyFont="1" applyFill="1" applyBorder="1"/>
    <xf numFmtId="41" fontId="14" fillId="30" borderId="29" xfId="0" applyNumberFormat="1" applyFont="1" applyFill="1" applyBorder="1"/>
    <xf numFmtId="41" fontId="40" fillId="28" borderId="0" xfId="0" applyNumberFormat="1" applyFont="1" applyFill="1" applyBorder="1"/>
    <xf numFmtId="49" fontId="14" fillId="29" borderId="30" xfId="0" applyNumberFormat="1" applyFont="1" applyFill="1" applyBorder="1" applyAlignment="1">
      <alignment horizontal="center"/>
    </xf>
    <xf numFmtId="3" fontId="13" fillId="28" borderId="31" xfId="0" applyNumberFormat="1" applyFont="1" applyFill="1" applyBorder="1"/>
    <xf numFmtId="3" fontId="14" fillId="28" borderId="31" xfId="0" applyNumberFormat="1" applyFont="1" applyFill="1" applyBorder="1"/>
    <xf numFmtId="41" fontId="13" fillId="28" borderId="31" xfId="0" applyNumberFormat="1" applyFont="1" applyFill="1" applyBorder="1"/>
    <xf numFmtId="41" fontId="14" fillId="28" borderId="31" xfId="0" applyNumberFormat="1" applyFont="1" applyFill="1" applyBorder="1"/>
    <xf numFmtId="0" fontId="13" fillId="28" borderId="31" xfId="0" applyNumberFormat="1" applyFont="1" applyFill="1" applyBorder="1" applyAlignment="1">
      <alignment horizontal="left"/>
    </xf>
    <xf numFmtId="0" fontId="41" fillId="28" borderId="0" xfId="0" applyFont="1" applyFill="1"/>
    <xf numFmtId="169" fontId="46" fillId="28" borderId="0" xfId="405" applyNumberFormat="1" applyFont="1" applyFill="1" applyBorder="1" applyAlignment="1" applyProtection="1"/>
    <xf numFmtId="169" fontId="47" fillId="28" borderId="0" xfId="405" applyNumberFormat="1" applyFont="1" applyFill="1" applyBorder="1" applyAlignment="1" applyProtection="1"/>
    <xf numFmtId="169" fontId="47" fillId="28" borderId="0" xfId="405" applyNumberFormat="1" applyFont="1" applyFill="1" applyBorder="1" applyAlignment="1" applyProtection="1">
      <alignment wrapText="1"/>
    </xf>
    <xf numFmtId="41" fontId="46" fillId="28" borderId="0" xfId="405" applyNumberFormat="1" applyFont="1" applyFill="1" applyBorder="1" applyAlignment="1" applyProtection="1"/>
    <xf numFmtId="169" fontId="47" fillId="28" borderId="0" xfId="405" applyNumberFormat="1" applyFont="1" applyFill="1" applyBorder="1" applyAlignment="1" applyProtection="1">
      <alignment horizontal="center" wrapText="1"/>
    </xf>
    <xf numFmtId="169" fontId="55" fillId="28" borderId="0" xfId="404" applyNumberFormat="1" applyFont="1" applyFill="1" applyBorder="1" applyAlignment="1" applyProtection="1"/>
    <xf numFmtId="169" fontId="55" fillId="28" borderId="0" xfId="324" applyNumberFormat="1" applyFont="1" applyFill="1" applyBorder="1" applyAlignment="1" applyProtection="1"/>
    <xf numFmtId="169" fontId="55" fillId="28" borderId="0" xfId="324" applyNumberFormat="1" applyFont="1" applyFill="1" applyBorder="1" applyAlignment="1" applyProtection="1">
      <alignment horizontal="left"/>
    </xf>
    <xf numFmtId="169" fontId="55" fillId="28" borderId="0" xfId="324" applyNumberFormat="1" applyFont="1" applyFill="1" applyBorder="1" applyAlignment="1" applyProtection="1">
      <alignment horizontal="left" wrapText="1"/>
    </xf>
    <xf numFmtId="169" fontId="58" fillId="28" borderId="0" xfId="324" applyNumberFormat="1" applyFont="1" applyFill="1" applyBorder="1" applyAlignment="1" applyProtection="1">
      <alignment horizontal="right"/>
    </xf>
    <xf numFmtId="41" fontId="55" fillId="28" borderId="0" xfId="324" applyNumberFormat="1" applyFont="1" applyFill="1" applyBorder="1" applyAlignment="1" applyProtection="1"/>
    <xf numFmtId="169" fontId="58" fillId="28" borderId="0" xfId="324" applyNumberFormat="1" applyFont="1" applyFill="1" applyBorder="1" applyAlignment="1" applyProtection="1">
      <alignment horizontal="left" wrapText="1"/>
    </xf>
    <xf numFmtId="169" fontId="57" fillId="28" borderId="0" xfId="324" applyNumberFormat="1" applyFont="1" applyFill="1" applyBorder="1" applyAlignment="1" applyProtection="1">
      <alignment horizontal="left" wrapText="1"/>
    </xf>
    <xf numFmtId="169" fontId="55" fillId="28" borderId="0" xfId="324" applyNumberFormat="1" applyFont="1" applyFill="1" applyBorder="1" applyAlignment="1" applyProtection="1">
      <alignment wrapText="1"/>
    </xf>
    <xf numFmtId="169" fontId="57" fillId="28" borderId="0" xfId="324" applyNumberFormat="1" applyFont="1" applyFill="1" applyBorder="1" applyAlignment="1" applyProtection="1">
      <alignment wrapText="1"/>
    </xf>
    <xf numFmtId="169" fontId="55" fillId="26" borderId="0" xfId="324" applyNumberFormat="1" applyFont="1" applyFill="1" applyBorder="1" applyAlignment="1" applyProtection="1">
      <alignment horizontal="left"/>
    </xf>
    <xf numFmtId="169" fontId="57" fillId="26" borderId="0" xfId="406" applyNumberFormat="1" applyFont="1" applyFill="1" applyBorder="1" applyAlignment="1" applyProtection="1">
      <alignment horizontal="right"/>
    </xf>
    <xf numFmtId="169" fontId="41" fillId="0" borderId="0" xfId="408" applyNumberFormat="1" applyFont="1" applyFill="1"/>
    <xf numFmtId="0" fontId="41" fillId="31" borderId="0" xfId="0" applyFont="1" applyFill="1"/>
    <xf numFmtId="0" fontId="56" fillId="0" borderId="0" xfId="403" applyNumberFormat="1" applyFont="1" applyFill="1" applyBorder="1" applyAlignment="1" applyProtection="1"/>
    <xf numFmtId="169" fontId="49" fillId="0" borderId="32" xfId="403" applyNumberFormat="1" applyFont="1" applyFill="1" applyBorder="1" applyAlignment="1" applyProtection="1"/>
    <xf numFmtId="169" fontId="49" fillId="0" borderId="33" xfId="403" applyNumberFormat="1" applyFont="1" applyFill="1" applyBorder="1" applyAlignment="1" applyProtection="1"/>
    <xf numFmtId="169" fontId="52" fillId="0" borderId="34" xfId="403" applyNumberFormat="1" applyFont="1" applyFill="1" applyBorder="1" applyAlignment="1" applyProtection="1"/>
    <xf numFmtId="169" fontId="59" fillId="0" borderId="0" xfId="403" applyNumberFormat="1" applyFont="1" applyFill="1" applyBorder="1" applyAlignment="1" applyProtection="1"/>
    <xf numFmtId="41" fontId="49" fillId="0" borderId="35" xfId="403" applyNumberFormat="1" applyFont="1" applyFill="1" applyBorder="1" applyAlignment="1" applyProtection="1"/>
    <xf numFmtId="41" fontId="49" fillId="0" borderId="31" xfId="403" applyNumberFormat="1" applyFont="1" applyFill="1" applyBorder="1" applyAlignment="1" applyProtection="1"/>
    <xf numFmtId="41" fontId="52" fillId="0" borderId="36" xfId="403" applyNumberFormat="1" applyFont="1" applyFill="1" applyBorder="1" applyAlignment="1" applyProtection="1"/>
    <xf numFmtId="41" fontId="49" fillId="0" borderId="37" xfId="403" applyNumberFormat="1" applyFont="1" applyFill="1" applyBorder="1" applyAlignment="1" applyProtection="1"/>
    <xf numFmtId="41" fontId="49" fillId="0" borderId="38" xfId="403" applyNumberFormat="1" applyFont="1" applyFill="1" applyBorder="1" applyAlignment="1" applyProtection="1"/>
    <xf numFmtId="41" fontId="52" fillId="0" borderId="39" xfId="403" applyNumberFormat="1" applyFont="1" applyFill="1" applyBorder="1" applyAlignment="1" applyProtection="1"/>
    <xf numFmtId="41" fontId="49" fillId="0" borderId="40" xfId="403" applyNumberFormat="1" applyFont="1" applyFill="1" applyBorder="1" applyAlignment="1" applyProtection="1"/>
    <xf numFmtId="41" fontId="49" fillId="0" borderId="41" xfId="403" applyNumberFormat="1" applyFont="1" applyFill="1" applyBorder="1" applyAlignment="1" applyProtection="1"/>
    <xf numFmtId="41" fontId="52" fillId="0" borderId="42" xfId="403" applyNumberFormat="1" applyFont="1" applyFill="1" applyBorder="1" applyAlignment="1" applyProtection="1"/>
    <xf numFmtId="41" fontId="54" fillId="0" borderId="0" xfId="403" applyNumberFormat="1" applyFont="1" applyFill="1" applyBorder="1" applyAlignment="1" applyProtection="1"/>
    <xf numFmtId="169" fontId="49" fillId="0" borderId="0" xfId="403" applyNumberFormat="1" applyFont="1" applyFill="1" applyBorder="1" applyAlignment="1" applyProtection="1"/>
    <xf numFmtId="169" fontId="60" fillId="0" borderId="0" xfId="403" applyNumberFormat="1" applyFont="1" applyFill="1" applyBorder="1" applyAlignment="1" applyProtection="1">
      <alignment horizontal="right"/>
    </xf>
    <xf numFmtId="43" fontId="60" fillId="0" borderId="0" xfId="275" applyFont="1" applyFill="1" applyBorder="1" applyAlignment="1" applyProtection="1"/>
    <xf numFmtId="43" fontId="60" fillId="0" borderId="0" xfId="403" applyNumberFormat="1" applyFont="1" applyFill="1" applyBorder="1" applyAlignment="1" applyProtection="1"/>
    <xf numFmtId="169" fontId="55" fillId="26" borderId="0" xfId="404" applyNumberFormat="1" applyFont="1" applyFill="1" applyBorder="1" applyAlignment="1" applyProtection="1"/>
    <xf numFmtId="167" fontId="51" fillId="28" borderId="0" xfId="303" applyNumberFormat="1" applyFont="1" applyFill="1" applyAlignment="1" applyProtection="1">
      <alignment horizontal="left" vertical="top" wrapText="1"/>
      <protection locked="0"/>
    </xf>
    <xf numFmtId="43" fontId="55" fillId="28" borderId="0" xfId="249" applyFont="1" applyFill="1" applyBorder="1" applyAlignment="1" applyProtection="1"/>
    <xf numFmtId="169" fontId="58" fillId="28" borderId="0" xfId="406" applyNumberFormat="1" applyFont="1" applyFill="1" applyBorder="1" applyAlignment="1" applyProtection="1">
      <alignment horizontal="right" wrapText="1"/>
    </xf>
    <xf numFmtId="169" fontId="55" fillId="28" borderId="0" xfId="406" applyNumberFormat="1" applyFont="1" applyFill="1" applyBorder="1" applyAlignment="1" applyProtection="1"/>
    <xf numFmtId="0" fontId="13" fillId="28" borderId="31" xfId="0" applyNumberFormat="1" applyFont="1" applyFill="1" applyBorder="1"/>
    <xf numFmtId="3" fontId="66" fillId="28" borderId="31" xfId="0" applyNumberFormat="1" applyFont="1" applyFill="1" applyBorder="1"/>
    <xf numFmtId="3" fontId="66" fillId="28" borderId="31" xfId="0" applyNumberFormat="1" applyFont="1" applyFill="1" applyBorder="1" applyAlignment="1">
      <alignment horizontal="right"/>
    </xf>
    <xf numFmtId="0" fontId="12" fillId="0" borderId="31" xfId="0" applyFont="1" applyBorder="1"/>
    <xf numFmtId="0" fontId="61" fillId="0" borderId="31" xfId="0" applyFont="1" applyBorder="1"/>
    <xf numFmtId="41" fontId="57" fillId="28" borderId="43" xfId="324" applyNumberFormat="1" applyFont="1" applyFill="1" applyBorder="1" applyAlignment="1" applyProtection="1"/>
    <xf numFmtId="41" fontId="57" fillId="28" borderId="0" xfId="324" applyNumberFormat="1" applyFont="1" applyFill="1" applyBorder="1" applyAlignment="1" applyProtection="1"/>
    <xf numFmtId="37" fontId="55" fillId="28" borderId="0" xfId="324" applyNumberFormat="1" applyFont="1" applyFill="1" applyBorder="1" applyAlignment="1" applyProtection="1"/>
    <xf numFmtId="0" fontId="131" fillId="28" borderId="0" xfId="0" applyFont="1" applyFill="1"/>
    <xf numFmtId="169" fontId="15" fillId="26" borderId="0" xfId="408" applyNumberFormat="1" applyFont="1" applyFill="1"/>
    <xf numFmtId="0" fontId="70" fillId="28" borderId="0" xfId="0" applyFont="1" applyFill="1"/>
    <xf numFmtId="169" fontId="132" fillId="28" borderId="0" xfId="405" applyNumberFormat="1" applyFont="1" applyFill="1" applyBorder="1" applyAlignment="1" applyProtection="1"/>
    <xf numFmtId="169" fontId="133" fillId="28" borderId="0" xfId="405" applyNumberFormat="1" applyFont="1" applyFill="1" applyBorder="1" applyAlignment="1" applyProtection="1">
      <alignment horizontal="right"/>
    </xf>
    <xf numFmtId="3" fontId="134" fillId="28" borderId="31" xfId="388" applyNumberFormat="1" applyFont="1" applyFill="1" applyBorder="1" applyAlignment="1">
      <alignment horizontal="center"/>
    </xf>
    <xf numFmtId="41" fontId="132" fillId="28" borderId="0" xfId="405" applyNumberFormat="1" applyFont="1" applyFill="1" applyBorder="1" applyAlignment="1" applyProtection="1"/>
    <xf numFmtId="169" fontId="133" fillId="28" borderId="0" xfId="405" applyNumberFormat="1" applyFont="1" applyFill="1" applyBorder="1" applyAlignment="1" applyProtection="1">
      <alignment horizontal="left"/>
    </xf>
    <xf numFmtId="43" fontId="132" fillId="28" borderId="0" xfId="249" applyFont="1" applyFill="1" applyBorder="1" applyAlignment="1" applyProtection="1"/>
    <xf numFmtId="169" fontId="132" fillId="28" borderId="0" xfId="405" applyNumberFormat="1" applyFont="1" applyFill="1" applyBorder="1" applyAlignment="1" applyProtection="1">
      <alignment horizontal="left" wrapText="1"/>
    </xf>
    <xf numFmtId="41" fontId="132" fillId="28" borderId="0" xfId="249" applyNumberFormat="1" applyFont="1" applyFill="1" applyBorder="1" applyAlignment="1" applyProtection="1"/>
    <xf numFmtId="169" fontId="133" fillId="28" borderId="0" xfId="405" applyNumberFormat="1" applyFont="1" applyFill="1" applyBorder="1" applyAlignment="1" applyProtection="1">
      <alignment horizontal="left" wrapText="1"/>
    </xf>
    <xf numFmtId="41" fontId="133" fillId="28" borderId="0" xfId="405" applyNumberFormat="1" applyFont="1" applyFill="1" applyBorder="1" applyAlignment="1" applyProtection="1"/>
    <xf numFmtId="41" fontId="133" fillId="28" borderId="43" xfId="405" applyNumberFormat="1" applyFont="1" applyFill="1" applyBorder="1" applyAlignment="1" applyProtection="1"/>
    <xf numFmtId="169" fontId="132" fillId="28" borderId="0" xfId="405" applyNumberFormat="1" applyFont="1" applyFill="1" applyBorder="1" applyAlignment="1" applyProtection="1">
      <alignment horizontal="left"/>
    </xf>
    <xf numFmtId="169" fontId="135" fillId="28" borderId="0" xfId="405" applyNumberFormat="1" applyFont="1" applyFill="1" applyBorder="1" applyAlignment="1" applyProtection="1"/>
    <xf numFmtId="41" fontId="135" fillId="28" borderId="0" xfId="405" applyNumberFormat="1" applyFont="1" applyFill="1" applyBorder="1" applyAlignment="1" applyProtection="1"/>
    <xf numFmtId="0" fontId="133" fillId="28" borderId="0" xfId="0" applyFont="1" applyFill="1" applyAlignment="1">
      <alignment horizontal="right"/>
    </xf>
    <xf numFmtId="0" fontId="136" fillId="28" borderId="0" xfId="0" applyFont="1" applyFill="1" applyAlignment="1">
      <alignment horizontal="right" wrapText="1"/>
    </xf>
    <xf numFmtId="0" fontId="132" fillId="28" borderId="0" xfId="0" applyFont="1" applyFill="1"/>
    <xf numFmtId="169" fontId="132" fillId="28" borderId="0" xfId="404" applyNumberFormat="1" applyFont="1" applyFill="1" applyBorder="1" applyAlignment="1" applyProtection="1"/>
    <xf numFmtId="167" fontId="137" fillId="28" borderId="0" xfId="303" applyNumberFormat="1" applyFont="1" applyFill="1" applyAlignment="1" applyProtection="1">
      <alignment horizontal="left" vertical="top" wrapText="1"/>
      <protection locked="0"/>
    </xf>
    <xf numFmtId="0" fontId="131" fillId="31" borderId="0" xfId="0" applyFont="1" applyFill="1"/>
    <xf numFmtId="169" fontId="131" fillId="0" borderId="0" xfId="408" applyNumberFormat="1" applyFont="1" applyFill="1"/>
    <xf numFmtId="169" fontId="132" fillId="26" borderId="0" xfId="404" applyNumberFormat="1" applyFont="1" applyFill="1" applyBorder="1" applyAlignment="1" applyProtection="1"/>
    <xf numFmtId="41" fontId="134" fillId="28" borderId="43" xfId="0" applyNumberFormat="1" applyFont="1" applyFill="1" applyBorder="1" applyAlignment="1" applyProtection="1">
      <alignment horizontal="left" vertical="top" wrapText="1"/>
      <protection locked="0"/>
    </xf>
    <xf numFmtId="41" fontId="134" fillId="28" borderId="0" xfId="0" applyNumberFormat="1" applyFont="1" applyFill="1" applyBorder="1" applyAlignment="1" applyProtection="1">
      <alignment horizontal="left" vertical="top" wrapText="1"/>
      <protection locked="0"/>
    </xf>
    <xf numFmtId="0" fontId="136" fillId="28" borderId="0" xfId="0" applyFont="1" applyFill="1" applyAlignment="1">
      <alignment horizontal="right"/>
    </xf>
    <xf numFmtId="3" fontId="132" fillId="28" borderId="0" xfId="0" applyNumberFormat="1" applyFont="1" applyFill="1" applyAlignment="1">
      <alignment horizontal="right"/>
    </xf>
    <xf numFmtId="0" fontId="132" fillId="28" borderId="0" xfId="0" applyFont="1" applyFill="1" applyAlignment="1">
      <alignment horizontal="right" indent="3"/>
    </xf>
    <xf numFmtId="0" fontId="132" fillId="28" borderId="0" xfId="0" applyFont="1" applyFill="1" applyAlignment="1">
      <alignment wrapText="1"/>
    </xf>
    <xf numFmtId="0" fontId="132" fillId="28" borderId="0" xfId="0" applyFont="1" applyFill="1" applyBorder="1" applyAlignment="1">
      <alignment horizontal="right" indent="3"/>
    </xf>
    <xf numFmtId="0" fontId="132" fillId="28" borderId="0" xfId="0" applyFont="1" applyFill="1" applyAlignment="1">
      <alignment horizontal="left" indent="3"/>
    </xf>
    <xf numFmtId="3" fontId="133" fillId="28" borderId="0" xfId="0" applyNumberFormat="1" applyFont="1" applyFill="1" applyBorder="1" applyAlignment="1">
      <alignment horizontal="right"/>
    </xf>
    <xf numFmtId="0" fontId="133" fillId="28" borderId="0" xfId="0" applyFont="1" applyFill="1" applyBorder="1" applyAlignment="1">
      <alignment horizontal="right" indent="3"/>
    </xf>
    <xf numFmtId="0" fontId="132" fillId="0" borderId="0" xfId="0" applyFont="1"/>
    <xf numFmtId="0" fontId="133" fillId="0" borderId="0" xfId="0" applyFont="1" applyBorder="1" applyAlignment="1">
      <alignment horizontal="right"/>
    </xf>
    <xf numFmtId="0" fontId="133" fillId="0" borderId="0" xfId="0" applyFont="1" applyBorder="1"/>
    <xf numFmtId="0" fontId="133" fillId="0" borderId="0" xfId="0" applyFont="1" applyAlignment="1">
      <alignment horizontal="right"/>
    </xf>
    <xf numFmtId="0" fontId="132" fillId="0" borderId="0" xfId="0" applyFont="1" applyAlignment="1">
      <alignment horizontal="right"/>
    </xf>
    <xf numFmtId="0" fontId="138" fillId="0" borderId="0" xfId="0" applyFont="1"/>
    <xf numFmtId="3" fontId="138" fillId="0" borderId="0" xfId="0" applyNumberFormat="1" applyFont="1" applyAlignment="1">
      <alignment horizontal="right"/>
    </xf>
    <xf numFmtId="3" fontId="132" fillId="0" borderId="0" xfId="0" applyNumberFormat="1" applyFont="1" applyAlignment="1">
      <alignment horizontal="right"/>
    </xf>
    <xf numFmtId="0" fontId="133" fillId="0" borderId="0" xfId="0" applyFont="1"/>
    <xf numFmtId="9" fontId="133" fillId="0" borderId="0" xfId="0" applyNumberFormat="1" applyFont="1" applyAlignment="1">
      <alignment horizontal="right"/>
    </xf>
    <xf numFmtId="0" fontId="139" fillId="28" borderId="0" xfId="0" applyFont="1" applyFill="1"/>
    <xf numFmtId="169" fontId="140" fillId="26" borderId="0" xfId="408" applyNumberFormat="1" applyFont="1" applyFill="1"/>
    <xf numFmtId="169" fontId="15" fillId="28" borderId="0" xfId="324" applyNumberFormat="1" applyFont="1" applyFill="1" applyBorder="1" applyAlignment="1" applyProtection="1"/>
    <xf numFmtId="169" fontId="52" fillId="0" borderId="0" xfId="403" applyNumberFormat="1" applyFont="1" applyFill="1" applyBorder="1" applyAlignment="1" applyProtection="1"/>
    <xf numFmtId="169" fontId="52" fillId="0" borderId="0" xfId="403" applyNumberFormat="1" applyFont="1" applyFill="1" applyBorder="1" applyAlignment="1" applyProtection="1">
      <alignment horizontal="left"/>
    </xf>
    <xf numFmtId="41" fontId="134" fillId="28" borderId="0" xfId="405" applyNumberFormat="1" applyFont="1" applyFill="1" applyBorder="1" applyAlignment="1" applyProtection="1"/>
    <xf numFmtId="41" fontId="134" fillId="28" borderId="0" xfId="0" applyNumberFormat="1" applyFont="1" applyFill="1" applyAlignment="1">
      <alignment horizontal="right"/>
    </xf>
    <xf numFmtId="41" fontId="134" fillId="0" borderId="43" xfId="0" applyNumberFormat="1" applyFont="1" applyFill="1" applyBorder="1" applyAlignment="1" applyProtection="1">
      <alignment horizontal="left" vertical="top" wrapText="1"/>
      <protection locked="0"/>
    </xf>
    <xf numFmtId="168" fontId="55" fillId="28" borderId="0" xfId="324" applyNumberFormat="1" applyFont="1" applyFill="1" applyBorder="1" applyAlignment="1" applyProtection="1"/>
    <xf numFmtId="169" fontId="132" fillId="0" borderId="0" xfId="405" applyNumberFormat="1" applyFont="1" applyFill="1" applyBorder="1" applyAlignment="1" applyProtection="1">
      <alignment horizontal="left" wrapText="1"/>
    </xf>
    <xf numFmtId="37" fontId="57" fillId="0" borderId="43" xfId="324" applyNumberFormat="1" applyFont="1" applyFill="1" applyBorder="1" applyAlignment="1" applyProtection="1"/>
    <xf numFmtId="169" fontId="136" fillId="28" borderId="0" xfId="405" applyNumberFormat="1" applyFont="1" applyFill="1" applyBorder="1" applyAlignment="1" applyProtection="1">
      <alignment horizontal="center"/>
    </xf>
    <xf numFmtId="167" fontId="49" fillId="28" borderId="0" xfId="395" applyNumberFormat="1" applyFont="1" applyFill="1">
      <alignment horizontal="left" vertical="top" wrapText="1"/>
      <protection locked="0"/>
    </xf>
    <xf numFmtId="167" fontId="49" fillId="28" borderId="0" xfId="395" quotePrefix="1" applyNumberFormat="1" applyFont="1" applyFill="1">
      <alignment horizontal="left" vertical="top" wrapText="1"/>
      <protection locked="0"/>
    </xf>
    <xf numFmtId="0" fontId="141" fillId="0" borderId="0" xfId="326" applyFont="1" applyAlignment="1">
      <alignment vertical="center" wrapText="1"/>
    </xf>
    <xf numFmtId="0" fontId="142" fillId="0" borderId="0" xfId="326" applyFont="1" applyAlignment="1">
      <alignment vertical="center"/>
    </xf>
    <xf numFmtId="0" fontId="143" fillId="0" borderId="0" xfId="326" applyFont="1" applyAlignment="1">
      <alignment vertical="center" wrapText="1"/>
    </xf>
    <xf numFmtId="0" fontId="144" fillId="0" borderId="0" xfId="326" applyFont="1" applyAlignment="1"/>
    <xf numFmtId="0" fontId="143" fillId="0" borderId="44" xfId="326" applyFont="1" applyBorder="1" applyAlignment="1">
      <alignment vertical="center" wrapText="1"/>
    </xf>
    <xf numFmtId="0" fontId="144" fillId="0" borderId="44" xfId="326" applyFont="1" applyBorder="1" applyAlignment="1"/>
    <xf numFmtId="0" fontId="141" fillId="0" borderId="45" xfId="326" applyFont="1" applyBorder="1" applyAlignment="1">
      <alignment vertical="center" wrapText="1"/>
    </xf>
    <xf numFmtId="0" fontId="141" fillId="0" borderId="46" xfId="326" applyFont="1" applyBorder="1" applyAlignment="1">
      <alignment vertical="center" wrapText="1"/>
    </xf>
    <xf numFmtId="0" fontId="142" fillId="0" borderId="47" xfId="326" applyFont="1" applyBorder="1" applyAlignment="1"/>
    <xf numFmtId="0" fontId="142" fillId="0" borderId="0" xfId="326" applyFont="1" applyAlignment="1"/>
    <xf numFmtId="0" fontId="141" fillId="0" borderId="44" xfId="326" applyFont="1" applyBorder="1" applyAlignment="1">
      <alignment vertical="center" wrapText="1"/>
    </xf>
    <xf numFmtId="0" fontId="142" fillId="0" borderId="45" xfId="326" applyFont="1" applyBorder="1" applyAlignment="1"/>
    <xf numFmtId="0" fontId="141" fillId="0" borderId="47" xfId="326" applyFont="1" applyBorder="1" applyAlignment="1">
      <alignment vertical="center" wrapText="1"/>
    </xf>
    <xf numFmtId="0" fontId="143" fillId="0" borderId="0" xfId="326" applyFont="1" applyAlignment="1"/>
    <xf numFmtId="0" fontId="143" fillId="0" borderId="72" xfId="326" applyFont="1" applyBorder="1" applyAlignment="1">
      <alignment vertical="center" wrapText="1"/>
    </xf>
    <xf numFmtId="0" fontId="141" fillId="0" borderId="0" xfId="326" applyFont="1" applyAlignment="1"/>
    <xf numFmtId="0" fontId="143" fillId="0" borderId="44" xfId="326" applyFont="1" applyBorder="1" applyAlignment="1"/>
    <xf numFmtId="0" fontId="143" fillId="0" borderId="45" xfId="326" applyFont="1" applyBorder="1" applyAlignment="1"/>
    <xf numFmtId="0" fontId="141" fillId="0" borderId="45" xfId="326" applyFont="1" applyBorder="1" applyAlignment="1"/>
    <xf numFmtId="0" fontId="141" fillId="0" borderId="46" xfId="326" applyFont="1" applyBorder="1" applyAlignment="1"/>
    <xf numFmtId="0" fontId="143" fillId="0" borderId="44" xfId="326" applyFont="1" applyBorder="1" applyAlignment="1">
      <alignment wrapText="1"/>
    </xf>
    <xf numFmtId="0" fontId="141" fillId="0" borderId="0" xfId="326" applyFont="1" applyAlignment="1">
      <alignment wrapText="1"/>
    </xf>
    <xf numFmtId="0" fontId="143" fillId="0" borderId="0" xfId="326" applyFont="1" applyAlignment="1">
      <alignment horizontal="right" vertical="center" wrapText="1"/>
    </xf>
    <xf numFmtId="0" fontId="143" fillId="0" borderId="0" xfId="326" applyFont="1"/>
    <xf numFmtId="0" fontId="141" fillId="0" borderId="48" xfId="326" applyFont="1" applyBorder="1" applyAlignment="1">
      <alignment vertical="center" wrapText="1"/>
    </xf>
    <xf numFmtId="0" fontId="141" fillId="0" borderId="73" xfId="326" applyFont="1" applyBorder="1" applyAlignment="1"/>
    <xf numFmtId="0" fontId="141" fillId="0" borderId="0" xfId="326" applyFont="1" applyBorder="1" applyAlignment="1"/>
    <xf numFmtId="0" fontId="141" fillId="0" borderId="0" xfId="326" applyFont="1" applyAlignment="1">
      <alignment horizontal="right" vertical="center" wrapText="1"/>
    </xf>
    <xf numFmtId="0" fontId="145" fillId="0" borderId="0" xfId="326" applyFont="1" applyAlignment="1">
      <alignment vertical="center" wrapText="1"/>
    </xf>
    <xf numFmtId="0" fontId="146" fillId="0" borderId="0" xfId="326" applyFont="1" applyAlignment="1">
      <alignment vertical="center" wrapText="1"/>
    </xf>
    <xf numFmtId="3" fontId="66" fillId="28" borderId="21" xfId="0" applyNumberFormat="1" applyFont="1" applyFill="1" applyBorder="1"/>
    <xf numFmtId="41" fontId="83" fillId="28" borderId="0" xfId="0" applyNumberFormat="1" applyFont="1" applyFill="1" applyBorder="1"/>
    <xf numFmtId="41" fontId="83" fillId="28" borderId="22" xfId="0" applyNumberFormat="1" applyFont="1" applyFill="1" applyBorder="1"/>
    <xf numFmtId="3" fontId="14" fillId="29" borderId="15" xfId="0" applyNumberFormat="1" applyFont="1" applyFill="1" applyBorder="1" applyAlignment="1">
      <alignment horizontal="center"/>
    </xf>
    <xf numFmtId="41" fontId="13" fillId="28" borderId="21" xfId="0" applyNumberFormat="1" applyFont="1" applyFill="1" applyBorder="1"/>
    <xf numFmtId="41" fontId="15" fillId="28" borderId="21" xfId="0" applyNumberFormat="1" applyFont="1" applyFill="1" applyBorder="1"/>
    <xf numFmtId="41" fontId="14" fillId="30" borderId="21" xfId="0" applyNumberFormat="1" applyFont="1" applyFill="1" applyBorder="1"/>
    <xf numFmtId="41" fontId="14" fillId="28" borderId="21" xfId="0" applyNumberFormat="1" applyFont="1" applyFill="1" applyBorder="1"/>
    <xf numFmtId="41" fontId="14" fillId="30" borderId="23" xfId="0" applyNumberFormat="1" applyFont="1" applyFill="1" applyBorder="1"/>
    <xf numFmtId="41" fontId="13" fillId="28" borderId="18" xfId="0" applyNumberFormat="1" applyFont="1" applyFill="1" applyBorder="1"/>
    <xf numFmtId="41" fontId="41" fillId="65" borderId="0" xfId="410" applyNumberFormat="1" applyFont="1" applyFill="1"/>
    <xf numFmtId="41" fontId="42" fillId="65" borderId="0" xfId="410" applyNumberFormat="1" applyFont="1" applyFill="1"/>
    <xf numFmtId="0" fontId="41" fillId="65" borderId="0" xfId="0" applyFont="1" applyFill="1"/>
    <xf numFmtId="3" fontId="41" fillId="65" borderId="0" xfId="0" applyNumberFormat="1" applyFont="1" applyFill="1"/>
    <xf numFmtId="0" fontId="41" fillId="65" borderId="24" xfId="0" applyFont="1" applyFill="1" applyBorder="1"/>
    <xf numFmtId="41" fontId="41" fillId="65" borderId="22" xfId="410" applyNumberFormat="1" applyFont="1" applyFill="1" applyBorder="1"/>
    <xf numFmtId="41" fontId="42" fillId="65" borderId="22" xfId="410" applyNumberFormat="1" applyFont="1" applyFill="1" applyBorder="1"/>
    <xf numFmtId="41" fontId="15" fillId="28" borderId="18" xfId="0" applyNumberFormat="1" applyFont="1" applyFill="1" applyBorder="1" applyAlignment="1">
      <alignment horizontal="right"/>
    </xf>
    <xf numFmtId="14" fontId="13" fillId="29" borderId="12" xfId="0" applyNumberFormat="1" applyFont="1" applyFill="1" applyBorder="1" applyAlignment="1">
      <alignment horizontal="center"/>
    </xf>
    <xf numFmtId="14" fontId="13" fillId="29" borderId="49" xfId="0" applyNumberFormat="1" applyFont="1" applyFill="1" applyBorder="1" applyAlignment="1">
      <alignment horizontal="center"/>
    </xf>
    <xf numFmtId="0" fontId="147" fillId="0" borderId="0" xfId="326" quotePrefix="1" applyFont="1" applyAlignment="1">
      <alignment horizontal="right"/>
    </xf>
    <xf numFmtId="0" fontId="148" fillId="0" borderId="0" xfId="326" applyFont="1" applyAlignment="1">
      <alignment horizontal="right" wrapText="1"/>
    </xf>
    <xf numFmtId="0" fontId="148" fillId="0" borderId="0" xfId="326" applyFont="1" applyAlignment="1">
      <alignment horizontal="right" vertical="center" wrapText="1"/>
    </xf>
    <xf numFmtId="0" fontId="141" fillId="0" borderId="0" xfId="326" applyFont="1" applyAlignment="1">
      <alignment horizontal="center" vertical="center" wrapText="1"/>
    </xf>
    <xf numFmtId="0" fontId="143" fillId="0" borderId="0" xfId="326" applyFont="1" applyAlignment="1">
      <alignment horizontal="center" vertical="center" wrapText="1"/>
    </xf>
    <xf numFmtId="41" fontId="143" fillId="0" borderId="0" xfId="326" applyNumberFormat="1" applyFont="1" applyAlignment="1">
      <alignment horizontal="right" vertical="center" wrapText="1"/>
    </xf>
    <xf numFmtId="0" fontId="149" fillId="0" borderId="0" xfId="326" applyFont="1" applyAlignment="1">
      <alignment horizontal="center" vertical="center" wrapText="1"/>
    </xf>
    <xf numFmtId="0" fontId="143" fillId="0" borderId="44" xfId="326" applyFont="1" applyBorder="1" applyAlignment="1">
      <alignment horizontal="center" vertical="center" wrapText="1"/>
    </xf>
    <xf numFmtId="41" fontId="143" fillId="0" borderId="44" xfId="326" applyNumberFormat="1" applyFont="1" applyBorder="1" applyAlignment="1">
      <alignment horizontal="right" vertical="center" wrapText="1"/>
    </xf>
    <xf numFmtId="41" fontId="141" fillId="0" borderId="0" xfId="326" applyNumberFormat="1" applyFont="1" applyAlignment="1">
      <alignment horizontal="right" vertical="center" wrapText="1"/>
    </xf>
    <xf numFmtId="0" fontId="141" fillId="0" borderId="44" xfId="326" applyFont="1" applyBorder="1" applyAlignment="1">
      <alignment horizontal="center" vertical="center" wrapText="1"/>
    </xf>
    <xf numFmtId="41" fontId="141" fillId="0" borderId="44" xfId="326" applyNumberFormat="1" applyFont="1" applyBorder="1" applyAlignment="1">
      <alignment horizontal="right" vertical="center" wrapText="1"/>
    </xf>
    <xf numFmtId="0" fontId="141" fillId="0" borderId="47" xfId="326" applyFont="1" applyBorder="1" applyAlignment="1">
      <alignment horizontal="center" vertical="center" wrapText="1"/>
    </xf>
    <xf numFmtId="41" fontId="141" fillId="0" borderId="47" xfId="326" applyNumberFormat="1" applyFont="1" applyBorder="1" applyAlignment="1">
      <alignment horizontal="right" vertical="center" wrapText="1"/>
    </xf>
    <xf numFmtId="0" fontId="150" fillId="0" borderId="73" xfId="326" applyFont="1" applyBorder="1" applyAlignment="1"/>
    <xf numFmtId="0" fontId="149" fillId="0" borderId="46" xfId="326" applyFont="1" applyBorder="1" applyAlignment="1">
      <alignment horizontal="center" vertical="center" wrapText="1"/>
    </xf>
    <xf numFmtId="0" fontId="149" fillId="0" borderId="45" xfId="326" applyFont="1" applyBorder="1" applyAlignment="1">
      <alignment horizontal="center" vertical="center" wrapText="1"/>
    </xf>
    <xf numFmtId="41" fontId="13" fillId="65" borderId="0" xfId="410" applyNumberFormat="1" applyFont="1" applyFill="1"/>
    <xf numFmtId="41" fontId="14" fillId="65" borderId="0" xfId="410" applyNumberFormat="1" applyFont="1" applyFill="1"/>
    <xf numFmtId="41" fontId="14" fillId="65" borderId="22" xfId="410" applyNumberFormat="1" applyFont="1" applyFill="1" applyBorder="1"/>
    <xf numFmtId="41" fontId="40" fillId="65" borderId="0" xfId="410" applyNumberFormat="1" applyFont="1" applyFill="1"/>
    <xf numFmtId="41" fontId="40" fillId="65" borderId="22" xfId="410" applyNumberFormat="1" applyFont="1" applyFill="1" applyBorder="1"/>
    <xf numFmtId="41" fontId="14" fillId="66" borderId="0" xfId="410" applyNumberFormat="1" applyFont="1" applyFill="1"/>
    <xf numFmtId="41" fontId="14" fillId="66" borderId="22" xfId="410" applyNumberFormat="1" applyFont="1" applyFill="1" applyBorder="1"/>
    <xf numFmtId="41" fontId="13" fillId="65" borderId="21" xfId="410" applyNumberFormat="1" applyFont="1" applyFill="1" applyBorder="1"/>
    <xf numFmtId="41" fontId="13" fillId="65" borderId="0" xfId="410" applyNumberFormat="1" applyFont="1" applyFill="1" applyBorder="1"/>
    <xf numFmtId="41" fontId="40" fillId="65" borderId="21" xfId="410" applyNumberFormat="1" applyFont="1" applyFill="1" applyBorder="1"/>
    <xf numFmtId="41" fontId="40" fillId="65" borderId="0" xfId="410" applyNumberFormat="1" applyFont="1" applyFill="1" applyBorder="1"/>
    <xf numFmtId="167" fontId="85" fillId="28" borderId="0" xfId="303" applyNumberFormat="1" applyFont="1" applyFill="1" applyAlignment="1" applyProtection="1">
      <alignment horizontal="left" vertical="top" wrapText="1"/>
      <protection locked="0"/>
    </xf>
    <xf numFmtId="0" fontId="13" fillId="28" borderId="0" xfId="0" applyFont="1" applyFill="1"/>
    <xf numFmtId="0" fontId="55" fillId="5" borderId="31" xfId="100" applyNumberFormat="1" applyFont="1" applyBorder="1" applyAlignment="1" applyProtection="1">
      <alignment horizontal="center"/>
    </xf>
    <xf numFmtId="0" fontId="13" fillId="28" borderId="31" xfId="409" applyNumberFormat="1" applyFont="1" applyFill="1" applyBorder="1" applyAlignment="1" applyProtection="1">
      <alignment horizontal="left"/>
    </xf>
    <xf numFmtId="167" fontId="13" fillId="28" borderId="31" xfId="409" applyFont="1" applyFill="1" applyBorder="1" applyAlignment="1" applyProtection="1"/>
    <xf numFmtId="167" fontId="13" fillId="28" borderId="31" xfId="409" applyFont="1" applyFill="1" applyBorder="1" applyAlignment="1" applyProtection="1">
      <alignment horizontal="center"/>
    </xf>
    <xf numFmtId="41" fontId="13" fillId="28" borderId="31" xfId="409" applyNumberFormat="1" applyFont="1" applyFill="1" applyBorder="1" applyAlignment="1" applyProtection="1"/>
    <xf numFmtId="0" fontId="13" fillId="28" borderId="31" xfId="409" applyNumberFormat="1" applyFont="1" applyFill="1" applyBorder="1" applyAlignment="1" applyProtection="1"/>
    <xf numFmtId="43" fontId="13" fillId="28" borderId="0" xfId="249" applyFont="1" applyFill="1"/>
    <xf numFmtId="167" fontId="13" fillId="67" borderId="31" xfId="409" applyFont="1" applyFill="1" applyBorder="1" applyAlignment="1" applyProtection="1"/>
    <xf numFmtId="0" fontId="151" fillId="28" borderId="0" xfId="0" applyNumberFormat="1" applyFont="1" applyFill="1" applyAlignment="1">
      <alignment horizontal="center"/>
    </xf>
    <xf numFmtId="0" fontId="151" fillId="28" borderId="0" xfId="386" applyNumberFormat="1" applyFont="1" applyFill="1" applyBorder="1" applyAlignment="1">
      <alignment horizontal="center"/>
    </xf>
    <xf numFmtId="167" fontId="67" fillId="28" borderId="0" xfId="409" applyFont="1" applyFill="1" applyAlignment="1" applyProtection="1">
      <alignment horizontal="left"/>
    </xf>
    <xf numFmtId="167" fontId="57" fillId="28" borderId="0" xfId="386" applyFont="1" applyFill="1" applyBorder="1"/>
    <xf numFmtId="167" fontId="55" fillId="28" borderId="0" xfId="386" applyFont="1" applyFill="1" applyBorder="1"/>
    <xf numFmtId="0" fontId="55" fillId="28" borderId="0" xfId="386" applyNumberFormat="1" applyFont="1" applyFill="1" applyBorder="1"/>
    <xf numFmtId="15" fontId="67" fillId="28" borderId="0" xfId="409" applyNumberFormat="1" applyFont="1" applyFill="1" applyAlignment="1" applyProtection="1">
      <alignment horizontal="left"/>
    </xf>
    <xf numFmtId="167" fontId="67" fillId="28" borderId="0" xfId="386" applyFont="1" applyFill="1" applyBorder="1"/>
    <xf numFmtId="0" fontId="152" fillId="53" borderId="31" xfId="221" applyFont="1" applyBorder="1" applyAlignment="1">
      <alignment horizontal="left"/>
    </xf>
    <xf numFmtId="0" fontId="152" fillId="53" borderId="31" xfId="221" applyFont="1" applyBorder="1"/>
    <xf numFmtId="0" fontId="152" fillId="53" borderId="50" xfId="221" applyFont="1" applyBorder="1"/>
    <xf numFmtId="168" fontId="152" fillId="53" borderId="31" xfId="221" applyNumberFormat="1" applyFont="1" applyBorder="1" applyAlignment="1">
      <alignment horizontal="center"/>
    </xf>
    <xf numFmtId="0" fontId="151" fillId="65" borderId="0" xfId="386" applyNumberFormat="1" applyFont="1" applyFill="1" applyBorder="1" applyAlignment="1">
      <alignment horizontal="center"/>
    </xf>
    <xf numFmtId="0" fontId="151" fillId="67" borderId="0" xfId="386" applyNumberFormat="1" applyFont="1" applyFill="1" applyBorder="1" applyAlignment="1">
      <alignment horizontal="center"/>
    </xf>
    <xf numFmtId="0" fontId="151" fillId="68" borderId="0" xfId="386" applyNumberFormat="1" applyFont="1" applyFill="1" applyBorder="1" applyAlignment="1">
      <alignment horizontal="center"/>
    </xf>
    <xf numFmtId="0" fontId="151" fillId="28" borderId="0" xfId="409" applyNumberFormat="1" applyFont="1" applyFill="1" applyAlignment="1">
      <alignment horizontal="center" vertical="top" wrapText="1"/>
      <protection locked="0"/>
    </xf>
    <xf numFmtId="167" fontId="13" fillId="28" borderId="0" xfId="409" applyFont="1" applyFill="1">
      <alignment horizontal="left" vertical="top" wrapText="1"/>
      <protection locked="0"/>
    </xf>
    <xf numFmtId="41" fontId="55" fillId="28" borderId="0" xfId="386" applyNumberFormat="1" applyFont="1" applyFill="1" applyBorder="1"/>
    <xf numFmtId="4" fontId="55" fillId="28" borderId="0" xfId="386" applyNumberFormat="1" applyFont="1" applyFill="1" applyBorder="1"/>
    <xf numFmtId="43" fontId="57" fillId="28" borderId="0" xfId="267" applyFont="1" applyFill="1" applyBorder="1"/>
    <xf numFmtId="168" fontId="153" fillId="28" borderId="0" xfId="249" applyNumberFormat="1" applyFont="1" applyFill="1" applyAlignment="1" applyProtection="1">
      <alignment horizontal="left" vertical="top" wrapText="1"/>
      <protection locked="0"/>
    </xf>
    <xf numFmtId="167" fontId="153" fillId="28" borderId="0" xfId="409" applyFont="1" applyFill="1">
      <alignment horizontal="left" vertical="top" wrapText="1"/>
      <protection locked="0"/>
    </xf>
    <xf numFmtId="167" fontId="87" fillId="69" borderId="0" xfId="409" applyFont="1" applyFill="1">
      <alignment horizontal="left" vertical="top" wrapText="1"/>
      <protection locked="0"/>
    </xf>
    <xf numFmtId="168" fontId="87" fillId="69" borderId="0" xfId="249" applyNumberFormat="1" applyFont="1" applyFill="1" applyAlignment="1" applyProtection="1">
      <alignment horizontal="left" vertical="top" wrapText="1"/>
      <protection locked="0"/>
    </xf>
    <xf numFmtId="41" fontId="87" fillId="28" borderId="0" xfId="0" applyNumberFormat="1" applyFont="1" applyFill="1" applyBorder="1"/>
    <xf numFmtId="41" fontId="40" fillId="28" borderId="24" xfId="0" applyNumberFormat="1" applyFont="1" applyFill="1" applyBorder="1"/>
    <xf numFmtId="41" fontId="40" fillId="28" borderId="29" xfId="0" applyNumberFormat="1" applyFont="1" applyFill="1" applyBorder="1"/>
    <xf numFmtId="14" fontId="14" fillId="29" borderId="30" xfId="0" applyNumberFormat="1" applyFont="1" applyFill="1" applyBorder="1" applyAlignment="1">
      <alignment horizontal="center" wrapText="1"/>
    </xf>
    <xf numFmtId="41" fontId="154" fillId="28" borderId="0" xfId="0" applyNumberFormat="1" applyFont="1" applyFill="1"/>
    <xf numFmtId="41" fontId="13" fillId="28" borderId="51" xfId="0" applyNumberFormat="1" applyFont="1" applyFill="1" applyBorder="1"/>
    <xf numFmtId="41" fontId="13" fillId="28" borderId="7" xfId="0" applyNumberFormat="1" applyFont="1" applyFill="1" applyBorder="1"/>
    <xf numFmtId="41" fontId="14" fillId="28" borderId="7" xfId="0" applyNumberFormat="1" applyFont="1" applyFill="1" applyBorder="1"/>
    <xf numFmtId="41" fontId="87" fillId="28" borderId="7" xfId="0" applyNumberFormat="1" applyFont="1" applyFill="1" applyBorder="1"/>
    <xf numFmtId="41" fontId="40" fillId="28" borderId="52" xfId="0" applyNumberFormat="1" applyFont="1" applyFill="1" applyBorder="1"/>
    <xf numFmtId="3" fontId="13" fillId="29" borderId="49" xfId="0" applyNumberFormat="1" applyFont="1" applyFill="1" applyBorder="1"/>
    <xf numFmtId="3" fontId="14" fillId="29" borderId="53" xfId="0" applyNumberFormat="1" applyFont="1" applyFill="1" applyBorder="1" applyAlignment="1">
      <alignment horizontal="left"/>
    </xf>
    <xf numFmtId="14" fontId="13" fillId="29" borderId="54" xfId="0" applyNumberFormat="1" applyFont="1" applyFill="1" applyBorder="1" applyAlignment="1">
      <alignment horizontal="center"/>
    </xf>
    <xf numFmtId="3" fontId="14" fillId="29" borderId="55" xfId="0" applyNumberFormat="1" applyFont="1" applyFill="1" applyBorder="1" applyAlignment="1">
      <alignment horizontal="center"/>
    </xf>
    <xf numFmtId="41" fontId="15" fillId="28" borderId="51" xfId="0" applyNumberFormat="1" applyFont="1" applyFill="1" applyBorder="1" applyAlignment="1">
      <alignment horizontal="right"/>
    </xf>
    <xf numFmtId="41" fontId="13" fillId="28" borderId="7" xfId="0" applyNumberFormat="1" applyFont="1" applyFill="1" applyBorder="1" applyAlignment="1"/>
    <xf numFmtId="41" fontId="14" fillId="30" borderId="7" xfId="0" applyNumberFormat="1" applyFont="1" applyFill="1" applyBorder="1"/>
    <xf numFmtId="41" fontId="14" fillId="30" borderId="52" xfId="0" applyNumberFormat="1" applyFont="1" applyFill="1" applyBorder="1"/>
    <xf numFmtId="167" fontId="51" fillId="65" borderId="20" xfId="303" applyNumberFormat="1" applyFont="1" applyFill="1" applyBorder="1" applyAlignment="1" applyProtection="1">
      <alignment horizontal="left" vertical="top" wrapText="1"/>
      <protection locked="0"/>
    </xf>
    <xf numFmtId="3" fontId="42" fillId="65" borderId="23" xfId="410" applyNumberFormat="1" applyFont="1" applyFill="1" applyBorder="1" applyAlignment="1">
      <alignment horizontal="center" wrapText="1"/>
    </xf>
    <xf numFmtId="3" fontId="42" fillId="65" borderId="24" xfId="410" applyNumberFormat="1" applyFont="1" applyFill="1" applyBorder="1" applyAlignment="1">
      <alignment horizontal="center" wrapText="1"/>
    </xf>
    <xf numFmtId="3" fontId="42" fillId="65" borderId="29" xfId="410" applyNumberFormat="1" applyFont="1" applyFill="1" applyBorder="1" applyAlignment="1">
      <alignment horizontal="center"/>
    </xf>
    <xf numFmtId="41" fontId="87" fillId="28" borderId="21" xfId="0" applyNumberFormat="1" applyFont="1" applyFill="1" applyBorder="1"/>
    <xf numFmtId="41" fontId="40" fillId="28" borderId="23" xfId="0" applyNumberFormat="1" applyFont="1" applyFill="1" applyBorder="1"/>
    <xf numFmtId="41" fontId="15" fillId="28" borderId="7" xfId="0" applyNumberFormat="1" applyFont="1" applyFill="1" applyBorder="1"/>
    <xf numFmtId="3" fontId="15" fillId="28" borderId="52" xfId="0" applyNumberFormat="1" applyFont="1" applyFill="1" applyBorder="1"/>
    <xf numFmtId="41" fontId="41" fillId="65" borderId="0" xfId="0" applyNumberFormat="1" applyFont="1" applyFill="1"/>
    <xf numFmtId="41" fontId="40" fillId="65" borderId="29" xfId="0" applyNumberFormat="1" applyFont="1" applyFill="1" applyBorder="1"/>
    <xf numFmtId="169" fontId="155" fillId="28" borderId="0" xfId="324" applyNumberFormat="1" applyFont="1" applyFill="1" applyBorder="1" applyAlignment="1" applyProtection="1">
      <alignment horizontal="left" wrapText="1"/>
    </xf>
    <xf numFmtId="169" fontId="86" fillId="28" borderId="0" xfId="324" applyNumberFormat="1" applyFont="1" applyFill="1" applyBorder="1" applyAlignment="1" applyProtection="1">
      <alignment horizontal="left" wrapText="1"/>
    </xf>
    <xf numFmtId="41" fontId="86" fillId="28" borderId="0" xfId="324" applyNumberFormat="1" applyFont="1" applyFill="1" applyBorder="1" applyAlignment="1" applyProtection="1"/>
    <xf numFmtId="41" fontId="155" fillId="28" borderId="0" xfId="324" applyNumberFormat="1" applyFont="1" applyFill="1" applyBorder="1" applyAlignment="1" applyProtection="1">
      <alignment horizontal="left" wrapText="1"/>
    </xf>
    <xf numFmtId="41" fontId="55" fillId="65" borderId="0" xfId="324" applyNumberFormat="1" applyFont="1" applyFill="1" applyBorder="1" applyAlignment="1" applyProtection="1"/>
    <xf numFmtId="169" fontId="57" fillId="28" borderId="0" xfId="324" applyNumberFormat="1" applyFont="1" applyFill="1" applyBorder="1" applyAlignment="1" applyProtection="1"/>
    <xf numFmtId="10" fontId="132" fillId="28" borderId="0" xfId="453" applyNumberFormat="1" applyFont="1" applyFill="1" applyBorder="1" applyAlignment="1" applyProtection="1"/>
    <xf numFmtId="43" fontId="46" fillId="28" borderId="0" xfId="249" applyFont="1" applyFill="1" applyBorder="1" applyAlignment="1" applyProtection="1"/>
    <xf numFmtId="168" fontId="46" fillId="28" borderId="0" xfId="249" applyNumberFormat="1" applyFont="1" applyFill="1" applyBorder="1" applyAlignment="1" applyProtection="1"/>
    <xf numFmtId="1" fontId="132" fillId="28" borderId="0" xfId="405" applyNumberFormat="1" applyFont="1" applyFill="1" applyBorder="1" applyAlignment="1" applyProtection="1">
      <alignment horizontal="center"/>
    </xf>
    <xf numFmtId="1" fontId="131" fillId="31" borderId="0" xfId="0" applyNumberFormat="1" applyFont="1" applyFill="1" applyAlignment="1">
      <alignment horizontal="center"/>
    </xf>
    <xf numFmtId="1" fontId="132" fillId="26" borderId="0" xfId="404" applyNumberFormat="1" applyFont="1" applyFill="1" applyBorder="1" applyAlignment="1" applyProtection="1">
      <alignment horizontal="center"/>
    </xf>
    <xf numFmtId="1" fontId="133" fillId="28" borderId="0" xfId="405" applyNumberFormat="1" applyFont="1" applyFill="1" applyBorder="1" applyAlignment="1" applyProtection="1">
      <alignment horizontal="center"/>
    </xf>
    <xf numFmtId="1" fontId="134" fillId="0" borderId="0" xfId="0" applyNumberFormat="1" applyFont="1" applyFill="1" applyBorder="1" applyAlignment="1" applyProtection="1">
      <alignment horizontal="center" vertical="top" wrapText="1"/>
      <protection locked="0"/>
    </xf>
    <xf numFmtId="169" fontId="132" fillId="65" borderId="0" xfId="405" applyNumberFormat="1" applyFont="1" applyFill="1" applyBorder="1" applyAlignment="1" applyProtection="1">
      <alignment horizontal="left" wrapText="1"/>
    </xf>
    <xf numFmtId="3" fontId="154" fillId="28" borderId="0" xfId="0" applyNumberFormat="1" applyFont="1" applyFill="1"/>
    <xf numFmtId="41" fontId="153" fillId="65" borderId="0" xfId="0" applyNumberFormat="1" applyFont="1" applyFill="1"/>
    <xf numFmtId="3" fontId="156" fillId="28" borderId="0" xfId="0" applyNumberFormat="1" applyFont="1" applyFill="1" applyAlignment="1">
      <alignment horizontal="right"/>
    </xf>
    <xf numFmtId="41" fontId="42" fillId="66" borderId="24" xfId="410" applyNumberFormat="1" applyFont="1" applyFill="1" applyBorder="1"/>
    <xf numFmtId="0" fontId="150" fillId="0" borderId="0" xfId="326" applyFont="1" applyBorder="1" applyAlignment="1"/>
    <xf numFmtId="0" fontId="143" fillId="0" borderId="0" xfId="326" applyFont="1" applyBorder="1" applyAlignment="1">
      <alignment vertical="center" wrapText="1"/>
    </xf>
    <xf numFmtId="0" fontId="144" fillId="0" borderId="0" xfId="326" applyFont="1" applyBorder="1" applyAlignment="1"/>
    <xf numFmtId="0" fontId="143" fillId="0" borderId="0" xfId="326" applyFont="1" applyBorder="1" applyAlignment="1">
      <alignment horizontal="center" vertical="center" wrapText="1"/>
    </xf>
    <xf numFmtId="14" fontId="132" fillId="28" borderId="0" xfId="405" applyNumberFormat="1" applyFont="1" applyFill="1" applyBorder="1" applyAlignment="1" applyProtection="1"/>
    <xf numFmtId="169" fontId="132" fillId="28" borderId="0" xfId="405" applyNumberFormat="1" applyFont="1" applyFill="1" applyBorder="1" applyAlignment="1" applyProtection="1">
      <alignment horizontal="center"/>
    </xf>
    <xf numFmtId="169" fontId="46" fillId="28" borderId="0" xfId="405" applyNumberFormat="1" applyFont="1" applyFill="1" applyBorder="1" applyAlignment="1" applyProtection="1">
      <alignment horizontal="center"/>
    </xf>
    <xf numFmtId="3" fontId="14" fillId="70" borderId="0" xfId="0" applyNumberFormat="1" applyFont="1" applyFill="1"/>
    <xf numFmtId="41" fontId="144" fillId="0" borderId="0" xfId="326" applyNumberFormat="1" applyFont="1" applyAlignment="1">
      <alignment horizontal="right" vertical="center" wrapText="1"/>
    </xf>
    <xf numFmtId="41" fontId="141" fillId="0" borderId="46" xfId="326" applyNumberFormat="1" applyFont="1" applyBorder="1" applyAlignment="1">
      <alignment horizontal="right" vertical="center" wrapText="1"/>
    </xf>
    <xf numFmtId="41" fontId="143" fillId="0" borderId="0" xfId="326" applyNumberFormat="1" applyFont="1" applyBorder="1" applyAlignment="1">
      <alignment horizontal="right" vertical="center" wrapText="1"/>
    </xf>
    <xf numFmtId="41" fontId="144" fillId="0" borderId="0" xfId="326" applyNumberFormat="1" applyFont="1" applyBorder="1" applyAlignment="1">
      <alignment horizontal="right" vertical="center" wrapText="1"/>
    </xf>
    <xf numFmtId="41" fontId="144" fillId="0" borderId="44" xfId="326" applyNumberFormat="1" applyFont="1" applyBorder="1" applyAlignment="1">
      <alignment horizontal="right" vertical="center" wrapText="1"/>
    </xf>
    <xf numFmtId="41" fontId="141" fillId="0" borderId="45" xfId="326" applyNumberFormat="1" applyFont="1" applyBorder="1" applyAlignment="1">
      <alignment horizontal="right" vertical="center" wrapText="1"/>
    </xf>
    <xf numFmtId="41" fontId="157" fillId="0" borderId="0" xfId="326" applyNumberFormat="1" applyFont="1"/>
    <xf numFmtId="0" fontId="143" fillId="0" borderId="47" xfId="326" applyFont="1" applyBorder="1"/>
    <xf numFmtId="0" fontId="141" fillId="0" borderId="47" xfId="326" applyFont="1" applyBorder="1" applyAlignment="1"/>
    <xf numFmtId="41" fontId="158" fillId="0" borderId="47" xfId="326" applyNumberFormat="1" applyFont="1" applyBorder="1" applyAlignment="1">
      <alignment horizontal="right" wrapText="1"/>
    </xf>
    <xf numFmtId="167" fontId="48" fillId="28" borderId="0" xfId="395" applyNumberFormat="1" applyFont="1" applyFill="1">
      <alignment horizontal="left" vertical="top" wrapText="1"/>
      <protection locked="0"/>
    </xf>
    <xf numFmtId="0" fontId="159" fillId="0" borderId="0" xfId="326" applyFont="1" applyAlignment="1">
      <alignment horizontal="center" vertical="center" wrapText="1"/>
    </xf>
    <xf numFmtId="169" fontId="10" fillId="0" borderId="0" xfId="403" applyNumberFormat="1" applyFont="1" applyFill="1" applyBorder="1" applyAlignment="1" applyProtection="1"/>
    <xf numFmtId="41" fontId="49" fillId="0" borderId="0" xfId="403" applyNumberFormat="1" applyFont="1" applyFill="1" applyBorder="1" applyAlignment="1" applyProtection="1"/>
    <xf numFmtId="41" fontId="52" fillId="0" borderId="0" xfId="403" applyNumberFormat="1" applyFont="1" applyFill="1" applyBorder="1" applyAlignment="1" applyProtection="1"/>
    <xf numFmtId="169" fontId="1" fillId="0" borderId="0" xfId="403" applyNumberFormat="1" applyFont="1" applyFill="1" applyBorder="1" applyAlignment="1" applyProtection="1"/>
    <xf numFmtId="0" fontId="1" fillId="0" borderId="0" xfId="403" applyNumberFormat="1" applyFont="1" applyFill="1" applyBorder="1" applyAlignment="1" applyProtection="1"/>
    <xf numFmtId="168" fontId="1" fillId="0" borderId="0" xfId="249" applyNumberFormat="1" applyFont="1" applyFill="1" applyBorder="1" applyAlignment="1" applyProtection="1"/>
    <xf numFmtId="43" fontId="1" fillId="0" borderId="0" xfId="249" applyFont="1" applyFill="1" applyBorder="1" applyAlignment="1" applyProtection="1"/>
    <xf numFmtId="0" fontId="1" fillId="0" borderId="0" xfId="403" applyNumberFormat="1" applyFont="1" applyFill="1" applyBorder="1" applyAlignment="1" applyProtection="1">
      <alignment horizontal="left"/>
    </xf>
    <xf numFmtId="169" fontId="1" fillId="0" borderId="0" xfId="403" applyNumberFormat="1" applyFont="1" applyFill="1" applyBorder="1" applyAlignment="1" applyProtection="1">
      <alignment horizontal="right"/>
    </xf>
    <xf numFmtId="41" fontId="1" fillId="0" borderId="0" xfId="403" applyNumberFormat="1" applyFont="1" applyFill="1" applyBorder="1" applyAlignment="1" applyProtection="1"/>
    <xf numFmtId="168" fontId="1" fillId="0" borderId="0" xfId="403" applyNumberFormat="1" applyFont="1" applyFill="1" applyBorder="1" applyAlignment="1" applyProtection="1"/>
    <xf numFmtId="43" fontId="1" fillId="0" borderId="0" xfId="275" applyFont="1" applyFill="1" applyBorder="1" applyAlignment="1" applyProtection="1"/>
    <xf numFmtId="37" fontId="1" fillId="0" borderId="0" xfId="403" applyNumberFormat="1" applyFont="1" applyFill="1" applyBorder="1" applyAlignment="1" applyProtection="1"/>
    <xf numFmtId="41" fontId="1" fillId="0" borderId="0" xfId="403" applyNumberFormat="1" applyFont="1" applyFill="1" applyBorder="1" applyAlignment="1" applyProtection="1">
      <alignment horizontal="left" indent="3"/>
    </xf>
    <xf numFmtId="169" fontId="54" fillId="0" borderId="0" xfId="403" applyNumberFormat="1" applyFont="1" applyFill="1" applyBorder="1" applyAlignment="1" applyProtection="1"/>
    <xf numFmtId="3" fontId="1" fillId="0" borderId="0" xfId="403" applyNumberFormat="1" applyFont="1" applyFill="1" applyBorder="1" applyAlignment="1" applyProtection="1"/>
    <xf numFmtId="43" fontId="1" fillId="0" borderId="0" xfId="403" applyNumberFormat="1" applyFont="1" applyFill="1" applyBorder="1" applyAlignment="1" applyProtection="1"/>
    <xf numFmtId="0" fontId="49" fillId="0" borderId="0" xfId="0" applyFont="1" applyFill="1"/>
    <xf numFmtId="169" fontId="7" fillId="0" borderId="0" xfId="403" applyNumberFormat="1" applyFont="1" applyFill="1" applyBorder="1" applyAlignment="1" applyProtection="1">
      <alignment horizontal="center"/>
    </xf>
    <xf numFmtId="0" fontId="52" fillId="0" borderId="0" xfId="0" applyFont="1" applyFill="1"/>
    <xf numFmtId="0" fontId="49" fillId="31" borderId="0" xfId="0" applyFont="1" applyFill="1"/>
    <xf numFmtId="169" fontId="49" fillId="0" borderId="0" xfId="408" applyNumberFormat="1" applyFont="1" applyFill="1"/>
    <xf numFmtId="169" fontId="48" fillId="26" borderId="0" xfId="408" applyNumberFormat="1" applyFont="1" applyFill="1"/>
    <xf numFmtId="169" fontId="50" fillId="26" borderId="0" xfId="408" applyNumberFormat="1" applyFont="1" applyFill="1"/>
    <xf numFmtId="169" fontId="52" fillId="0" borderId="0" xfId="408" applyNumberFormat="1" applyFont="1" applyFill="1"/>
    <xf numFmtId="169" fontId="10" fillId="0" borderId="47" xfId="403" applyNumberFormat="1" applyFont="1" applyFill="1" applyBorder="1" applyAlignment="1" applyProtection="1">
      <alignment horizontal="center"/>
    </xf>
    <xf numFmtId="0" fontId="60" fillId="0" borderId="0" xfId="403" applyNumberFormat="1" applyFont="1" applyFill="1" applyBorder="1" applyAlignment="1" applyProtection="1">
      <alignment horizontal="right" wrapText="1"/>
    </xf>
    <xf numFmtId="168" fontId="10" fillId="0" borderId="0" xfId="249" applyNumberFormat="1" applyFont="1" applyFill="1" applyBorder="1" applyAlignment="1" applyProtection="1"/>
    <xf numFmtId="171" fontId="10" fillId="0" borderId="0" xfId="403" applyNumberFormat="1" applyFont="1" applyFill="1" applyBorder="1" applyAlignment="1" applyProtection="1">
      <alignment horizontal="right"/>
    </xf>
    <xf numFmtId="169" fontId="10" fillId="0" borderId="0" xfId="403" applyNumberFormat="1" applyFont="1" applyFill="1" applyBorder="1" applyAlignment="1" applyProtection="1">
      <alignment horizontal="right"/>
    </xf>
    <xf numFmtId="41" fontId="52" fillId="0" borderId="0" xfId="0" applyNumberFormat="1" applyFont="1" applyFill="1" applyBorder="1" applyAlignment="1" applyProtection="1">
      <alignment horizontal="left" vertical="top" wrapText="1"/>
      <protection locked="0"/>
    </xf>
    <xf numFmtId="41" fontId="52" fillId="0" borderId="43" xfId="0" applyNumberFormat="1" applyFont="1" applyFill="1" applyBorder="1" applyAlignment="1" applyProtection="1">
      <alignment horizontal="left" vertical="top" wrapText="1"/>
      <protection locked="0"/>
    </xf>
    <xf numFmtId="37" fontId="10" fillId="0" borderId="0" xfId="403" applyNumberFormat="1" applyFont="1" applyFill="1" applyBorder="1" applyAlignment="1" applyProtection="1"/>
    <xf numFmtId="171" fontId="10" fillId="0" borderId="0" xfId="403" quotePrefix="1" applyNumberFormat="1" applyFont="1" applyFill="1" applyBorder="1" applyAlignment="1" applyProtection="1">
      <alignment horizontal="right"/>
    </xf>
    <xf numFmtId="169" fontId="1" fillId="0" borderId="0" xfId="403" applyNumberFormat="1" applyFont="1" applyFill="1" applyBorder="1" applyAlignment="1" applyProtection="1">
      <alignment horizontal="left" indent="3"/>
    </xf>
    <xf numFmtId="41" fontId="52" fillId="0" borderId="43" xfId="0" applyNumberFormat="1" applyFont="1" applyFill="1" applyBorder="1" applyAlignment="1" applyProtection="1">
      <alignment horizontal="right" vertical="top" wrapText="1"/>
      <protection locked="0"/>
    </xf>
    <xf numFmtId="41" fontId="54" fillId="0" borderId="0" xfId="403" applyNumberFormat="1" applyFont="1" applyFill="1" applyBorder="1" applyAlignment="1" applyProtection="1">
      <alignment horizontal="right"/>
    </xf>
    <xf numFmtId="169" fontId="54" fillId="0" borderId="0" xfId="403" applyNumberFormat="1" applyFont="1" applyFill="1" applyBorder="1" applyAlignment="1" applyProtection="1">
      <alignment horizontal="right"/>
    </xf>
    <xf numFmtId="37" fontId="1" fillId="0" borderId="24" xfId="403" applyNumberFormat="1" applyFont="1" applyFill="1" applyBorder="1" applyAlignment="1" applyProtection="1"/>
    <xf numFmtId="169" fontId="1" fillId="0" borderId="0" xfId="403" applyNumberFormat="1" applyFont="1" applyFill="1" applyBorder="1" applyAlignment="1" applyProtection="1">
      <alignment horizontal="left" indent="2"/>
    </xf>
    <xf numFmtId="3" fontId="49" fillId="0" borderId="0" xfId="401" applyNumberFormat="1" applyFont="1"/>
    <xf numFmtId="169" fontId="69" fillId="0" borderId="0" xfId="403" applyNumberFormat="1" applyFont="1" applyFill="1" applyBorder="1" applyAlignment="1" applyProtection="1"/>
    <xf numFmtId="168" fontId="10" fillId="0" borderId="43" xfId="249" applyNumberFormat="1" applyFont="1" applyFill="1" applyBorder="1" applyAlignment="1" applyProtection="1"/>
    <xf numFmtId="168" fontId="49" fillId="0" borderId="0" xfId="249" applyNumberFormat="1" applyFont="1" applyFill="1" applyBorder="1" applyAlignment="1" applyProtection="1"/>
    <xf numFmtId="37" fontId="49" fillId="0" borderId="0" xfId="403" applyNumberFormat="1" applyFont="1" applyFill="1" applyBorder="1" applyAlignment="1" applyProtection="1"/>
    <xf numFmtId="169" fontId="60" fillId="0" borderId="0" xfId="403" applyNumberFormat="1" applyFont="1" applyFill="1" applyBorder="1" applyAlignment="1" applyProtection="1"/>
    <xf numFmtId="3" fontId="49" fillId="0" borderId="0" xfId="0" applyNumberFormat="1" applyFont="1"/>
    <xf numFmtId="41" fontId="1" fillId="0" borderId="0" xfId="403" applyNumberFormat="1" applyFont="1" applyFill="1" applyBorder="1" applyAlignment="1" applyProtection="1">
      <alignment horizontal="right"/>
    </xf>
    <xf numFmtId="3" fontId="60" fillId="0" borderId="0" xfId="403" applyNumberFormat="1" applyFont="1" applyFill="1" applyBorder="1" applyAlignment="1" applyProtection="1">
      <alignment horizontal="right"/>
    </xf>
    <xf numFmtId="41" fontId="134" fillId="0" borderId="0" xfId="0" applyNumberFormat="1" applyFont="1" applyFill="1" applyBorder="1" applyAlignment="1" applyProtection="1">
      <alignment horizontal="left" vertical="top" wrapText="1"/>
      <protection locked="0"/>
    </xf>
    <xf numFmtId="41" fontId="134" fillId="65" borderId="0" xfId="0" applyNumberFormat="1" applyFont="1" applyFill="1" applyBorder="1" applyAlignment="1" applyProtection="1">
      <alignment horizontal="left" vertical="top" wrapText="1"/>
      <protection locked="0"/>
    </xf>
    <xf numFmtId="169" fontId="48" fillId="65" borderId="0" xfId="408" applyNumberFormat="1" applyFont="1" applyFill="1"/>
    <xf numFmtId="10" fontId="132" fillId="65" borderId="0" xfId="453" applyNumberFormat="1" applyFont="1" applyFill="1" applyBorder="1" applyAlignment="1" applyProtection="1">
      <alignment horizontal="center"/>
    </xf>
    <xf numFmtId="41" fontId="13" fillId="0" borderId="31" xfId="409" applyNumberFormat="1" applyFont="1" applyFill="1" applyBorder="1" applyAlignment="1" applyProtection="1"/>
    <xf numFmtId="169" fontId="1" fillId="0" borderId="0" xfId="403" applyNumberFormat="1" applyFont="1" applyFill="1" applyBorder="1" applyAlignment="1" applyProtection="1">
      <alignment horizontal="left"/>
    </xf>
    <xf numFmtId="169" fontId="88" fillId="0" borderId="0" xfId="403" applyNumberFormat="1" applyFont="1" applyFill="1" applyBorder="1" applyAlignment="1" applyProtection="1">
      <alignment horizontal="right"/>
    </xf>
    <xf numFmtId="168" fontId="88" fillId="0" borderId="0" xfId="249" applyNumberFormat="1" applyFont="1" applyFill="1" applyBorder="1" applyAlignment="1" applyProtection="1"/>
    <xf numFmtId="169" fontId="160" fillId="0" borderId="0" xfId="403" applyNumberFormat="1" applyFont="1" applyFill="1" applyBorder="1" applyAlignment="1" applyProtection="1">
      <alignment horizontal="right"/>
    </xf>
    <xf numFmtId="169" fontId="161" fillId="0" borderId="0" xfId="403" applyNumberFormat="1" applyFont="1" applyFill="1" applyBorder="1" applyAlignment="1" applyProtection="1"/>
    <xf numFmtId="169" fontId="162" fillId="0" borderId="0" xfId="403" applyNumberFormat="1" applyFont="1" applyFill="1" applyBorder="1" applyAlignment="1" applyProtection="1">
      <alignment horizontal="right"/>
    </xf>
    <xf numFmtId="41" fontId="160" fillId="0" borderId="0" xfId="403" applyNumberFormat="1" applyFont="1" applyFill="1" applyBorder="1" applyAlignment="1" applyProtection="1"/>
    <xf numFmtId="43" fontId="49" fillId="0" borderId="0" xfId="249" applyFont="1" applyFill="1" applyBorder="1" applyAlignment="1" applyProtection="1"/>
    <xf numFmtId="169" fontId="49" fillId="0" borderId="0" xfId="403" applyNumberFormat="1" applyFont="1" applyFill="1" applyBorder="1" applyAlignment="1" applyProtection="1">
      <alignment horizontal="right"/>
    </xf>
    <xf numFmtId="41" fontId="49" fillId="0" borderId="0" xfId="250" applyFont="1" applyFill="1" applyBorder="1" applyAlignment="1" applyProtection="1"/>
    <xf numFmtId="43" fontId="49" fillId="0" borderId="0" xfId="275" applyFont="1" applyFill="1" applyBorder="1" applyAlignment="1" applyProtection="1"/>
    <xf numFmtId="168" fontId="13" fillId="28" borderId="0" xfId="249" applyNumberFormat="1" applyFont="1" applyFill="1" applyAlignment="1" applyProtection="1">
      <alignment horizontal="left" vertical="top" wrapText="1"/>
      <protection locked="0"/>
    </xf>
    <xf numFmtId="168" fontId="163" fillId="71" borderId="31" xfId="221" applyNumberFormat="1" applyFont="1" applyFill="1" applyBorder="1" applyAlignment="1">
      <alignment horizontal="center"/>
    </xf>
    <xf numFmtId="167" fontId="49" fillId="65" borderId="0" xfId="395" applyNumberFormat="1" applyFont="1" applyFill="1">
      <alignment horizontal="left" vertical="top" wrapText="1"/>
      <protection locked="0"/>
    </xf>
    <xf numFmtId="0" fontId="13" fillId="28" borderId="0" xfId="409" applyNumberFormat="1" applyFont="1" applyFill="1">
      <alignment horizontal="left" vertical="top" wrapText="1"/>
      <protection locked="0"/>
    </xf>
    <xf numFmtId="43" fontId="13" fillId="28" borderId="0" xfId="249" applyFont="1" applyFill="1" applyAlignment="1" applyProtection="1">
      <alignment horizontal="left" vertical="top" wrapText="1"/>
      <protection locked="0"/>
    </xf>
    <xf numFmtId="0" fontId="13" fillId="0" borderId="31" xfId="409" applyNumberFormat="1" applyFont="1" applyFill="1" applyBorder="1" applyAlignment="1" applyProtection="1">
      <alignment horizontal="left"/>
    </xf>
    <xf numFmtId="167" fontId="13" fillId="0" borderId="31" xfId="409" applyFont="1" applyFill="1" applyBorder="1" applyAlignment="1" applyProtection="1"/>
    <xf numFmtId="167" fontId="13" fillId="0" borderId="31" xfId="409" applyFont="1" applyFill="1" applyBorder="1" applyAlignment="1" applyProtection="1">
      <alignment horizontal="center"/>
    </xf>
    <xf numFmtId="43" fontId="13" fillId="28" borderId="0" xfId="409" applyNumberFormat="1" applyFont="1" applyFill="1">
      <alignment horizontal="left" vertical="top" wrapText="1"/>
      <protection locked="0"/>
    </xf>
    <xf numFmtId="0" fontId="151" fillId="0" borderId="0" xfId="386" applyNumberFormat="1" applyFont="1" applyFill="1" applyBorder="1" applyAlignment="1">
      <alignment horizontal="center"/>
    </xf>
    <xf numFmtId="168" fontId="13" fillId="28" borderId="0" xfId="409" applyNumberFormat="1" applyFont="1" applyFill="1">
      <alignment horizontal="left" vertical="top" wrapText="1"/>
      <protection locked="0"/>
    </xf>
    <xf numFmtId="173" fontId="1" fillId="0" borderId="0" xfId="249" applyNumberFormat="1" applyFont="1" applyFill="1" applyBorder="1" applyAlignment="1" applyProtection="1"/>
    <xf numFmtId="41" fontId="155" fillId="65" borderId="0" xfId="324" applyNumberFormat="1" applyFont="1" applyFill="1" applyBorder="1" applyAlignment="1" applyProtection="1">
      <alignment horizontal="left" wrapText="1"/>
    </xf>
    <xf numFmtId="169" fontId="55" fillId="28" borderId="47" xfId="324" applyNumberFormat="1" applyFont="1" applyFill="1" applyBorder="1" applyAlignment="1" applyProtection="1"/>
    <xf numFmtId="41" fontId="55" fillId="28" borderId="47" xfId="324" applyNumberFormat="1" applyFont="1" applyFill="1" applyBorder="1" applyAlignment="1" applyProtection="1"/>
    <xf numFmtId="168" fontId="55" fillId="28" borderId="28" xfId="324" applyNumberFormat="1" applyFont="1" applyFill="1" applyBorder="1" applyAlignment="1" applyProtection="1"/>
    <xf numFmtId="168" fontId="55" fillId="28" borderId="0" xfId="249" applyNumberFormat="1" applyFont="1" applyFill="1" applyBorder="1" applyAlignment="1" applyProtection="1"/>
    <xf numFmtId="168" fontId="55" fillId="28" borderId="56" xfId="249" applyNumberFormat="1" applyFont="1" applyFill="1" applyBorder="1" applyAlignment="1" applyProtection="1"/>
    <xf numFmtId="168" fontId="153" fillId="28" borderId="0" xfId="249" applyNumberFormat="1" applyFont="1" applyFill="1"/>
    <xf numFmtId="41" fontId="153" fillId="28" borderId="31" xfId="409" applyNumberFormat="1" applyFont="1" applyFill="1" applyBorder="1" applyAlignment="1" applyProtection="1"/>
    <xf numFmtId="168" fontId="164" fillId="28" borderId="0" xfId="249" applyNumberFormat="1" applyFont="1" applyFill="1" applyBorder="1" applyAlignment="1" applyProtection="1"/>
    <xf numFmtId="0" fontId="153" fillId="28" borderId="31" xfId="409" applyNumberFormat="1" applyFont="1" applyFill="1" applyBorder="1" applyAlignment="1" applyProtection="1"/>
    <xf numFmtId="0" fontId="153" fillId="28" borderId="0" xfId="0" applyFont="1" applyFill="1"/>
    <xf numFmtId="168" fontId="57" fillId="28" borderId="0" xfId="324" applyNumberFormat="1" applyFont="1" applyFill="1" applyBorder="1" applyAlignment="1" applyProtection="1"/>
    <xf numFmtId="41" fontId="141" fillId="0" borderId="48" xfId="326" applyNumberFormat="1" applyFont="1" applyBorder="1" applyAlignment="1">
      <alignment horizontal="right" vertical="center" wrapText="1"/>
    </xf>
    <xf numFmtId="41" fontId="143" fillId="0" borderId="0" xfId="326" applyNumberFormat="1" applyFont="1"/>
    <xf numFmtId="41" fontId="165" fillId="0" borderId="0" xfId="326" applyNumberFormat="1" applyFont="1"/>
    <xf numFmtId="168" fontId="1" fillId="67" borderId="0" xfId="249" applyNumberFormat="1" applyFont="1" applyFill="1" applyBorder="1" applyAlignment="1" applyProtection="1"/>
    <xf numFmtId="168" fontId="166" fillId="28" borderId="0" xfId="249" applyNumberFormat="1" applyFont="1" applyFill="1" applyBorder="1" applyAlignment="1" applyProtection="1"/>
    <xf numFmtId="14" fontId="14" fillId="29" borderId="57" xfId="0" applyNumberFormat="1" applyFont="1" applyFill="1" applyBorder="1" applyAlignment="1">
      <alignment horizontal="center" wrapText="1"/>
    </xf>
    <xf numFmtId="41" fontId="167" fillId="65" borderId="0" xfId="0" applyNumberFormat="1" applyFont="1" applyFill="1"/>
    <xf numFmtId="0" fontId="167" fillId="65" borderId="0" xfId="0" applyFont="1" applyFill="1"/>
    <xf numFmtId="3" fontId="168" fillId="28" borderId="0" xfId="0" applyNumberFormat="1" applyFont="1" applyFill="1" applyAlignment="1">
      <alignment horizontal="right"/>
    </xf>
    <xf numFmtId="168" fontId="55" fillId="28" borderId="0" xfId="249" applyNumberFormat="1" applyFont="1" applyFill="1" applyBorder="1"/>
    <xf numFmtId="167" fontId="57" fillId="67" borderId="0" xfId="386" applyFont="1" applyFill="1" applyBorder="1" applyAlignment="1">
      <alignment horizontal="right"/>
    </xf>
    <xf numFmtId="168" fontId="57" fillId="67" borderId="0" xfId="249" applyNumberFormat="1" applyFont="1" applyFill="1" applyBorder="1" applyAlignment="1">
      <alignment horizontal="right"/>
    </xf>
    <xf numFmtId="0" fontId="70" fillId="28" borderId="0" xfId="407" applyFont="1" applyFill="1" applyBorder="1"/>
    <xf numFmtId="0" fontId="89" fillId="28" borderId="0" xfId="397" applyFont="1" applyFill="1" applyBorder="1">
      <alignment horizontal="left" vertical="top" wrapText="1"/>
      <protection locked="0"/>
    </xf>
    <xf numFmtId="0" fontId="13" fillId="28" borderId="0" xfId="407" applyFont="1" applyFill="1" applyBorder="1"/>
    <xf numFmtId="0" fontId="12" fillId="28" borderId="0" xfId="335" applyFill="1" applyBorder="1"/>
    <xf numFmtId="0" fontId="13" fillId="32" borderId="0" xfId="407" applyFont="1" applyFill="1" applyBorder="1"/>
    <xf numFmtId="0" fontId="13" fillId="33" borderId="0" xfId="407" applyFont="1" applyFill="1" applyBorder="1"/>
    <xf numFmtId="0" fontId="11" fillId="19" borderId="0" xfId="218" applyFont="1" applyBorder="1"/>
    <xf numFmtId="169" fontId="90" fillId="19" borderId="0" xfId="218" applyNumberFormat="1" applyFont="1" applyBorder="1" applyAlignment="1">
      <alignment horizontal="center"/>
    </xf>
    <xf numFmtId="169" fontId="90" fillId="19" borderId="0" xfId="218" applyNumberFormat="1" applyFont="1" applyBorder="1" applyAlignment="1">
      <alignment horizontal="center" wrapText="1"/>
    </xf>
    <xf numFmtId="0" fontId="52" fillId="28" borderId="0" xfId="335" applyFont="1" applyFill="1" applyBorder="1" applyAlignment="1">
      <alignment horizontal="center"/>
    </xf>
    <xf numFmtId="3" fontId="49" fillId="28" borderId="0" xfId="335" applyNumberFormat="1" applyFont="1" applyFill="1" applyBorder="1"/>
    <xf numFmtId="3" fontId="49" fillId="28" borderId="0" xfId="402" applyNumberFormat="1" applyFont="1" applyFill="1" applyBorder="1"/>
    <xf numFmtId="0" fontId="49" fillId="28" borderId="0" xfId="335" applyFont="1" applyFill="1" applyBorder="1"/>
    <xf numFmtId="41" fontId="49" fillId="28" borderId="0" xfId="283" applyNumberFormat="1" applyFont="1" applyFill="1" applyAlignment="1">
      <alignment horizontal="right" vertical="top" wrapText="1"/>
      <protection locked="0"/>
    </xf>
    <xf numFmtId="4" fontId="91" fillId="28" borderId="0" xfId="335" applyNumberFormat="1" applyFont="1" applyFill="1" applyBorder="1"/>
    <xf numFmtId="4" fontId="12" fillId="28" borderId="0" xfId="335" applyNumberFormat="1" applyFill="1" applyBorder="1"/>
    <xf numFmtId="0" fontId="92" fillId="28" borderId="0" xfId="335" applyFont="1" applyFill="1" applyBorder="1"/>
    <xf numFmtId="41" fontId="92" fillId="28" borderId="0" xfId="283" applyNumberFormat="1" applyFont="1" applyFill="1" applyAlignment="1">
      <alignment horizontal="right" vertical="top" wrapText="1"/>
      <protection locked="0"/>
    </xf>
    <xf numFmtId="0" fontId="91" fillId="28" borderId="0" xfId="335" applyFont="1" applyFill="1" applyBorder="1"/>
    <xf numFmtId="0" fontId="12" fillId="28" borderId="0" xfId="335" applyFont="1" applyFill="1" applyBorder="1"/>
    <xf numFmtId="0" fontId="92" fillId="0" borderId="0" xfId="397" applyFont="1" applyAlignment="1" applyProtection="1"/>
    <xf numFmtId="0" fontId="93" fillId="28" borderId="0" xfId="335" applyFont="1" applyFill="1" applyBorder="1"/>
    <xf numFmtId="0" fontId="94" fillId="28" borderId="0" xfId="335" applyFont="1" applyFill="1" applyBorder="1"/>
    <xf numFmtId="0" fontId="52" fillId="28" borderId="0" xfId="335" applyFont="1" applyFill="1" applyBorder="1"/>
    <xf numFmtId="41" fontId="52" fillId="28" borderId="0" xfId="283" applyNumberFormat="1" applyFont="1" applyFill="1" applyAlignment="1">
      <alignment horizontal="right" vertical="top" wrapText="1"/>
      <protection locked="0"/>
    </xf>
    <xf numFmtId="3" fontId="49" fillId="65" borderId="0" xfId="335" applyNumberFormat="1" applyFont="1" applyFill="1" applyBorder="1"/>
    <xf numFmtId="3" fontId="52" fillId="28" borderId="0" xfId="335" applyNumberFormat="1" applyFont="1" applyFill="1" applyBorder="1"/>
    <xf numFmtId="3" fontId="52" fillId="65" borderId="0" xfId="335" applyNumberFormat="1" applyFont="1" applyFill="1" applyBorder="1"/>
    <xf numFmtId="3" fontId="49" fillId="0" borderId="0" xfId="335" applyNumberFormat="1" applyFont="1" applyFill="1" applyBorder="1"/>
    <xf numFmtId="0" fontId="13" fillId="28" borderId="0" xfId="335" applyFont="1" applyFill="1" applyBorder="1"/>
    <xf numFmtId="3" fontId="13" fillId="0" borderId="0" xfId="335" applyNumberFormat="1" applyFont="1" applyFill="1" applyBorder="1"/>
    <xf numFmtId="3" fontId="13" fillId="28" borderId="0" xfId="335" applyNumberFormat="1" applyFont="1" applyFill="1" applyBorder="1"/>
    <xf numFmtId="4" fontId="18" fillId="0" borderId="0" xfId="277" applyNumberFormat="1" applyFont="1" applyBorder="1" applyAlignment="1" applyProtection="1">
      <alignment horizontal="right" vertical="top" wrapText="1"/>
    </xf>
    <xf numFmtId="41" fontId="12" fillId="28" borderId="0" xfId="335" applyNumberFormat="1" applyFont="1" applyFill="1" applyBorder="1"/>
    <xf numFmtId="168" fontId="12" fillId="28" borderId="0" xfId="249" applyNumberFormat="1" applyFont="1" applyFill="1" applyBorder="1"/>
    <xf numFmtId="41" fontId="12" fillId="28" borderId="0" xfId="335" applyNumberFormat="1" applyFill="1" applyBorder="1"/>
    <xf numFmtId="41" fontId="91" fillId="28" borderId="0" xfId="335" applyNumberFormat="1" applyFont="1" applyFill="1" applyBorder="1"/>
    <xf numFmtId="169" fontId="90" fillId="72" borderId="0" xfId="218" applyNumberFormat="1" applyFont="1" applyFill="1" applyBorder="1" applyAlignment="1">
      <alignment horizontal="center" wrapText="1"/>
    </xf>
    <xf numFmtId="0" fontId="150" fillId="0" borderId="73" xfId="327" applyFont="1" applyBorder="1" applyAlignment="1"/>
    <xf numFmtId="0" fontId="141" fillId="0" borderId="73" xfId="327" applyFont="1" applyBorder="1" applyAlignment="1"/>
    <xf numFmtId="0" fontId="143" fillId="0" borderId="0" xfId="327" applyFont="1"/>
    <xf numFmtId="168" fontId="143" fillId="0" borderId="0" xfId="258" applyNumberFormat="1" applyFont="1"/>
    <xf numFmtId="0" fontId="143" fillId="0" borderId="0" xfId="327" applyFont="1" applyAlignment="1">
      <alignment horizontal="left"/>
    </xf>
    <xf numFmtId="0" fontId="146" fillId="0" borderId="0" xfId="327" applyFont="1" applyAlignment="1">
      <alignment vertical="center" wrapText="1"/>
    </xf>
    <xf numFmtId="0" fontId="145" fillId="0" borderId="0" xfId="327" applyFont="1" applyAlignment="1">
      <alignment vertical="center" wrapText="1"/>
    </xf>
    <xf numFmtId="0" fontId="141" fillId="0" borderId="0" xfId="327" applyFont="1" applyAlignment="1">
      <alignment horizontal="center" vertical="center" wrapText="1"/>
    </xf>
    <xf numFmtId="0" fontId="148" fillId="0" borderId="0" xfId="327" applyFont="1" applyAlignment="1">
      <alignment horizontal="right" vertical="center" wrapText="1"/>
    </xf>
    <xf numFmtId="168" fontId="148" fillId="0" borderId="0" xfId="258" applyNumberFormat="1" applyFont="1" applyAlignment="1">
      <alignment horizontal="right" vertical="center" wrapText="1"/>
    </xf>
    <xf numFmtId="0" fontId="143" fillId="0" borderId="0" xfId="327" applyFont="1" applyAlignment="1">
      <alignment horizontal="center" vertical="center" wrapText="1"/>
    </xf>
    <xf numFmtId="0" fontId="141" fillId="0" borderId="0" xfId="327" applyFont="1" applyAlignment="1">
      <alignment horizontal="right" vertical="center" wrapText="1"/>
    </xf>
    <xf numFmtId="168" fontId="141" fillId="0" borderId="0" xfId="258" applyNumberFormat="1" applyFont="1" applyAlignment="1">
      <alignment horizontal="right" vertical="center" wrapText="1"/>
    </xf>
    <xf numFmtId="0" fontId="143" fillId="0" borderId="0" xfId="327" applyFont="1" applyAlignment="1">
      <alignment horizontal="left" vertical="center" wrapText="1"/>
    </xf>
    <xf numFmtId="0" fontId="143" fillId="0" borderId="0" xfId="327" applyFont="1" applyAlignment="1">
      <alignment horizontal="right" vertical="center" wrapText="1"/>
    </xf>
    <xf numFmtId="168" fontId="143" fillId="0" borderId="0" xfId="258" applyNumberFormat="1" applyFont="1" applyAlignment="1">
      <alignment horizontal="right" vertical="center" wrapText="1"/>
    </xf>
    <xf numFmtId="0" fontId="141" fillId="0" borderId="0" xfId="327" applyFont="1" applyAlignment="1">
      <alignment horizontal="left" vertical="center" wrapText="1"/>
    </xf>
    <xf numFmtId="0" fontId="142" fillId="0" borderId="0" xfId="327" applyFont="1" applyAlignment="1">
      <alignment horizontal="left" vertical="center"/>
    </xf>
    <xf numFmtId="0" fontId="144" fillId="0" borderId="0" xfId="327" applyFont="1" applyAlignment="1">
      <alignment horizontal="left"/>
    </xf>
    <xf numFmtId="0" fontId="147" fillId="0" borderId="0" xfId="327" applyFont="1" applyAlignment="1">
      <alignment horizontal="left" vertical="center" wrapText="1"/>
    </xf>
    <xf numFmtId="0" fontId="169" fillId="0" borderId="0" xfId="327" applyFont="1" applyAlignment="1">
      <alignment horizontal="left"/>
    </xf>
    <xf numFmtId="0" fontId="143" fillId="0" borderId="44" xfId="327" applyFont="1" applyBorder="1" applyAlignment="1">
      <alignment horizontal="left" vertical="center" wrapText="1"/>
    </xf>
    <xf numFmtId="0" fontId="144" fillId="0" borderId="44" xfId="327" applyFont="1" applyBorder="1" applyAlignment="1">
      <alignment horizontal="left"/>
    </xf>
    <xf numFmtId="0" fontId="143" fillId="0" borderId="44" xfId="327" applyFont="1" applyBorder="1" applyAlignment="1">
      <alignment horizontal="center" vertical="center" wrapText="1"/>
    </xf>
    <xf numFmtId="3" fontId="143" fillId="0" borderId="44" xfId="327" applyNumberFormat="1" applyFont="1" applyBorder="1" applyAlignment="1">
      <alignment horizontal="right" vertical="center" wrapText="1"/>
    </xf>
    <xf numFmtId="168" fontId="143" fillId="0" borderId="44" xfId="258" applyNumberFormat="1" applyFont="1" applyBorder="1" applyAlignment="1">
      <alignment horizontal="right" vertical="center" wrapText="1"/>
    </xf>
    <xf numFmtId="0" fontId="144" fillId="0" borderId="0" xfId="327" applyFont="1" applyAlignment="1">
      <alignment horizontal="left" wrapText="1"/>
    </xf>
    <xf numFmtId="0" fontId="169" fillId="0" borderId="0" xfId="327" applyFont="1" applyAlignment="1">
      <alignment horizontal="left" vertical="center"/>
    </xf>
    <xf numFmtId="0" fontId="141" fillId="0" borderId="44" xfId="327" applyFont="1" applyBorder="1" applyAlignment="1">
      <alignment horizontal="center" vertical="center" wrapText="1"/>
    </xf>
    <xf numFmtId="0" fontId="142" fillId="0" borderId="0" xfId="327" applyFont="1" applyAlignment="1">
      <alignment horizontal="left"/>
    </xf>
    <xf numFmtId="0" fontId="143" fillId="0" borderId="47" xfId="327" applyFont="1" applyBorder="1" applyAlignment="1">
      <alignment horizontal="left" vertical="center" wrapText="1"/>
    </xf>
    <xf numFmtId="0" fontId="142" fillId="0" borderId="46" xfId="327" applyFont="1" applyBorder="1" applyAlignment="1">
      <alignment horizontal="left"/>
    </xf>
    <xf numFmtId="0" fontId="141" fillId="0" borderId="47" xfId="327" applyFont="1" applyBorder="1" applyAlignment="1">
      <alignment horizontal="center" vertical="center" wrapText="1"/>
    </xf>
    <xf numFmtId="168" fontId="141" fillId="0" borderId="47" xfId="258" applyNumberFormat="1" applyFont="1" applyBorder="1" applyAlignment="1">
      <alignment horizontal="right" vertical="center" wrapText="1"/>
    </xf>
    <xf numFmtId="41" fontId="143" fillId="0" borderId="0" xfId="327" applyNumberFormat="1" applyFont="1" applyAlignment="1">
      <alignment horizontal="right" vertical="center" wrapText="1"/>
    </xf>
    <xf numFmtId="41" fontId="143" fillId="0" borderId="44" xfId="327" applyNumberFormat="1" applyFont="1" applyBorder="1" applyAlignment="1">
      <alignment horizontal="right" vertical="center" wrapText="1"/>
    </xf>
    <xf numFmtId="41" fontId="141" fillId="0" borderId="0" xfId="327" applyNumberFormat="1" applyFont="1" applyAlignment="1">
      <alignment horizontal="right" vertical="center" wrapText="1"/>
    </xf>
    <xf numFmtId="41" fontId="143" fillId="0" borderId="0" xfId="327" applyNumberFormat="1" applyFont="1"/>
    <xf numFmtId="41" fontId="143" fillId="0" borderId="0" xfId="258" applyNumberFormat="1" applyFont="1" applyAlignment="1">
      <alignment horizontal="right" vertical="center" wrapText="1"/>
    </xf>
    <xf numFmtId="41" fontId="170" fillId="0" borderId="0" xfId="327" applyNumberFormat="1" applyFont="1"/>
    <xf numFmtId="169" fontId="133" fillId="65" borderId="0" xfId="405" applyNumberFormat="1" applyFont="1" applyFill="1" applyBorder="1" applyAlignment="1" applyProtection="1">
      <alignment horizontal="left" wrapText="1"/>
    </xf>
    <xf numFmtId="168" fontId="152" fillId="53" borderId="31" xfId="221" applyNumberFormat="1" applyFont="1" applyBorder="1" applyAlignment="1">
      <alignment horizontal="center"/>
    </xf>
    <xf numFmtId="41" fontId="153" fillId="0" borderId="31" xfId="409" applyNumberFormat="1" applyFont="1" applyFill="1" applyBorder="1" applyAlignment="1" applyProtection="1"/>
    <xf numFmtId="43" fontId="13" fillId="28" borderId="0" xfId="0" applyNumberFormat="1" applyFont="1" applyFill="1"/>
    <xf numFmtId="168" fontId="152" fillId="53" borderId="31" xfId="221" applyNumberFormat="1" applyFont="1" applyBorder="1" applyAlignment="1">
      <alignment horizontal="center"/>
    </xf>
    <xf numFmtId="4" fontId="171" fillId="0" borderId="0" xfId="0" applyNumberFormat="1" applyFont="1"/>
    <xf numFmtId="167" fontId="13" fillId="28" borderId="0" xfId="386" applyFont="1" applyFill="1" applyBorder="1"/>
    <xf numFmtId="41" fontId="13" fillId="28" borderId="0" xfId="386" applyNumberFormat="1" applyFont="1" applyFill="1" applyBorder="1"/>
    <xf numFmtId="4" fontId="13" fillId="28" borderId="0" xfId="386" applyNumberFormat="1" applyFont="1" applyFill="1" applyBorder="1"/>
    <xf numFmtId="43" fontId="14" fillId="28" borderId="0" xfId="267" applyFont="1" applyFill="1" applyBorder="1"/>
    <xf numFmtId="168" fontId="13" fillId="28" borderId="0" xfId="249" applyNumberFormat="1" applyFont="1" applyFill="1" applyBorder="1"/>
    <xf numFmtId="41" fontId="13" fillId="73" borderId="31" xfId="409" applyNumberFormat="1" applyFont="1" applyFill="1" applyBorder="1" applyAlignment="1" applyProtection="1"/>
    <xf numFmtId="179" fontId="13" fillId="28" borderId="0" xfId="249" applyNumberFormat="1" applyFont="1" applyFill="1" applyAlignment="1" applyProtection="1">
      <alignment horizontal="left" vertical="top" wrapText="1"/>
      <protection locked="0"/>
    </xf>
    <xf numFmtId="43" fontId="14" fillId="28" borderId="0" xfId="0" applyNumberFormat="1" applyFont="1" applyFill="1"/>
    <xf numFmtId="41" fontId="154" fillId="28" borderId="31" xfId="409" applyNumberFormat="1" applyFont="1" applyFill="1" applyBorder="1" applyAlignment="1" applyProtection="1"/>
    <xf numFmtId="41" fontId="14" fillId="28" borderId="31" xfId="409" applyNumberFormat="1" applyFont="1" applyFill="1" applyBorder="1" applyAlignment="1" applyProtection="1"/>
    <xf numFmtId="41" fontId="57" fillId="28" borderId="0" xfId="386" applyNumberFormat="1" applyFont="1" applyFill="1" applyBorder="1"/>
    <xf numFmtId="41" fontId="14" fillId="28" borderId="0" xfId="386" applyNumberFormat="1" applyFont="1" applyFill="1" applyBorder="1"/>
    <xf numFmtId="168" fontId="14" fillId="28" borderId="0" xfId="249" applyNumberFormat="1" applyFont="1" applyFill="1" applyBorder="1"/>
    <xf numFmtId="41" fontId="159" fillId="0" borderId="0" xfId="326" applyNumberFormat="1" applyFont="1" applyAlignment="1">
      <alignment horizontal="right" vertical="center" wrapText="1"/>
    </xf>
    <xf numFmtId="41" fontId="159" fillId="0" borderId="44" xfId="326" applyNumberFormat="1" applyFont="1" applyBorder="1" applyAlignment="1">
      <alignment horizontal="right" vertical="center" wrapText="1"/>
    </xf>
    <xf numFmtId="41" fontId="158" fillId="0" borderId="0" xfId="326" applyNumberFormat="1" applyFont="1" applyAlignment="1">
      <alignment horizontal="right" vertical="center" wrapText="1"/>
    </xf>
    <xf numFmtId="41" fontId="172" fillId="0" borderId="35" xfId="403" applyNumberFormat="1" applyFont="1" applyFill="1" applyBorder="1" applyAlignment="1" applyProtection="1"/>
    <xf numFmtId="41" fontId="172" fillId="0" borderId="31" xfId="403" applyNumberFormat="1" applyFont="1" applyFill="1" applyBorder="1" applyAlignment="1" applyProtection="1"/>
    <xf numFmtId="43" fontId="160" fillId="0" borderId="0" xfId="249" applyNumberFormat="1" applyFont="1" applyFill="1" applyBorder="1" applyAlignment="1" applyProtection="1"/>
    <xf numFmtId="41" fontId="173" fillId="28" borderId="31" xfId="409" applyNumberFormat="1" applyFont="1" applyFill="1" applyBorder="1" applyAlignment="1" applyProtection="1"/>
    <xf numFmtId="168" fontId="143" fillId="0" borderId="0" xfId="327" applyNumberFormat="1" applyFont="1"/>
    <xf numFmtId="0" fontId="159" fillId="0" borderId="0" xfId="327" applyFont="1" applyAlignment="1">
      <alignment horizontal="right" vertical="center" wrapText="1"/>
    </xf>
    <xf numFmtId="168" fontId="159" fillId="0" borderId="0" xfId="249" applyNumberFormat="1" applyFont="1" applyAlignment="1">
      <alignment horizontal="right" vertical="center" wrapText="1"/>
    </xf>
    <xf numFmtId="0" fontId="158" fillId="0" borderId="0" xfId="327" applyFont="1" applyAlignment="1">
      <alignment horizontal="right" vertical="center" wrapText="1"/>
    </xf>
    <xf numFmtId="3" fontId="159" fillId="0" borderId="0" xfId="327" applyNumberFormat="1" applyFont="1" applyAlignment="1">
      <alignment horizontal="right" vertical="center" wrapText="1"/>
    </xf>
    <xf numFmtId="41" fontId="159" fillId="0" borderId="0" xfId="327" applyNumberFormat="1" applyFont="1" applyAlignment="1">
      <alignment horizontal="right" vertical="center" wrapText="1"/>
    </xf>
    <xf numFmtId="3" fontId="159" fillId="0" borderId="44" xfId="327" applyNumberFormat="1" applyFont="1" applyBorder="1" applyAlignment="1">
      <alignment horizontal="right" vertical="center" wrapText="1"/>
    </xf>
    <xf numFmtId="41" fontId="159" fillId="0" borderId="0" xfId="258" applyNumberFormat="1" applyFont="1" applyAlignment="1">
      <alignment horizontal="right" vertical="center" wrapText="1"/>
    </xf>
    <xf numFmtId="41" fontId="159" fillId="0" borderId="44" xfId="327" applyNumberFormat="1" applyFont="1" applyBorder="1" applyAlignment="1">
      <alignment horizontal="right" vertical="center" wrapText="1"/>
    </xf>
    <xf numFmtId="41" fontId="158" fillId="0" borderId="0" xfId="258" applyNumberFormat="1" applyFont="1" applyAlignment="1">
      <alignment horizontal="right" vertical="center" wrapText="1"/>
    </xf>
    <xf numFmtId="41" fontId="158" fillId="0" borderId="0" xfId="327" applyNumberFormat="1" applyFont="1" applyAlignment="1">
      <alignment horizontal="right" vertical="center" wrapText="1"/>
    </xf>
    <xf numFmtId="168" fontId="158" fillId="0" borderId="0" xfId="258" applyNumberFormat="1" applyFont="1" applyAlignment="1">
      <alignment horizontal="right" vertical="center" wrapText="1"/>
    </xf>
    <xf numFmtId="41" fontId="164" fillId="28" borderId="31" xfId="409" applyNumberFormat="1" applyFont="1" applyFill="1" applyBorder="1" applyAlignment="1" applyProtection="1"/>
    <xf numFmtId="41" fontId="13" fillId="0" borderId="0" xfId="410" applyNumberFormat="1" applyFont="1" applyFill="1"/>
    <xf numFmtId="41" fontId="164" fillId="67" borderId="31" xfId="409" applyNumberFormat="1" applyFont="1" applyFill="1" applyBorder="1" applyAlignment="1" applyProtection="1"/>
    <xf numFmtId="41" fontId="164" fillId="0" borderId="31" xfId="409" applyNumberFormat="1" applyFont="1" applyFill="1" applyBorder="1" applyAlignment="1" applyProtection="1"/>
    <xf numFmtId="3" fontId="13" fillId="0" borderId="0" xfId="0" applyNumberFormat="1" applyFont="1" applyFill="1"/>
    <xf numFmtId="0" fontId="39" fillId="0" borderId="0" xfId="333" applyNumberFormat="1" applyFill="1" applyBorder="1" applyAlignment="1" applyProtection="1"/>
    <xf numFmtId="0" fontId="98" fillId="0" borderId="0" xfId="333" applyFont="1" applyAlignment="1">
      <alignment vertical="center"/>
    </xf>
    <xf numFmtId="0" fontId="102" fillId="0" borderId="0" xfId="403" applyNumberFormat="1" applyFont="1" applyFill="1" applyBorder="1" applyAlignment="1" applyProtection="1">
      <alignment horizontal="right" wrapText="1"/>
    </xf>
    <xf numFmtId="168" fontId="52" fillId="0" borderId="0" xfId="249" applyNumberFormat="1" applyFont="1" applyFill="1" applyBorder="1" applyAlignment="1" applyProtection="1"/>
    <xf numFmtId="168" fontId="102" fillId="0" borderId="0" xfId="249" applyNumberFormat="1" applyFont="1" applyFill="1" applyBorder="1" applyAlignment="1" applyProtection="1">
      <alignment horizontal="right"/>
    </xf>
    <xf numFmtId="168" fontId="49" fillId="0" borderId="0" xfId="249" applyNumberFormat="1" applyFont="1" applyFill="1" applyBorder="1" applyAlignment="1" applyProtection="1">
      <alignment horizontal="right"/>
    </xf>
    <xf numFmtId="37" fontId="49" fillId="0" borderId="0" xfId="403" applyNumberFormat="1" applyFont="1" applyFill="1" applyBorder="1" applyAlignment="1" applyProtection="1">
      <alignment horizontal="right"/>
    </xf>
    <xf numFmtId="168" fontId="52" fillId="0" borderId="43" xfId="249" applyNumberFormat="1" applyFont="1" applyFill="1" applyBorder="1" applyAlignment="1" applyProtection="1"/>
    <xf numFmtId="171" fontId="52" fillId="0" borderId="0" xfId="403" applyNumberFormat="1" applyFont="1" applyFill="1" applyBorder="1" applyAlignment="1" applyProtection="1">
      <alignment horizontal="right"/>
    </xf>
    <xf numFmtId="169" fontId="52" fillId="0" borderId="0" xfId="403" applyNumberFormat="1" applyFont="1" applyFill="1" applyBorder="1" applyAlignment="1" applyProtection="1">
      <alignment horizontal="right"/>
    </xf>
    <xf numFmtId="169" fontId="102" fillId="0" borderId="0" xfId="403" applyNumberFormat="1" applyFont="1" applyFill="1" applyBorder="1" applyAlignment="1" applyProtection="1">
      <alignment horizontal="right"/>
    </xf>
    <xf numFmtId="37" fontId="52" fillId="0" borderId="0" xfId="403" applyNumberFormat="1" applyFont="1" applyFill="1" applyBorder="1" applyAlignment="1" applyProtection="1"/>
    <xf numFmtId="171" fontId="52" fillId="0" borderId="0" xfId="403" quotePrefix="1" applyNumberFormat="1" applyFont="1" applyFill="1" applyBorder="1" applyAlignment="1" applyProtection="1">
      <alignment horizontal="right"/>
    </xf>
    <xf numFmtId="37" fontId="52" fillId="0" borderId="43" xfId="0" applyNumberFormat="1" applyFont="1" applyFill="1" applyBorder="1" applyAlignment="1" applyProtection="1">
      <alignment horizontal="right" vertical="top" wrapText="1"/>
      <protection locked="0"/>
    </xf>
    <xf numFmtId="37" fontId="52" fillId="0" borderId="0" xfId="403" applyNumberFormat="1" applyFont="1" applyFill="1" applyBorder="1" applyAlignment="1" applyProtection="1">
      <alignment horizontal="right"/>
    </xf>
    <xf numFmtId="37" fontId="49" fillId="0" borderId="24" xfId="403" applyNumberFormat="1" applyFont="1" applyFill="1" applyBorder="1" applyAlignment="1" applyProtection="1"/>
    <xf numFmtId="41" fontId="49" fillId="0" borderId="0" xfId="403" applyNumberFormat="1" applyFont="1" applyFill="1" applyBorder="1" applyAlignment="1" applyProtection="1">
      <alignment horizontal="left" indent="3"/>
    </xf>
    <xf numFmtId="169" fontId="131" fillId="28" borderId="0" xfId="404" applyNumberFormat="1" applyFont="1" applyFill="1" applyBorder="1" applyAlignment="1" applyProtection="1"/>
    <xf numFmtId="169" fontId="131" fillId="28" borderId="0" xfId="405" applyNumberFormat="1" applyFont="1" applyFill="1" applyBorder="1" applyAlignment="1" applyProtection="1"/>
    <xf numFmtId="169" fontId="131" fillId="26" borderId="0" xfId="404" applyNumberFormat="1" applyFont="1" applyFill="1" applyBorder="1" applyAlignment="1" applyProtection="1"/>
    <xf numFmtId="169" fontId="134" fillId="28" borderId="0" xfId="405" quotePrefix="1" applyNumberFormat="1" applyFont="1" applyFill="1" applyBorder="1" applyAlignment="1" applyProtection="1">
      <alignment horizontal="right"/>
    </xf>
    <xf numFmtId="169" fontId="174" fillId="28" borderId="0" xfId="405" applyNumberFormat="1" applyFont="1" applyFill="1" applyBorder="1" applyAlignment="1" applyProtection="1">
      <alignment horizontal="right" wrapText="1"/>
    </xf>
    <xf numFmtId="169" fontId="134" fillId="28" borderId="0" xfId="405" applyNumberFormat="1" applyFont="1" applyFill="1" applyBorder="1" applyAlignment="1" applyProtection="1">
      <alignment horizontal="right"/>
    </xf>
    <xf numFmtId="41" fontId="131" fillId="28" borderId="0" xfId="405" applyNumberFormat="1" applyFont="1" applyFill="1" applyBorder="1" applyAlignment="1" applyProtection="1"/>
    <xf numFmtId="41" fontId="134" fillId="65" borderId="0" xfId="405" applyNumberFormat="1" applyFont="1" applyFill="1" applyBorder="1" applyAlignment="1" applyProtection="1"/>
    <xf numFmtId="41" fontId="131" fillId="65" borderId="0" xfId="405" applyNumberFormat="1" applyFont="1" applyFill="1" applyBorder="1" applyAlignment="1" applyProtection="1"/>
    <xf numFmtId="41" fontId="131" fillId="28" borderId="24" xfId="405" applyNumberFormat="1" applyFont="1" applyFill="1" applyBorder="1" applyAlignment="1" applyProtection="1"/>
    <xf numFmtId="41" fontId="131" fillId="65" borderId="24" xfId="405" applyNumberFormat="1" applyFont="1" applyFill="1" applyBorder="1" applyAlignment="1" applyProtection="1"/>
    <xf numFmtId="168" fontId="134" fillId="28" borderId="0" xfId="249" applyNumberFormat="1" applyFont="1" applyFill="1" applyBorder="1" applyAlignment="1" applyProtection="1"/>
    <xf numFmtId="0" fontId="134" fillId="28" borderId="0" xfId="0" applyFont="1" applyFill="1" applyAlignment="1">
      <alignment horizontal="right"/>
    </xf>
    <xf numFmtId="0" fontId="174" fillId="28" borderId="0" xfId="0" applyFont="1" applyFill="1" applyAlignment="1">
      <alignment horizontal="right"/>
    </xf>
    <xf numFmtId="3" fontId="131" fillId="28" borderId="0" xfId="0" applyNumberFormat="1" applyFont="1" applyFill="1" applyAlignment="1">
      <alignment horizontal="right"/>
    </xf>
    <xf numFmtId="0" fontId="131" fillId="28" borderId="0" xfId="0" applyFont="1" applyFill="1" applyBorder="1" applyAlignment="1">
      <alignment horizontal="right" indent="3"/>
    </xf>
    <xf numFmtId="3" fontId="134" fillId="28" borderId="0" xfId="0" applyNumberFormat="1" applyFont="1" applyFill="1" applyBorder="1" applyAlignment="1">
      <alignment horizontal="right"/>
    </xf>
    <xf numFmtId="0" fontId="134" fillId="0" borderId="0" xfId="0" applyFont="1" applyBorder="1" applyAlignment="1">
      <alignment horizontal="right"/>
    </xf>
    <xf numFmtId="0" fontId="134" fillId="0" borderId="0" xfId="0" applyFont="1" applyAlignment="1">
      <alignment horizontal="right"/>
    </xf>
    <xf numFmtId="0" fontId="131" fillId="0" borderId="0" xfId="0" applyFont="1" applyAlignment="1">
      <alignment horizontal="right"/>
    </xf>
    <xf numFmtId="3" fontId="175" fillId="0" borderId="0" xfId="0" applyNumberFormat="1" applyFont="1" applyAlignment="1">
      <alignment horizontal="right"/>
    </xf>
    <xf numFmtId="3" fontId="131" fillId="0" borderId="0" xfId="0" applyNumberFormat="1" applyFont="1" applyAlignment="1">
      <alignment horizontal="right"/>
    </xf>
    <xf numFmtId="9" fontId="134" fillId="0" borderId="0" xfId="0" applyNumberFormat="1" applyFont="1" applyAlignment="1">
      <alignment horizontal="right"/>
    </xf>
    <xf numFmtId="41" fontId="131" fillId="28" borderId="0" xfId="249" applyNumberFormat="1" applyFont="1" applyFill="1" applyBorder="1" applyAlignment="1" applyProtection="1"/>
    <xf numFmtId="0" fontId="97" fillId="69" borderId="0" xfId="333" applyFont="1" applyFill="1" applyAlignment="1">
      <alignment horizontal="left" vertical="center"/>
    </xf>
    <xf numFmtId="0" fontId="39" fillId="69" borderId="0" xfId="333" applyNumberFormat="1" applyFill="1" applyBorder="1" applyAlignment="1" applyProtection="1"/>
    <xf numFmtId="168" fontId="0" fillId="0" borderId="0" xfId="259" applyNumberFormat="1" applyFont="1" applyFill="1" applyBorder="1" applyAlignment="1" applyProtection="1"/>
    <xf numFmtId="0" fontId="176" fillId="74" borderId="0" xfId="333" applyNumberFormat="1" applyFont="1" applyFill="1" applyBorder="1" applyAlignment="1" applyProtection="1"/>
    <xf numFmtId="0" fontId="177" fillId="0" borderId="0" xfId="333" applyFont="1" applyAlignment="1">
      <alignment vertical="center"/>
    </xf>
    <xf numFmtId="0" fontId="101" fillId="0" borderId="0" xfId="333" applyFont="1" applyAlignment="1">
      <alignment horizontal="left" vertical="center"/>
    </xf>
    <xf numFmtId="3" fontId="99" fillId="0" borderId="0" xfId="333" applyNumberFormat="1" applyFont="1" applyAlignment="1">
      <alignment horizontal="left" vertical="center"/>
    </xf>
    <xf numFmtId="0" fontId="99" fillId="0" borderId="0" xfId="333" applyFont="1" applyAlignment="1">
      <alignment vertical="center"/>
    </xf>
    <xf numFmtId="180" fontId="99" fillId="0" borderId="0" xfId="333" applyNumberFormat="1" applyFont="1" applyAlignment="1">
      <alignment vertical="center"/>
    </xf>
    <xf numFmtId="0" fontId="99" fillId="0" borderId="0" xfId="333" applyFont="1" applyAlignment="1">
      <alignment horizontal="right" vertical="center"/>
    </xf>
    <xf numFmtId="168" fontId="99" fillId="0" borderId="0" xfId="259" applyNumberFormat="1" applyFont="1" applyAlignment="1">
      <alignment horizontal="right" vertical="center"/>
    </xf>
    <xf numFmtId="178" fontId="99" fillId="0" borderId="0" xfId="333" applyNumberFormat="1" applyFont="1" applyAlignment="1">
      <alignment horizontal="right" vertical="center"/>
    </xf>
    <xf numFmtId="178" fontId="103" fillId="0" borderId="0" xfId="333" applyNumberFormat="1" applyFont="1" applyAlignment="1">
      <alignment horizontal="right" vertical="center"/>
    </xf>
    <xf numFmtId="0" fontId="103" fillId="0" borderId="0" xfId="333" applyFont="1" applyAlignment="1">
      <alignment vertical="center"/>
    </xf>
    <xf numFmtId="0" fontId="100" fillId="0" borderId="0" xfId="333" applyFont="1" applyAlignment="1">
      <alignment horizontal="left" vertical="center"/>
    </xf>
    <xf numFmtId="168" fontId="104" fillId="0" borderId="0" xfId="259" applyNumberFormat="1" applyFont="1" applyAlignment="1">
      <alignment horizontal="right" vertical="center"/>
    </xf>
    <xf numFmtId="0" fontId="178" fillId="0" borderId="0" xfId="333" applyFont="1" applyAlignment="1">
      <alignment vertical="center"/>
    </xf>
    <xf numFmtId="180" fontId="178" fillId="0" borderId="0" xfId="333" applyNumberFormat="1" applyFont="1" applyAlignment="1">
      <alignment vertical="center"/>
    </xf>
    <xf numFmtId="0" fontId="178" fillId="0" borderId="0" xfId="333" applyFont="1" applyAlignment="1">
      <alignment horizontal="right" vertical="center"/>
    </xf>
    <xf numFmtId="3" fontId="178" fillId="0" borderId="0" xfId="333" applyNumberFormat="1" applyFont="1" applyAlignment="1">
      <alignment horizontal="right" vertical="center"/>
    </xf>
    <xf numFmtId="0" fontId="179" fillId="0" borderId="0" xfId="333" applyNumberFormat="1" applyFont="1" applyFill="1" applyBorder="1" applyAlignment="1" applyProtection="1"/>
    <xf numFmtId="0" fontId="180" fillId="0" borderId="0" xfId="333" applyFont="1" applyAlignment="1">
      <alignment horizontal="left" vertical="center"/>
    </xf>
    <xf numFmtId="3" fontId="181" fillId="0" borderId="0" xfId="333" applyNumberFormat="1" applyFont="1" applyAlignment="1">
      <alignment horizontal="right" vertical="center"/>
    </xf>
    <xf numFmtId="0" fontId="182" fillId="0" borderId="0" xfId="333" applyFont="1" applyAlignment="1">
      <alignment vertical="center"/>
    </xf>
    <xf numFmtId="0" fontId="183" fillId="0" borderId="0" xfId="333" applyFont="1" applyFill="1" applyAlignment="1">
      <alignment vertical="center"/>
    </xf>
    <xf numFmtId="0" fontId="105" fillId="0" borderId="0" xfId="333" applyFont="1" applyAlignment="1">
      <alignment horizontal="left" vertical="center"/>
    </xf>
    <xf numFmtId="168" fontId="106" fillId="0" borderId="0" xfId="259" applyNumberFormat="1" applyFont="1" applyAlignment="1">
      <alignment horizontal="right" vertical="center"/>
    </xf>
    <xf numFmtId="0" fontId="107" fillId="0" borderId="0" xfId="333" applyNumberFormat="1" applyFont="1" applyFill="1" applyBorder="1" applyAlignment="1" applyProtection="1"/>
    <xf numFmtId="178" fontId="108" fillId="0" borderId="0" xfId="333" applyNumberFormat="1" applyFont="1" applyAlignment="1">
      <alignment horizontal="right" vertical="center"/>
    </xf>
    <xf numFmtId="0" fontId="180" fillId="0" borderId="0" xfId="333" applyFont="1" applyFill="1" applyAlignment="1">
      <alignment horizontal="left" vertical="center"/>
    </xf>
    <xf numFmtId="0" fontId="180" fillId="0" borderId="58" xfId="333" applyFont="1" applyFill="1" applyBorder="1" applyAlignment="1">
      <alignment horizontal="left" vertical="center"/>
    </xf>
    <xf numFmtId="168" fontId="180" fillId="0" borderId="59" xfId="259" applyNumberFormat="1" applyFont="1" applyFill="1" applyBorder="1" applyAlignment="1">
      <alignment horizontal="left" vertical="center"/>
    </xf>
    <xf numFmtId="0" fontId="184" fillId="66" borderId="58" xfId="333" applyNumberFormat="1" applyFont="1" applyFill="1" applyBorder="1" applyAlignment="1" applyProtection="1"/>
    <xf numFmtId="0" fontId="184" fillId="66" borderId="45" xfId="333" applyNumberFormat="1" applyFont="1" applyFill="1" applyBorder="1" applyAlignment="1" applyProtection="1"/>
    <xf numFmtId="168" fontId="184" fillId="66" borderId="59" xfId="259" applyNumberFormat="1" applyFont="1" applyFill="1" applyBorder="1" applyAlignment="1" applyProtection="1"/>
    <xf numFmtId="0" fontId="13" fillId="0" borderId="31" xfId="409" applyNumberFormat="1" applyFont="1" applyFill="1" applyBorder="1" applyAlignment="1" applyProtection="1"/>
    <xf numFmtId="0" fontId="13" fillId="0" borderId="0" xfId="0" applyFont="1" applyFill="1"/>
    <xf numFmtId="168" fontId="156" fillId="69" borderId="0" xfId="249" applyNumberFormat="1" applyFont="1" applyFill="1" applyAlignment="1" applyProtection="1">
      <alignment horizontal="left" vertical="top" wrapText="1"/>
      <protection locked="0"/>
    </xf>
    <xf numFmtId="3" fontId="185" fillId="0" borderId="0" xfId="0" applyNumberFormat="1" applyFont="1"/>
    <xf numFmtId="168" fontId="186" fillId="0" borderId="0" xfId="249" applyNumberFormat="1" applyFont="1" applyAlignment="1">
      <alignment horizontal="right" vertical="center"/>
    </xf>
    <xf numFmtId="168" fontId="152" fillId="53" borderId="31" xfId="249" applyNumberFormat="1" applyFont="1" applyFill="1" applyBorder="1" applyAlignment="1">
      <alignment horizontal="center"/>
    </xf>
    <xf numFmtId="168" fontId="13" fillId="28" borderId="31" xfId="249" applyNumberFormat="1" applyFont="1" applyFill="1" applyBorder="1" applyAlignment="1" applyProtection="1"/>
    <xf numFmtId="168" fontId="13" fillId="0" borderId="31" xfId="249" applyNumberFormat="1" applyFont="1" applyFill="1" applyBorder="1" applyAlignment="1" applyProtection="1"/>
    <xf numFmtId="168" fontId="13" fillId="28" borderId="0" xfId="249" applyNumberFormat="1" applyFont="1" applyFill="1"/>
    <xf numFmtId="0" fontId="145" fillId="65" borderId="0" xfId="385" quotePrefix="1" applyFont="1" applyFill="1"/>
    <xf numFmtId="0" fontId="187" fillId="65" borderId="0" xfId="385" applyFont="1" applyFill="1"/>
    <xf numFmtId="0" fontId="159" fillId="65" borderId="0" xfId="385" applyFont="1" applyFill="1"/>
    <xf numFmtId="0" fontId="143" fillId="65" borderId="0" xfId="385" applyFont="1" applyFill="1"/>
    <xf numFmtId="0" fontId="143" fillId="65" borderId="0" xfId="385" applyFont="1" applyFill="1" applyAlignment="1">
      <alignment horizontal="center"/>
    </xf>
    <xf numFmtId="0" fontId="187" fillId="65" borderId="0" xfId="385" applyFont="1" applyFill="1" applyAlignment="1">
      <alignment horizontal="center" wrapText="1"/>
    </xf>
    <xf numFmtId="41" fontId="158" fillId="65" borderId="0" xfId="385" applyNumberFormat="1" applyFont="1" applyFill="1" applyAlignment="1">
      <alignment horizontal="center" wrapText="1"/>
    </xf>
    <xf numFmtId="0" fontId="187" fillId="65" borderId="0" xfId="385" applyFont="1" applyFill="1" applyAlignment="1">
      <alignment wrapText="1"/>
    </xf>
    <xf numFmtId="41" fontId="159" fillId="65" borderId="0" xfId="385" applyNumberFormat="1" applyFont="1" applyFill="1" applyBorder="1" applyAlignment="1">
      <alignment horizontal="right" wrapText="1"/>
    </xf>
    <xf numFmtId="41" fontId="159" fillId="65" borderId="0" xfId="385" applyNumberFormat="1" applyFont="1" applyFill="1" applyBorder="1" applyAlignment="1">
      <alignment wrapText="1"/>
    </xf>
    <xf numFmtId="41" fontId="158" fillId="65" borderId="28" xfId="385" applyNumberFormat="1" applyFont="1" applyFill="1" applyBorder="1" applyAlignment="1">
      <alignment horizontal="right" wrapText="1"/>
    </xf>
    <xf numFmtId="41" fontId="158" fillId="65" borderId="0" xfId="385" applyNumberFormat="1" applyFont="1" applyFill="1" applyBorder="1" applyAlignment="1">
      <alignment horizontal="right" wrapText="1"/>
    </xf>
    <xf numFmtId="41" fontId="159" fillId="65" borderId="0" xfId="385" applyNumberFormat="1" applyFont="1" applyFill="1" applyAlignment="1">
      <alignment horizontal="right" wrapText="1"/>
    </xf>
    <xf numFmtId="41" fontId="158" fillId="65" borderId="0" xfId="385" applyNumberFormat="1" applyFont="1" applyFill="1" applyAlignment="1">
      <alignment horizontal="right" wrapText="1"/>
    </xf>
    <xf numFmtId="41" fontId="158" fillId="65" borderId="24" xfId="385" applyNumberFormat="1" applyFont="1" applyFill="1" applyBorder="1" applyAlignment="1">
      <alignment horizontal="right" wrapText="1"/>
    </xf>
    <xf numFmtId="0" fontId="188" fillId="65" borderId="0" xfId="385" applyFont="1" applyFill="1" applyAlignment="1">
      <alignment wrapText="1"/>
    </xf>
    <xf numFmtId="41" fontId="158" fillId="65" borderId="47" xfId="385" applyNumberFormat="1" applyFont="1" applyFill="1" applyBorder="1" applyAlignment="1">
      <alignment horizontal="right" wrapText="1"/>
    </xf>
    <xf numFmtId="41" fontId="149" fillId="65" borderId="0" xfId="385" applyNumberFormat="1" applyFont="1" applyFill="1"/>
    <xf numFmtId="0" fontId="149" fillId="65" borderId="0" xfId="385" applyFont="1" applyFill="1"/>
    <xf numFmtId="41" fontId="159" fillId="65" borderId="0" xfId="385" applyNumberFormat="1" applyFont="1" applyFill="1"/>
    <xf numFmtId="41" fontId="143" fillId="65" borderId="0" xfId="385" applyNumberFormat="1" applyFont="1" applyFill="1"/>
    <xf numFmtId="41" fontId="159" fillId="65" borderId="28" xfId="385" applyNumberFormat="1" applyFont="1" applyFill="1" applyBorder="1" applyAlignment="1">
      <alignment horizontal="right" wrapText="1"/>
    </xf>
    <xf numFmtId="0" fontId="159" fillId="65" borderId="0" xfId="385" applyFont="1" applyFill="1" applyAlignment="1">
      <alignment horizontal="center" wrapText="1"/>
    </xf>
    <xf numFmtId="0" fontId="158" fillId="65" borderId="0" xfId="385" applyFont="1" applyFill="1" applyAlignment="1">
      <alignment wrapText="1"/>
    </xf>
    <xf numFmtId="0" fontId="159" fillId="65" borderId="0" xfId="385" applyFont="1" applyFill="1" applyAlignment="1">
      <alignment wrapText="1"/>
    </xf>
    <xf numFmtId="0" fontId="189" fillId="65" borderId="0" xfId="385" applyFont="1" applyFill="1" applyAlignment="1">
      <alignment wrapText="1"/>
    </xf>
    <xf numFmtId="168" fontId="149" fillId="65" borderId="0" xfId="260" applyNumberFormat="1" applyFont="1" applyFill="1"/>
    <xf numFmtId="168" fontId="143" fillId="65" borderId="0" xfId="260" applyNumberFormat="1" applyFont="1" applyFill="1"/>
    <xf numFmtId="181" fontId="143" fillId="65" borderId="0" xfId="385" applyNumberFormat="1" applyFont="1" applyFill="1"/>
    <xf numFmtId="0" fontId="143" fillId="0" borderId="28" xfId="326" applyFont="1" applyBorder="1" applyAlignment="1">
      <alignment vertical="center" wrapText="1"/>
    </xf>
    <xf numFmtId="0" fontId="141" fillId="0" borderId="28" xfId="326" applyFont="1" applyBorder="1" applyAlignment="1">
      <alignment horizontal="right" vertical="center" wrapText="1"/>
    </xf>
    <xf numFmtId="41" fontId="165" fillId="65" borderId="0" xfId="385" applyNumberFormat="1" applyFont="1" applyFill="1"/>
    <xf numFmtId="0" fontId="165" fillId="65" borderId="0" xfId="385" applyFont="1" applyFill="1"/>
    <xf numFmtId="0" fontId="151" fillId="66" borderId="0" xfId="386" applyNumberFormat="1" applyFont="1" applyFill="1" applyBorder="1" applyAlignment="1">
      <alignment horizontal="center"/>
    </xf>
    <xf numFmtId="0" fontId="13" fillId="66" borderId="31" xfId="409" applyNumberFormat="1" applyFont="1" applyFill="1" applyBorder="1" applyAlignment="1" applyProtection="1">
      <alignment horizontal="left"/>
    </xf>
    <xf numFmtId="167" fontId="13" fillId="66" borderId="31" xfId="409" applyFont="1" applyFill="1" applyBorder="1" applyAlignment="1" applyProtection="1"/>
    <xf numFmtId="167" fontId="13" fillId="66" borderId="31" xfId="409" applyFont="1" applyFill="1" applyBorder="1" applyAlignment="1" applyProtection="1">
      <alignment horizontal="center"/>
    </xf>
    <xf numFmtId="41" fontId="13" fillId="66" borderId="31" xfId="409" applyNumberFormat="1" applyFont="1" applyFill="1" applyBorder="1" applyAlignment="1" applyProtection="1"/>
    <xf numFmtId="168" fontId="13" fillId="66" borderId="31" xfId="249" applyNumberFormat="1" applyFont="1" applyFill="1" applyBorder="1" applyAlignment="1" applyProtection="1"/>
    <xf numFmtId="41" fontId="153" fillId="66" borderId="31" xfId="409" applyNumberFormat="1" applyFont="1" applyFill="1" applyBorder="1" applyAlignment="1" applyProtection="1"/>
    <xf numFmtId="0" fontId="13" fillId="66" borderId="31" xfId="409" applyNumberFormat="1" applyFont="1" applyFill="1" applyBorder="1" applyAlignment="1" applyProtection="1"/>
    <xf numFmtId="0" fontId="13" fillId="66" borderId="0" xfId="0" applyFont="1" applyFill="1"/>
    <xf numFmtId="43" fontId="13" fillId="66" borderId="0" xfId="249" applyFont="1" applyFill="1"/>
    <xf numFmtId="41" fontId="13" fillId="66" borderId="0" xfId="0" applyNumberFormat="1" applyFont="1" applyFill="1"/>
    <xf numFmtId="168" fontId="99" fillId="67" borderId="0" xfId="259" applyNumberFormat="1" applyFont="1" applyFill="1" applyAlignment="1">
      <alignment horizontal="right" vertical="center"/>
    </xf>
    <xf numFmtId="41" fontId="13" fillId="67" borderId="31" xfId="409" applyNumberFormat="1" applyFont="1" applyFill="1" applyBorder="1" applyAlignment="1" applyProtection="1"/>
    <xf numFmtId="49" fontId="145" fillId="0" borderId="0" xfId="326" applyNumberFormat="1" applyFont="1" applyAlignment="1">
      <alignment horizontal="center" vertical="center"/>
    </xf>
    <xf numFmtId="0" fontId="145" fillId="0" borderId="0" xfId="326" applyFont="1"/>
    <xf numFmtId="41" fontId="145" fillId="0" borderId="0" xfId="326" applyNumberFormat="1" applyFont="1"/>
    <xf numFmtId="168" fontId="145" fillId="0" borderId="0" xfId="249" applyNumberFormat="1" applyFont="1"/>
    <xf numFmtId="41" fontId="145" fillId="0" borderId="24" xfId="326" applyNumberFormat="1" applyFont="1" applyBorder="1"/>
    <xf numFmtId="41" fontId="145" fillId="0" borderId="0" xfId="326" applyNumberFormat="1" applyFont="1" applyAlignment="1">
      <alignment horizontal="right" vertical="center" wrapText="1"/>
    </xf>
    <xf numFmtId="41" fontId="145" fillId="0" borderId="44" xfId="326" applyNumberFormat="1" applyFont="1" applyBorder="1" applyAlignment="1">
      <alignment horizontal="right" vertical="center" wrapText="1"/>
    </xf>
    <xf numFmtId="41" fontId="145" fillId="0" borderId="47" xfId="326" applyNumberFormat="1" applyFont="1" applyBorder="1" applyAlignment="1">
      <alignment horizontal="right" vertical="center" wrapText="1"/>
    </xf>
    <xf numFmtId="38" fontId="145" fillId="0" borderId="0" xfId="326" applyNumberFormat="1" applyFont="1" applyAlignment="1">
      <alignment horizontal="center" vertical="center"/>
    </xf>
    <xf numFmtId="38" fontId="145" fillId="0" borderId="0" xfId="326" applyNumberFormat="1" applyFont="1"/>
    <xf numFmtId="167" fontId="154" fillId="28" borderId="0" xfId="386" applyFont="1" applyFill="1" applyBorder="1"/>
    <xf numFmtId="168" fontId="163" fillId="53" borderId="31" xfId="221" applyNumberFormat="1" applyFont="1" applyBorder="1" applyAlignment="1">
      <alignment horizontal="center"/>
    </xf>
    <xf numFmtId="167" fontId="154" fillId="28" borderId="0" xfId="409" applyFont="1" applyFill="1">
      <alignment horizontal="left" vertical="top" wrapText="1"/>
      <protection locked="0"/>
    </xf>
    <xf numFmtId="168" fontId="154" fillId="28" borderId="0" xfId="249" applyNumberFormat="1" applyFont="1" applyFill="1" applyAlignment="1" applyProtection="1">
      <alignment horizontal="left" vertical="top" wrapText="1"/>
      <protection locked="0"/>
    </xf>
    <xf numFmtId="41" fontId="154" fillId="28" borderId="0" xfId="386" applyNumberFormat="1" applyFont="1" applyFill="1" applyBorder="1"/>
    <xf numFmtId="0" fontId="154" fillId="28" borderId="0" xfId="0" applyFont="1" applyFill="1"/>
    <xf numFmtId="41" fontId="154" fillId="65" borderId="31" xfId="409" applyNumberFormat="1" applyFont="1" applyFill="1" applyBorder="1" applyAlignment="1" applyProtection="1"/>
    <xf numFmtId="167" fontId="122" fillId="28" borderId="0" xfId="303" applyNumberFormat="1" applyFill="1" applyAlignment="1">
      <alignment horizontal="left" vertical="top" wrapText="1"/>
      <protection locked="0"/>
    </xf>
    <xf numFmtId="167" fontId="48" fillId="28" borderId="0" xfId="395" applyNumberFormat="1" applyFont="1" applyFill="1" applyAlignment="1">
      <alignment horizontal="left" vertical="top" wrapText="1"/>
      <protection locked="0"/>
    </xf>
    <xf numFmtId="167" fontId="73" fillId="28" borderId="0" xfId="305" applyNumberFormat="1" applyFont="1" applyFill="1" applyAlignment="1">
      <alignment horizontal="left" vertical="top" wrapText="1"/>
      <protection locked="0"/>
    </xf>
    <xf numFmtId="167" fontId="72" fillId="28" borderId="0" xfId="395" applyNumberFormat="1" applyFont="1" applyFill="1" applyAlignment="1">
      <alignment horizontal="center" vertical="top" wrapText="1"/>
      <protection locked="0"/>
    </xf>
    <xf numFmtId="169" fontId="136" fillId="28" borderId="0" xfId="405" applyNumberFormat="1" applyFont="1" applyFill="1" applyBorder="1" applyAlignment="1" applyProtection="1">
      <alignment horizontal="center" wrapText="1"/>
    </xf>
    <xf numFmtId="169" fontId="46" fillId="28" borderId="0" xfId="405" applyNumberFormat="1" applyFont="1" applyFill="1" applyBorder="1" applyAlignment="1" applyProtection="1">
      <alignment horizontal="center" wrapText="1"/>
    </xf>
    <xf numFmtId="3" fontId="41" fillId="75" borderId="18" xfId="410" applyNumberFormat="1" applyFont="1" applyFill="1" applyBorder="1" applyAlignment="1">
      <alignment horizontal="center"/>
    </xf>
    <xf numFmtId="3" fontId="41" fillId="75" borderId="19" xfId="410" applyNumberFormat="1" applyFont="1" applyFill="1" applyBorder="1" applyAlignment="1">
      <alignment horizontal="center"/>
    </xf>
    <xf numFmtId="3" fontId="14" fillId="69" borderId="51" xfId="0" applyNumberFormat="1" applyFont="1" applyFill="1" applyBorder="1" applyAlignment="1">
      <alignment horizontal="center" wrapText="1"/>
    </xf>
    <xf numFmtId="3" fontId="14" fillId="69" borderId="52" xfId="0" applyNumberFormat="1" applyFont="1" applyFill="1" applyBorder="1" applyAlignment="1">
      <alignment horizontal="center" wrapText="1"/>
    </xf>
    <xf numFmtId="41" fontId="14" fillId="69" borderId="51" xfId="0" applyNumberFormat="1" applyFont="1" applyFill="1" applyBorder="1" applyAlignment="1">
      <alignment horizontal="center" wrapText="1"/>
    </xf>
    <xf numFmtId="41" fontId="14" fillId="69" borderId="52" xfId="0" applyNumberFormat="1" applyFont="1" applyFill="1" applyBorder="1" applyAlignment="1">
      <alignment horizontal="center" wrapText="1"/>
    </xf>
    <xf numFmtId="49" fontId="14" fillId="29" borderId="60" xfId="0" applyNumberFormat="1" applyFont="1" applyFill="1" applyBorder="1" applyAlignment="1">
      <alignment horizontal="center"/>
    </xf>
    <xf numFmtId="49" fontId="14" fillId="29" borderId="61" xfId="0" applyNumberFormat="1" applyFont="1" applyFill="1" applyBorder="1" applyAlignment="1">
      <alignment horizontal="center"/>
    </xf>
    <xf numFmtId="168" fontId="152" fillId="53" borderId="50" xfId="221" applyNumberFormat="1" applyFont="1" applyBorder="1" applyAlignment="1">
      <alignment horizontal="center"/>
    </xf>
    <xf numFmtId="168" fontId="152" fillId="53" borderId="62" xfId="221" applyNumberFormat="1" applyFont="1" applyBorder="1" applyAlignment="1">
      <alignment horizontal="center"/>
    </xf>
    <xf numFmtId="168" fontId="152" fillId="53" borderId="31" xfId="249" applyNumberFormat="1" applyFont="1" applyFill="1" applyBorder="1" applyAlignment="1">
      <alignment horizontal="center"/>
    </xf>
    <xf numFmtId="168" fontId="152" fillId="53" borderId="31" xfId="221" applyNumberFormat="1" applyFont="1" applyBorder="1" applyAlignment="1">
      <alignment horizontal="center"/>
    </xf>
    <xf numFmtId="168" fontId="163" fillId="71" borderId="31" xfId="221" applyNumberFormat="1" applyFont="1" applyFill="1" applyBorder="1" applyAlignment="1">
      <alignment horizontal="center"/>
    </xf>
  </cellXfs>
  <cellStyles count="486">
    <cellStyle name="20 % - Accent1" xfId="1"/>
    <cellStyle name="20 % - Accent2" xfId="2"/>
    <cellStyle name="20 % - Accent3" xfId="3"/>
    <cellStyle name="20 % - Accent4" xfId="4"/>
    <cellStyle name="20 % - Accent5" xfId="5"/>
    <cellStyle name="20 % - Accent6" xfId="6"/>
    <cellStyle name="20% - Accent1 10" xfId="7"/>
    <cellStyle name="20% - Accent1 11" xfId="8"/>
    <cellStyle name="20% - Accent1 12" xfId="9"/>
    <cellStyle name="20% - Accent1 13" xfId="10"/>
    <cellStyle name="20% - Accent1 14" xfId="11"/>
    <cellStyle name="20% - Accent1 15" xfId="12"/>
    <cellStyle name="20% - Accent1 2" xfId="13"/>
    <cellStyle name="20% - Accent1 3" xfId="14"/>
    <cellStyle name="20% - Accent1 4" xfId="15"/>
    <cellStyle name="20% - Accent1 5" xfId="16"/>
    <cellStyle name="20% - Accent1 6" xfId="17"/>
    <cellStyle name="20% - Accent1 7" xfId="18"/>
    <cellStyle name="20% - Accent1 8" xfId="19"/>
    <cellStyle name="20% - Accent1 9" xfId="20"/>
    <cellStyle name="20% - Accent2 10" xfId="21"/>
    <cellStyle name="20% - Accent2 11" xfId="22"/>
    <cellStyle name="20% - Accent2 12" xfId="23"/>
    <cellStyle name="20% - Accent2 13" xfId="24"/>
    <cellStyle name="20% - Accent2 14" xfId="25"/>
    <cellStyle name="20% - Accent2 15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12" xfId="37"/>
    <cellStyle name="20% - Accent3 13" xfId="38"/>
    <cellStyle name="20% - Accent3 14" xfId="39"/>
    <cellStyle name="20% - Accent3 15" xfId="40"/>
    <cellStyle name="20% - Accent3 2" xfId="41"/>
    <cellStyle name="20% - Accent3 3" xfId="42"/>
    <cellStyle name="20% - Accent3 4" xfId="43"/>
    <cellStyle name="20% - Accent3 5" xfId="44"/>
    <cellStyle name="20% - Accent3 6" xfId="45"/>
    <cellStyle name="20% - Accent3 7" xfId="46"/>
    <cellStyle name="20% - Accent3 8" xfId="47"/>
    <cellStyle name="20% - Accent3 9" xfId="48"/>
    <cellStyle name="20% - Accent4 10" xfId="49"/>
    <cellStyle name="20% - Accent4 11" xfId="50"/>
    <cellStyle name="20% - Accent4 12" xfId="51"/>
    <cellStyle name="20% - Accent4 13" xfId="52"/>
    <cellStyle name="20% - Accent4 14" xfId="53"/>
    <cellStyle name="20% - Accent4 15" xfId="54"/>
    <cellStyle name="20% - Accent4 2" xfId="55"/>
    <cellStyle name="20% - Accent4 3" xfId="56"/>
    <cellStyle name="20% - Accent4 4" xfId="57"/>
    <cellStyle name="20% - Accent4 5" xfId="58"/>
    <cellStyle name="20% - Accent4 6" xfId="59"/>
    <cellStyle name="20% - Accent4 7" xfId="60"/>
    <cellStyle name="20% - Accent4 8" xfId="61"/>
    <cellStyle name="20% - Accent4 9" xfId="62"/>
    <cellStyle name="20% - Accent5 10" xfId="63"/>
    <cellStyle name="20% - Accent5 11" xfId="64"/>
    <cellStyle name="20% - Accent5 12" xfId="65"/>
    <cellStyle name="20% - Accent5 13" xfId="66"/>
    <cellStyle name="20% - Accent5 14" xfId="67"/>
    <cellStyle name="20% - Accent5 15" xfId="68"/>
    <cellStyle name="20% - Accent5 2" xfId="69"/>
    <cellStyle name="20% - Accent5 3" xfId="70"/>
    <cellStyle name="20% - Accent5 4" xfId="71"/>
    <cellStyle name="20% - Accent5 5" xfId="72"/>
    <cellStyle name="20% - Accent5 6" xfId="73"/>
    <cellStyle name="20% - Accent5 7" xfId="74"/>
    <cellStyle name="20% - Accent5 8" xfId="75"/>
    <cellStyle name="20% - Accent5 9" xfId="76"/>
    <cellStyle name="20% - Accent6 10" xfId="77"/>
    <cellStyle name="20% - Accent6 11" xfId="78"/>
    <cellStyle name="20% - Accent6 12" xfId="79"/>
    <cellStyle name="20% - Accent6 13" xfId="80"/>
    <cellStyle name="20% - Accent6 14" xfId="81"/>
    <cellStyle name="20% - Accent6 15" xfId="82"/>
    <cellStyle name="20% - Accent6 2" xfId="83"/>
    <cellStyle name="20% - Accent6 3" xfId="84"/>
    <cellStyle name="20% - Accent6 4" xfId="85"/>
    <cellStyle name="20% - Accent6 5" xfId="86"/>
    <cellStyle name="20% - Accent6 6" xfId="87"/>
    <cellStyle name="20% - Accent6 7" xfId="88"/>
    <cellStyle name="20% - Accent6 8" xfId="89"/>
    <cellStyle name="20% - Accent6 9" xfId="90"/>
    <cellStyle name="20% - Colore 1" xfId="91"/>
    <cellStyle name="20% - Colore 2" xfId="92"/>
    <cellStyle name="20% - Colore 3" xfId="93"/>
    <cellStyle name="20% - Colore 4" xfId="94"/>
    <cellStyle name="20% - Colore 5" xfId="95"/>
    <cellStyle name="20% - Colore 6" xfId="96"/>
    <cellStyle name="40 % - Accent1" xfId="97"/>
    <cellStyle name="40 % - Accent2" xfId="98"/>
    <cellStyle name="40 % - Accent3" xfId="99"/>
    <cellStyle name="40 % - Accent4" xfId="100"/>
    <cellStyle name="40 % - Accent5" xfId="101"/>
    <cellStyle name="40 % - Accent6" xfId="102"/>
    <cellStyle name="40% - Accent1 10" xfId="103"/>
    <cellStyle name="40% - Accent1 11" xfId="104"/>
    <cellStyle name="40% - Accent1 12" xfId="105"/>
    <cellStyle name="40% - Accent1 13" xfId="106"/>
    <cellStyle name="40% - Accent1 14" xfId="107"/>
    <cellStyle name="40% - Accent1 15" xfId="108"/>
    <cellStyle name="40% - Accent1 2" xfId="109"/>
    <cellStyle name="40% - Accent1 3" xfId="110"/>
    <cellStyle name="40% - Accent1 4" xfId="111"/>
    <cellStyle name="40% - Accent1 5" xfId="112"/>
    <cellStyle name="40% - Accent1 6" xfId="113"/>
    <cellStyle name="40% - Accent1 7" xfId="114"/>
    <cellStyle name="40% - Accent1 8" xfId="115"/>
    <cellStyle name="40% - Accent1 9" xfId="116"/>
    <cellStyle name="40% - Accent2 10" xfId="117"/>
    <cellStyle name="40% - Accent2 11" xfId="118"/>
    <cellStyle name="40% - Accent2 12" xfId="119"/>
    <cellStyle name="40% - Accent2 13" xfId="120"/>
    <cellStyle name="40% - Accent2 14" xfId="121"/>
    <cellStyle name="40% - Accent2 15" xfId="122"/>
    <cellStyle name="40% - Accent2 2" xfId="123"/>
    <cellStyle name="40% - Accent2 3" xfId="124"/>
    <cellStyle name="40% - Accent2 4" xfId="125"/>
    <cellStyle name="40% - Accent2 5" xfId="126"/>
    <cellStyle name="40% - Accent2 6" xfId="127"/>
    <cellStyle name="40% - Accent2 7" xfId="128"/>
    <cellStyle name="40% - Accent2 8" xfId="129"/>
    <cellStyle name="40% - Accent2 9" xfId="130"/>
    <cellStyle name="40% - Accent3 10" xfId="131"/>
    <cellStyle name="40% - Accent3 11" xfId="132"/>
    <cellStyle name="40% - Accent3 12" xfId="133"/>
    <cellStyle name="40% - Accent3 13" xfId="134"/>
    <cellStyle name="40% - Accent3 14" xfId="135"/>
    <cellStyle name="40% - Accent3 15" xfId="136"/>
    <cellStyle name="40% - Accent3 2" xfId="137"/>
    <cellStyle name="40% - Accent3 3" xfId="138"/>
    <cellStyle name="40% - Accent3 4" xfId="139"/>
    <cellStyle name="40% - Accent3 5" xfId="140"/>
    <cellStyle name="40% - Accent3 6" xfId="141"/>
    <cellStyle name="40% - Accent3 7" xfId="142"/>
    <cellStyle name="40% - Accent3 8" xfId="143"/>
    <cellStyle name="40% - Accent3 9" xfId="144"/>
    <cellStyle name="40% - Accent4 10" xfId="145"/>
    <cellStyle name="40% - Accent4 11" xfId="146"/>
    <cellStyle name="40% - Accent4 12" xfId="147"/>
    <cellStyle name="40% - Accent4 13" xfId="148"/>
    <cellStyle name="40% - Accent4 14" xfId="149"/>
    <cellStyle name="40% - Accent4 15" xfId="150"/>
    <cellStyle name="40% - Accent4 16" xfId="151"/>
    <cellStyle name="40% - Accent4 2" xfId="152"/>
    <cellStyle name="40% - Accent4 3" xfId="153"/>
    <cellStyle name="40% - Accent4 4" xfId="154"/>
    <cellStyle name="40% - Accent4 5" xfId="155"/>
    <cellStyle name="40% - Accent4 6" xfId="156"/>
    <cellStyle name="40% - Accent4 7" xfId="157"/>
    <cellStyle name="40% - Accent4 8" xfId="158"/>
    <cellStyle name="40% - Accent4 9" xfId="159"/>
    <cellStyle name="40% - Accent5 10" xfId="160"/>
    <cellStyle name="40% - Accent5 11" xfId="161"/>
    <cellStyle name="40% - Accent5 12" xfId="162"/>
    <cellStyle name="40% - Accent5 13" xfId="163"/>
    <cellStyle name="40% - Accent5 14" xfId="164"/>
    <cellStyle name="40% - Accent5 15" xfId="165"/>
    <cellStyle name="40% - Accent5 2" xfId="166"/>
    <cellStyle name="40% - Accent5 3" xfId="167"/>
    <cellStyle name="40% - Accent5 4" xfId="168"/>
    <cellStyle name="40% - Accent5 5" xfId="169"/>
    <cellStyle name="40% - Accent5 6" xfId="170"/>
    <cellStyle name="40% - Accent5 7" xfId="171"/>
    <cellStyle name="40% - Accent5 8" xfId="172"/>
    <cellStyle name="40% - Accent5 9" xfId="173"/>
    <cellStyle name="40% - Accent6 10" xfId="174"/>
    <cellStyle name="40% - Accent6 11" xfId="175"/>
    <cellStyle name="40% - Accent6 12" xfId="176"/>
    <cellStyle name="40% - Accent6 13" xfId="177"/>
    <cellStyle name="40% - Accent6 14" xfId="178"/>
    <cellStyle name="40% - Accent6 15" xfId="179"/>
    <cellStyle name="40% - Accent6 2" xfId="180"/>
    <cellStyle name="40% - Accent6 3" xfId="181"/>
    <cellStyle name="40% - Accent6 4" xfId="182"/>
    <cellStyle name="40% - Accent6 5" xfId="183"/>
    <cellStyle name="40% - Accent6 6" xfId="184"/>
    <cellStyle name="40% - Accent6 7" xfId="185"/>
    <cellStyle name="40% - Accent6 8" xfId="186"/>
    <cellStyle name="40% - Accent6 9" xfId="187"/>
    <cellStyle name="40% - Colore 1" xfId="188"/>
    <cellStyle name="40% - Colore 2" xfId="189"/>
    <cellStyle name="40% - Colore 3" xfId="190"/>
    <cellStyle name="40% - Colore 4" xfId="191"/>
    <cellStyle name="40% - Colore 5" xfId="192"/>
    <cellStyle name="40% - Colore 6" xfId="193"/>
    <cellStyle name="60 % - Accent1" xfId="194"/>
    <cellStyle name="60 % - Accent2" xfId="195"/>
    <cellStyle name="60 % - Accent3" xfId="196"/>
    <cellStyle name="60 % - Accent4" xfId="197"/>
    <cellStyle name="60 % - Accent5" xfId="198"/>
    <cellStyle name="60 % - Accent6" xfId="199"/>
    <cellStyle name="60% - Accent1 2" xfId="200"/>
    <cellStyle name="60% - Accent2 2" xfId="201"/>
    <cellStyle name="60% - Accent3 2" xfId="202"/>
    <cellStyle name="60% - Accent4 2" xfId="203"/>
    <cellStyle name="60% - Accent4 3" xfId="204"/>
    <cellStyle name="60% - Accent4 4" xfId="205"/>
    <cellStyle name="60% - Accent4 5" xfId="206"/>
    <cellStyle name="60% - Accent4 6" xfId="207"/>
    <cellStyle name="60% - Accent4 7" xfId="208"/>
    <cellStyle name="60% - Accent4 8" xfId="209"/>
    <cellStyle name="60% - Accent5 2" xfId="210"/>
    <cellStyle name="60% - Accent6 2" xfId="211"/>
    <cellStyle name="60% - Colore 1" xfId="212"/>
    <cellStyle name="60% - Colore 2" xfId="213"/>
    <cellStyle name="60% - Colore 3" xfId="214"/>
    <cellStyle name="60% - Colore 4" xfId="215"/>
    <cellStyle name="60% - Colore 5" xfId="216"/>
    <cellStyle name="60% - Colore 6" xfId="217"/>
    <cellStyle name="Accent1 2" xfId="218"/>
    <cellStyle name="Accent1 3" xfId="219"/>
    <cellStyle name="Accent2 2" xfId="220"/>
    <cellStyle name="Accent2 2 2" xfId="221"/>
    <cellStyle name="Accent2 2_1.6 - CFS" xfId="222"/>
    <cellStyle name="Accent2 3" xfId="223"/>
    <cellStyle name="Accent2 4" xfId="224"/>
    <cellStyle name="Accent3 2" xfId="225"/>
    <cellStyle name="Accent4 2" xfId="226"/>
    <cellStyle name="Accent4 3" xfId="227"/>
    <cellStyle name="Accent5 2" xfId="228"/>
    <cellStyle name="Accent6 2" xfId="229"/>
    <cellStyle name="Avertissement" xfId="230"/>
    <cellStyle name="Bad 2" xfId="231"/>
    <cellStyle name="Calcolo" xfId="232"/>
    <cellStyle name="Calcul" xfId="233"/>
    <cellStyle name="Calculation 2" xfId="234"/>
    <cellStyle name="Calculation 3" xfId="235"/>
    <cellStyle name="Cella collegata" xfId="236"/>
    <cellStyle name="Cella da controllare" xfId="237"/>
    <cellStyle name="Cellule liée" xfId="238"/>
    <cellStyle name="Check Cell 2" xfId="239"/>
    <cellStyle name="Check Cell 2 2" xfId="240"/>
    <cellStyle name="Check Cell 2_1.6 - CFS" xfId="241"/>
    <cellStyle name="Check Cell 3" xfId="242"/>
    <cellStyle name="Colore 1" xfId="243"/>
    <cellStyle name="Colore 2" xfId="244"/>
    <cellStyle name="Colore 3" xfId="245"/>
    <cellStyle name="Colore 4" xfId="246"/>
    <cellStyle name="Colore 5" xfId="247"/>
    <cellStyle name="Colore 6" xfId="248"/>
    <cellStyle name="Comma" xfId="249" builtinId="3"/>
    <cellStyle name="Comma [0] 2" xfId="250"/>
    <cellStyle name="Comma [0] 3" xfId="251"/>
    <cellStyle name="Comma 10" xfId="252"/>
    <cellStyle name="Comma 11" xfId="253"/>
    <cellStyle name="Comma 12" xfId="254"/>
    <cellStyle name="Comma 12 2" xfId="255"/>
    <cellStyle name="Comma 13" xfId="256"/>
    <cellStyle name="Comma 14" xfId="257"/>
    <cellStyle name="Comma 15" xfId="258"/>
    <cellStyle name="Comma 16" xfId="259"/>
    <cellStyle name="Comma 17" xfId="260"/>
    <cellStyle name="Comma 2" xfId="261"/>
    <cellStyle name="Comma 2 2" xfId="262"/>
    <cellStyle name="Comma 2 2 2" xfId="263"/>
    <cellStyle name="Comma 2 2 3" xfId="264"/>
    <cellStyle name="Comma 3" xfId="265"/>
    <cellStyle name="Comma 3 2" xfId="266"/>
    <cellStyle name="Comma 4" xfId="267"/>
    <cellStyle name="Comma 4 2" xfId="268"/>
    <cellStyle name="Comma 5" xfId="269"/>
    <cellStyle name="Comma 5 2" xfId="270"/>
    <cellStyle name="Comma 6" xfId="271"/>
    <cellStyle name="Comma 6 2" xfId="272"/>
    <cellStyle name="Comma 6 3" xfId="273"/>
    <cellStyle name="Comma 6_FKCF-FS 02.08" xfId="274"/>
    <cellStyle name="Comma 7" xfId="275"/>
    <cellStyle name="Comma 7 2" xfId="276"/>
    <cellStyle name="Comma 7 3" xfId="277"/>
    <cellStyle name="Comma 8" xfId="278"/>
    <cellStyle name="Comma 8 2" xfId="279"/>
    <cellStyle name="Comma 8 2 2" xfId="280"/>
    <cellStyle name="Comma 9" xfId="281"/>
    <cellStyle name="Comma 9 2" xfId="282"/>
    <cellStyle name="Comma_1" xfId="283"/>
    <cellStyle name="Commentaire" xfId="284"/>
    <cellStyle name="Currency 2" xfId="285"/>
    <cellStyle name="Currency 3" xfId="286"/>
    <cellStyle name="Currency 4" xfId="287"/>
    <cellStyle name="Currency 5" xfId="288"/>
    <cellStyle name="Currency 6" xfId="289"/>
    <cellStyle name="E&amp;Y House" xfId="290"/>
    <cellStyle name="Entrée" xfId="291"/>
    <cellStyle name="Euro" xfId="292"/>
    <cellStyle name="Euro 2" xfId="293"/>
    <cellStyle name="Explanatory Text 2" xfId="294"/>
    <cellStyle name="EYSheetHeader1" xfId="295"/>
    <cellStyle name="Good 2" xfId="296"/>
    <cellStyle name="Heading 1 2" xfId="297"/>
    <cellStyle name="Heading 2 2" xfId="298"/>
    <cellStyle name="Heading 3 2" xfId="299"/>
    <cellStyle name="Heading 4 2" xfId="300"/>
    <cellStyle name="HMRCalculated" xfId="301"/>
    <cellStyle name="HMRInput" xfId="302"/>
    <cellStyle name="Hyperlink" xfId="303" builtinId="8"/>
    <cellStyle name="Hyperlink 2" xfId="304"/>
    <cellStyle name="Hyperlink 2 2" xfId="305"/>
    <cellStyle name="Hyperlink 3" xfId="306"/>
    <cellStyle name="Hyperlink 4" xfId="307"/>
    <cellStyle name="Hyperlink 5" xfId="308"/>
    <cellStyle name="Input 2" xfId="309"/>
    <cellStyle name="Input 3" xfId="310"/>
    <cellStyle name="Insatisfaisant" xfId="311"/>
    <cellStyle name="Linked Cell 2" xfId="312"/>
    <cellStyle name="Migliaia 2" xfId="313"/>
    <cellStyle name="Migliaia 3" xfId="314"/>
    <cellStyle name="Neutral 2" xfId="315"/>
    <cellStyle name="Neutrale" xfId="316"/>
    <cellStyle name="Neutre" xfId="317"/>
    <cellStyle name="Normal" xfId="0" builtinId="0"/>
    <cellStyle name="Normal 10" xfId="318"/>
    <cellStyle name="Normal 10 2" xfId="319"/>
    <cellStyle name="Normal 10 2 2" xfId="320"/>
    <cellStyle name="Normal 11" xfId="321"/>
    <cellStyle name="Normal 11 2" xfId="322"/>
    <cellStyle name="Normal 12" xfId="323"/>
    <cellStyle name="Normal 13" xfId="324"/>
    <cellStyle name="Normal 14" xfId="325"/>
    <cellStyle name="Normal 15" xfId="326"/>
    <cellStyle name="Normal 15 2" xfId="327"/>
    <cellStyle name="Normal 16" xfId="328"/>
    <cellStyle name="Normal 17" xfId="329"/>
    <cellStyle name="Normal 18" xfId="330"/>
    <cellStyle name="Normal 19" xfId="331"/>
    <cellStyle name="Normal 2" xfId="332"/>
    <cellStyle name="Normal 2 2" xfId="333"/>
    <cellStyle name="Normal 2 2 2" xfId="334"/>
    <cellStyle name="Normal 2 2 2 2" xfId="335"/>
    <cellStyle name="Normal 2 2 3" xfId="336"/>
    <cellStyle name="Normal 2 3" xfId="337"/>
    <cellStyle name="Normal 2 3 2" xfId="338"/>
    <cellStyle name="Normal 2 3_1.6 - CFS" xfId="339"/>
    <cellStyle name="Normal 2 4" xfId="340"/>
    <cellStyle name="Normal 2 5" xfId="341"/>
    <cellStyle name="Normal 2 6" xfId="342"/>
    <cellStyle name="Normal 2_1.6 - CFS" xfId="343"/>
    <cellStyle name="Normal 20" xfId="344"/>
    <cellStyle name="Normal 21" xfId="345"/>
    <cellStyle name="Normal 22" xfId="346"/>
    <cellStyle name="Normal 23" xfId="347"/>
    <cellStyle name="Normal 24" xfId="348"/>
    <cellStyle name="Normal 25" xfId="349"/>
    <cellStyle name="Normal 26" xfId="350"/>
    <cellStyle name="Normal 27" xfId="351"/>
    <cellStyle name="Normal 28" xfId="352"/>
    <cellStyle name="Normal 29" xfId="353"/>
    <cellStyle name="Normal 3" xfId="354"/>
    <cellStyle name="Normal 3 2" xfId="355"/>
    <cellStyle name="Normal 3 2 2" xfId="356"/>
    <cellStyle name="Normal 3 3" xfId="357"/>
    <cellStyle name="Normal 3 3 2" xfId="358"/>
    <cellStyle name="Normal 3 3 3" xfId="359"/>
    <cellStyle name="Normal 3 3_1.6 - CFS" xfId="360"/>
    <cellStyle name="Normal 3 4" xfId="361"/>
    <cellStyle name="Normal 3_1.6 - CFS" xfId="362"/>
    <cellStyle name="Normal 30" xfId="363"/>
    <cellStyle name="Normal 31" xfId="364"/>
    <cellStyle name="Normal 32" xfId="365"/>
    <cellStyle name="Normal 33" xfId="366"/>
    <cellStyle name="Normal 34" xfId="367"/>
    <cellStyle name="Normal 35" xfId="368"/>
    <cellStyle name="Normal 36" xfId="369"/>
    <cellStyle name="Normal 37" xfId="370"/>
    <cellStyle name="Normal 37 2" xfId="371"/>
    <cellStyle name="Normal 38" xfId="372"/>
    <cellStyle name="Normal 38 2" xfId="373"/>
    <cellStyle name="Normal 39" xfId="374"/>
    <cellStyle name="Normal 4" xfId="375"/>
    <cellStyle name="Normal 4 2" xfId="376"/>
    <cellStyle name="Normal 4 3" xfId="377"/>
    <cellStyle name="Normal 4_1.6 - CFS" xfId="378"/>
    <cellStyle name="Normal 40" xfId="379"/>
    <cellStyle name="Normal 40 2" xfId="380"/>
    <cellStyle name="Normal 41" xfId="381"/>
    <cellStyle name="Normal 42" xfId="382"/>
    <cellStyle name="Normal 43" xfId="383"/>
    <cellStyle name="Normal 44" xfId="384"/>
    <cellStyle name="Normal 45" xfId="385"/>
    <cellStyle name="Normal 5" xfId="386"/>
    <cellStyle name="Normal 5 2" xfId="387"/>
    <cellStyle name="Normal 6" xfId="388"/>
    <cellStyle name="Normal 6 2" xfId="389"/>
    <cellStyle name="Normal 6 3" xfId="390"/>
    <cellStyle name="Normal 6 4" xfId="391"/>
    <cellStyle name="Normal 6 5" xfId="392"/>
    <cellStyle name="Normal 6_1.6 - CFS" xfId="393"/>
    <cellStyle name="Normal 7" xfId="394"/>
    <cellStyle name="Normal 7 2" xfId="395"/>
    <cellStyle name="Normal 8" xfId="396"/>
    <cellStyle name="Normal 8 2" xfId="397"/>
    <cellStyle name="Normal 9" xfId="398"/>
    <cellStyle name="Normal 9 2" xfId="399"/>
    <cellStyle name="Normal 9_1.10 Income Tax" xfId="400"/>
    <cellStyle name="Normal_1.4 Notes" xfId="401"/>
    <cellStyle name="Normal_CF 2" xfId="402"/>
    <cellStyle name="Normal_FKCF 31.12.2005 Financial Statements 2" xfId="403"/>
    <cellStyle name="Normal_FKCF 31.12.2005 Financial Statements 3" xfId="404"/>
    <cellStyle name="Normal_FKCF 31.12.2005 Financial Statements 5" xfId="405"/>
    <cellStyle name="Normal_FKCF 31.12.2005 Financial Statements 8" xfId="406"/>
    <cellStyle name="Normal_FSC and GL accts ECF 2" xfId="407"/>
    <cellStyle name="Normal_Seament 05- Consolidation Model" xfId="408"/>
    <cellStyle name="Normal_Sheet1" xfId="409"/>
    <cellStyle name="Normal_Sheet3" xfId="410"/>
    <cellStyle name="Normale 2" xfId="411"/>
    <cellStyle name="Normale 3" xfId="412"/>
    <cellStyle name="Normale 4" xfId="413"/>
    <cellStyle name="Normale_BILANCIO FKT 1997" xfId="414"/>
    <cellStyle name="Normalny_AKTYWA" xfId="415"/>
    <cellStyle name="Nota" xfId="416"/>
    <cellStyle name="Note 10" xfId="417"/>
    <cellStyle name="Note 11" xfId="418"/>
    <cellStyle name="Note 12" xfId="419"/>
    <cellStyle name="Note 13" xfId="420"/>
    <cellStyle name="Note 14" xfId="421"/>
    <cellStyle name="Note 15" xfId="422"/>
    <cellStyle name="Note 16" xfId="423"/>
    <cellStyle name="Note 17" xfId="424"/>
    <cellStyle name="Note 18" xfId="425"/>
    <cellStyle name="Note 19" xfId="426"/>
    <cellStyle name="Note 2" xfId="427"/>
    <cellStyle name="Note 20" xfId="428"/>
    <cellStyle name="Note 21" xfId="429"/>
    <cellStyle name="Note 22" xfId="430"/>
    <cellStyle name="Note 23" xfId="431"/>
    <cellStyle name="Note 24" xfId="432"/>
    <cellStyle name="Note 25" xfId="433"/>
    <cellStyle name="Note 26" xfId="434"/>
    <cellStyle name="Note 27" xfId="435"/>
    <cellStyle name="Note 28" xfId="436"/>
    <cellStyle name="Note 29" xfId="437"/>
    <cellStyle name="Note 3" xfId="438"/>
    <cellStyle name="Note 30" xfId="439"/>
    <cellStyle name="Note 31" xfId="440"/>
    <cellStyle name="Note 32" xfId="441"/>
    <cellStyle name="Note 33" xfId="442"/>
    <cellStyle name="Note 34" xfId="443"/>
    <cellStyle name="Note 35" xfId="444"/>
    <cellStyle name="Note 36" xfId="445"/>
    <cellStyle name="Note 4" xfId="446"/>
    <cellStyle name="Note 5" xfId="447"/>
    <cellStyle name="Note 6" xfId="448"/>
    <cellStyle name="Note 7" xfId="449"/>
    <cellStyle name="Note 8" xfId="450"/>
    <cellStyle name="Note 9" xfId="451"/>
    <cellStyle name="Output 2" xfId="452"/>
    <cellStyle name="Percent" xfId="453" builtinId="5"/>
    <cellStyle name="Percent 2" xfId="454"/>
    <cellStyle name="Percent 2 2" xfId="455"/>
    <cellStyle name="Percent 2 3" xfId="456"/>
    <cellStyle name="Percent 3" xfId="457"/>
    <cellStyle name="Percent 3 2" xfId="458"/>
    <cellStyle name="Percent 4" xfId="459"/>
    <cellStyle name="Percent 5" xfId="460"/>
    <cellStyle name="Percent 6" xfId="461"/>
    <cellStyle name="Percentuale 2" xfId="462"/>
    <cellStyle name="Satisfaisant" xfId="463"/>
    <cellStyle name="Sortie" xfId="464"/>
    <cellStyle name="Testo avviso" xfId="465"/>
    <cellStyle name="Testo descrittivo" xfId="466"/>
    <cellStyle name="Texte explicatif" xfId="467"/>
    <cellStyle name="Title 2" xfId="468"/>
    <cellStyle name="Titolo" xfId="469"/>
    <cellStyle name="Titolo 1" xfId="470"/>
    <cellStyle name="Titolo 2" xfId="471"/>
    <cellStyle name="Titolo 3" xfId="472"/>
    <cellStyle name="Titolo 4" xfId="473"/>
    <cellStyle name="Titre" xfId="474"/>
    <cellStyle name="Titre 1" xfId="475"/>
    <cellStyle name="Titre 2" xfId="476"/>
    <cellStyle name="Titre 3" xfId="477"/>
    <cellStyle name="Titre 4" xfId="478"/>
    <cellStyle name="Total 2" xfId="479"/>
    <cellStyle name="Totale" xfId="480"/>
    <cellStyle name="Valore non valido" xfId="481"/>
    <cellStyle name="Valore valido" xfId="482"/>
    <cellStyle name="Vérification" xfId="483"/>
    <cellStyle name="Warning Text 2" xfId="484"/>
    <cellStyle name="常规_civil quantity(plan2)11.22" xfId="4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00"/>
      <rgbColor rgb="00000000"/>
      <rgbColor rgb="00000000"/>
      <rgbColor rgb="00000000"/>
      <rgbColor rgb="00000000"/>
      <rgbColor rgb="00008000"/>
      <rgbColor rgb="00000000"/>
      <rgbColor rgb="00808000"/>
      <rgbColor rgb="00000000"/>
      <rgbColor rgb="00000000"/>
      <rgbColor rgb="00C0C0C0"/>
      <rgbColor rgb="00808080"/>
      <rgbColor rgb="009999FF"/>
      <rgbColor rgb="00000000"/>
      <rgbColor rgb="00FFFFCC"/>
      <rgbColor rgb="00000000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285750</xdr:colOff>
      <xdr:row>5</xdr:row>
      <xdr:rowOff>76200</xdr:rowOff>
    </xdr:to>
    <xdr:pic>
      <xdr:nvPicPr>
        <xdr:cNvPr id="39947" name="Picture 3" descr="letterhea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6000" contrast="46000"/>
        </a:blip>
        <a:srcRect l="6349" t="2563" b="73341"/>
        <a:stretch>
          <a:fillRect/>
        </a:stretch>
      </xdr:blipFill>
      <xdr:spPr bwMode="auto">
        <a:xfrm>
          <a:off x="0" y="190500"/>
          <a:ext cx="1609725" cy="857250"/>
        </a:xfrm>
        <a:prstGeom prst="rect">
          <a:avLst/>
        </a:prstGeom>
        <a:solidFill>
          <a:srgbClr val="333399">
            <a:alpha val="89803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Desktop/CEM%202008/INCOMING%20REP/Mgmt%2005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TCHCONSFS%2012.111-dt29.03-FINAL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si/Downloads/FKCF-FS%2012.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imealliu/AppData/Local/Microsoft/Windows/Temporary%20Internet%20Files/Content.Outlook/8JF2W085/TCH_AAM_2012-final%20en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imealliu/AppData/Local/Microsoft/Windows/Temporary%20Internet%20Files/Content.Outlook/8JF2W085/TCH%202012/tb%20_tch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1.1 BS_cons"/>
      <sheetName val="2.1 IS_cons"/>
      <sheetName val="4.1 Capital_cons"/>
      <sheetName val="3.1 CF_cons"/>
      <sheetName val="CFS"/>
      <sheetName val="I- Tatim Fitimi"/>
      <sheetName val="II-Shenimet"/>
      <sheetName val="III-Huate dhe OD"/>
      <sheetName val="IV-Tabela Levizjeve AQT"/>
      <sheetName val="Transition Consolidated FS"/>
      <sheetName val="FS TCH AL"/>
      <sheetName val="FS KS"/>
      <sheetName val="FS MK"/>
      <sheetName val="AL_TB"/>
      <sheetName val="KS_TB"/>
      <sheetName val="MK_TB"/>
    </sheetNames>
    <sheetDataSet>
      <sheetData sheetId="0"/>
      <sheetData sheetId="1">
        <row r="29">
          <cell r="F29">
            <v>802559708</v>
          </cell>
        </row>
      </sheetData>
      <sheetData sheetId="2">
        <row r="26">
          <cell r="E26">
            <v>17565441.125146706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B-2007"/>
      <sheetName val="Index"/>
      <sheetName val="Liabilities"/>
      <sheetName val="Assets"/>
      <sheetName val="IS -1"/>
      <sheetName val="CFS"/>
      <sheetName val="Equity Movement"/>
      <sheetName val="Sheet1"/>
      <sheetName val="TAX "/>
      <sheetName val="CA"/>
      <sheetName val="CL"/>
      <sheetName val="Non CA"/>
      <sheetName val="Non CL"/>
      <sheetName val="KUBE MTD"/>
      <sheetName val="TB-MTD"/>
      <sheetName val="SUMM"/>
      <sheetName val="P &amp; L"/>
      <sheetName val="TB-YTD"/>
      <sheetName val="Unrealized Total"/>
      <sheetName val="Unrealized USD"/>
      <sheetName val="Unrealized EUR"/>
      <sheetName val="FSC1"/>
    </sheetNames>
    <sheetDataSet>
      <sheetData sheetId="0"/>
      <sheetData sheetId="1"/>
      <sheetData sheetId="2">
        <row r="5">
          <cell r="D5">
            <v>40908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D10">
            <v>881177523</v>
          </cell>
          <cell r="H10">
            <v>881177523</v>
          </cell>
        </row>
        <row r="11">
          <cell r="D11">
            <v>2426324</v>
          </cell>
          <cell r="H11">
            <v>2426324</v>
          </cell>
        </row>
        <row r="12">
          <cell r="D12">
            <v>542679274.74000001</v>
          </cell>
          <cell r="H12">
            <v>542679274.74000001</v>
          </cell>
        </row>
        <row r="13">
          <cell r="D13">
            <v>6111490</v>
          </cell>
          <cell r="H13">
            <v>6111490</v>
          </cell>
        </row>
      </sheetData>
      <sheetData sheetId="18">
        <row r="15">
          <cell r="H15">
            <v>0</v>
          </cell>
        </row>
      </sheetData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rtikuj AAM"/>
      <sheetName val="AQT Ne Proces"/>
      <sheetName val="Tabela Levizjeve AAM-ve"/>
      <sheetName val="Intangible"/>
      <sheetName val="Kosova tabela levizjeve 2012"/>
      <sheetName val="Shp panjohura"/>
    </sheetNames>
    <sheetDataSet>
      <sheetData sheetId="0">
        <row r="4">
          <cell r="AG4">
            <v>983586301.59590018</v>
          </cell>
          <cell r="AM4">
            <v>63426909.1624</v>
          </cell>
          <cell r="AO4">
            <v>1047013210.7582998</v>
          </cell>
          <cell r="AQ4">
            <v>380667156.13320881</v>
          </cell>
          <cell r="AR4">
            <v>125298894.11086667</v>
          </cell>
          <cell r="AU4">
            <v>46277222.185000002</v>
          </cell>
          <cell r="AV4">
            <v>1686790.9650000001</v>
          </cell>
          <cell r="AW4">
            <v>616887.95000000007</v>
          </cell>
          <cell r="AZ4">
            <v>505966050.24407488</v>
          </cell>
          <cell r="BA4">
            <v>112678378.33527863</v>
          </cell>
          <cell r="BD4">
            <v>21320744.773199979</v>
          </cell>
          <cell r="BE4">
            <v>1353224</v>
          </cell>
          <cell r="BF4">
            <v>1217004</v>
          </cell>
          <cell r="BW4">
            <v>97990325.183292747</v>
          </cell>
        </row>
        <row r="5">
          <cell r="AG5">
            <v>0</v>
          </cell>
          <cell r="AM5">
            <v>221369378</v>
          </cell>
          <cell r="AO5">
            <v>221369378</v>
          </cell>
          <cell r="AQ5">
            <v>0</v>
          </cell>
          <cell r="AR5">
            <v>0</v>
          </cell>
          <cell r="AU5">
            <v>0</v>
          </cell>
          <cell r="AV5">
            <v>0</v>
          </cell>
          <cell r="AZ5">
            <v>0</v>
          </cell>
          <cell r="BA5">
            <v>0</v>
          </cell>
          <cell r="BJ5">
            <v>0</v>
          </cell>
        </row>
        <row r="6">
          <cell r="AG6">
            <v>4338443</v>
          </cell>
          <cell r="AM6">
            <v>0</v>
          </cell>
          <cell r="AN6">
            <v>0</v>
          </cell>
          <cell r="AO6">
            <v>4338443</v>
          </cell>
          <cell r="AQ6">
            <v>998938.50000000023</v>
          </cell>
          <cell r="AR6">
            <v>166975.22500000001</v>
          </cell>
          <cell r="AU6">
            <v>0</v>
          </cell>
          <cell r="AV6">
            <v>0</v>
          </cell>
          <cell r="AZ6">
            <v>1165913.7250000003</v>
          </cell>
          <cell r="BA6">
            <v>158626.46375</v>
          </cell>
          <cell r="BD6">
            <v>0</v>
          </cell>
          <cell r="BW6">
            <v>150695.14056249993</v>
          </cell>
        </row>
        <row r="7">
          <cell r="AG7">
            <v>32104863.2238</v>
          </cell>
          <cell r="AM7">
            <v>3261528.4800000004</v>
          </cell>
          <cell r="AO7">
            <v>35365824.703799993</v>
          </cell>
          <cell r="AQ7">
            <v>16263859.349582722</v>
          </cell>
          <cell r="AR7">
            <v>3491228.6320101214</v>
          </cell>
          <cell r="AU7">
            <v>1940872.5099999998</v>
          </cell>
          <cell r="AV7">
            <v>0</v>
          </cell>
          <cell r="AZ7">
            <v>19755087.981592834</v>
          </cell>
          <cell r="BA7">
            <v>3262592.835441432</v>
          </cell>
          <cell r="BD7">
            <v>3140167.6999999988</v>
          </cell>
          <cell r="BW7">
            <v>3114311.5810198109</v>
          </cell>
        </row>
        <row r="8">
          <cell r="AG8">
            <v>48070912.340914004</v>
          </cell>
          <cell r="AM8">
            <v>5326779.9551999979</v>
          </cell>
          <cell r="AO8">
            <v>53510077.29611402</v>
          </cell>
          <cell r="AQ8">
            <v>24832954.497692533</v>
          </cell>
          <cell r="AR8">
            <v>6546437.1683699517</v>
          </cell>
          <cell r="AU8">
            <v>2579526.1005000002</v>
          </cell>
          <cell r="AV8">
            <v>124901</v>
          </cell>
          <cell r="AW8">
            <v>88775</v>
          </cell>
          <cell r="AZ8">
            <v>31379391.666062478</v>
          </cell>
          <cell r="BA8">
            <v>5796886.3732771566</v>
          </cell>
          <cell r="BD8">
            <v>5312307.5917200008</v>
          </cell>
          <cell r="BW8">
            <v>5393973.4074419243</v>
          </cell>
        </row>
        <row r="9">
          <cell r="AG9">
            <v>19672328</v>
          </cell>
          <cell r="AM9">
            <v>0</v>
          </cell>
          <cell r="AO9">
            <v>19559934</v>
          </cell>
          <cell r="AQ9">
            <v>12761604.152000001</v>
          </cell>
          <cell r="AR9">
            <v>1359562.1696000001</v>
          </cell>
          <cell r="AU9">
            <v>0</v>
          </cell>
          <cell r="AV9">
            <v>0</v>
          </cell>
          <cell r="AZ9">
            <v>14121166.321599999</v>
          </cell>
          <cell r="BA9">
            <v>1087753.5356800002</v>
          </cell>
          <cell r="BD9">
            <v>2013696</v>
          </cell>
          <cell r="BW9">
            <v>937326.028544</v>
          </cell>
        </row>
        <row r="10">
          <cell r="AG10">
            <v>122744802.86989999</v>
          </cell>
          <cell r="AM10">
            <v>2048850</v>
          </cell>
          <cell r="AO10">
            <v>124793652.86989999</v>
          </cell>
          <cell r="AQ10">
            <v>47850515.238296993</v>
          </cell>
          <cell r="AR10">
            <v>15217890.026320603</v>
          </cell>
          <cell r="AU10">
            <v>7183054</v>
          </cell>
          <cell r="AV10">
            <v>0</v>
          </cell>
          <cell r="AZ10">
            <v>63068405.264617592</v>
          </cell>
          <cell r="BA10">
            <v>12767757.921056477</v>
          </cell>
          <cell r="BD10">
            <v>5334487.4192000004</v>
          </cell>
          <cell r="BW10">
            <v>12128014.147031851</v>
          </cell>
        </row>
        <row r="44">
          <cell r="AU44">
            <v>0</v>
          </cell>
          <cell r="AV44">
            <v>0</v>
          </cell>
        </row>
        <row r="45">
          <cell r="AV45">
            <v>0</v>
          </cell>
        </row>
        <row r="46">
          <cell r="AV46">
            <v>0</v>
          </cell>
        </row>
        <row r="47">
          <cell r="AW47">
            <v>0</v>
          </cell>
        </row>
        <row r="48">
          <cell r="AV48">
            <v>0</v>
          </cell>
        </row>
        <row r="49">
          <cell r="AV49">
            <v>0</v>
          </cell>
        </row>
        <row r="1243">
          <cell r="BE1243">
            <v>17841</v>
          </cell>
        </row>
      </sheetData>
      <sheetData sheetId="1">
        <row r="38">
          <cell r="E38">
            <v>429067743.09809995</v>
          </cell>
          <cell r="J38">
            <v>0</v>
          </cell>
        </row>
        <row r="120">
          <cell r="K120">
            <v>375954927.94139993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AM (B)"/>
      <sheetName val="TB 2012"/>
      <sheetName val="Kontroll 19.03.2013"/>
      <sheetName val="Rivlersimi 31.12.2012"/>
    </sheetNames>
    <sheetDataSet>
      <sheetData sheetId="0"/>
      <sheetData sheetId="1">
        <row r="389">
          <cell r="K389">
            <v>1412493436.263901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C000"/>
  </sheetPr>
  <dimension ref="C4:J31"/>
  <sheetViews>
    <sheetView topLeftCell="A7" zoomScale="120" zoomScaleNormal="120" workbookViewId="0">
      <selection activeCell="C37" sqref="C37"/>
    </sheetView>
  </sheetViews>
  <sheetFormatPr defaultRowHeight="15"/>
  <cols>
    <col min="1" max="1" width="9.140625" style="169"/>
    <col min="2" max="2" width="1.5703125" style="169" customWidth="1"/>
    <col min="3" max="7" width="9.140625" style="169"/>
    <col min="8" max="8" width="15.85546875" style="169" customWidth="1"/>
    <col min="9" max="16384" width="9.140625" style="169"/>
  </cols>
  <sheetData>
    <row r="4" spans="3:10" ht="15.75">
      <c r="C4" s="723" t="s">
        <v>42</v>
      </c>
      <c r="D4" s="723"/>
      <c r="E4" s="723"/>
      <c r="F4" s="723"/>
      <c r="G4" s="723"/>
      <c r="H4" s="723"/>
      <c r="I4" s="723"/>
      <c r="J4" s="723"/>
    </row>
    <row r="5" spans="3:10" ht="15.75">
      <c r="C5" s="723" t="s">
        <v>745</v>
      </c>
      <c r="D5" s="723"/>
      <c r="E5" s="723"/>
      <c r="F5" s="723"/>
      <c r="G5" s="723"/>
      <c r="H5" s="723"/>
      <c r="I5" s="723"/>
      <c r="J5" s="723"/>
    </row>
    <row r="6" spans="3:10" ht="15.75">
      <c r="C6" s="723" t="s">
        <v>1362</v>
      </c>
      <c r="D6" s="723"/>
      <c r="E6" s="723"/>
      <c r="F6" s="723"/>
      <c r="G6" s="723"/>
      <c r="H6" s="723"/>
      <c r="I6" s="723"/>
      <c r="J6" s="723"/>
    </row>
    <row r="8" spans="3:10">
      <c r="C8" s="348" t="s">
        <v>33</v>
      </c>
    </row>
    <row r="10" spans="3:10" ht="15" customHeight="1">
      <c r="C10" s="170" t="s">
        <v>136</v>
      </c>
      <c r="D10" s="720" t="s">
        <v>747</v>
      </c>
      <c r="E10" s="720"/>
      <c r="F10" s="720"/>
      <c r="G10" s="720"/>
      <c r="H10" s="720"/>
    </row>
    <row r="11" spans="3:10" ht="15" customHeight="1">
      <c r="C11" s="170" t="s">
        <v>137</v>
      </c>
      <c r="D11" s="720" t="s">
        <v>748</v>
      </c>
      <c r="E11" s="720"/>
      <c r="F11" s="720"/>
      <c r="G11" s="720"/>
      <c r="H11" s="720"/>
    </row>
    <row r="12" spans="3:10" ht="15" customHeight="1">
      <c r="C12" s="170" t="s">
        <v>138</v>
      </c>
      <c r="D12" s="720" t="s">
        <v>749</v>
      </c>
      <c r="E12" s="720"/>
      <c r="F12" s="720"/>
      <c r="G12" s="720"/>
      <c r="H12" s="720"/>
    </row>
    <row r="13" spans="3:10" ht="15" customHeight="1">
      <c r="C13" s="170" t="s">
        <v>139</v>
      </c>
      <c r="D13" s="720" t="s">
        <v>750</v>
      </c>
      <c r="E13" s="720"/>
      <c r="F13" s="720"/>
      <c r="G13" s="720"/>
      <c r="H13" s="720"/>
    </row>
    <row r="15" spans="3:10">
      <c r="C15" s="721" t="s">
        <v>746</v>
      </c>
      <c r="D15" s="721"/>
      <c r="E15" s="721"/>
      <c r="F15" s="721"/>
    </row>
    <row r="17" spans="3:9" ht="15" customHeight="1">
      <c r="C17" s="169" t="s">
        <v>43</v>
      </c>
      <c r="D17" s="720" t="s">
        <v>744</v>
      </c>
      <c r="E17" s="720"/>
      <c r="F17" s="720"/>
      <c r="G17" s="720"/>
      <c r="H17" s="720"/>
    </row>
    <row r="18" spans="3:9">
      <c r="C18" s="169" t="s">
        <v>44</v>
      </c>
      <c r="D18" s="720" t="s">
        <v>751</v>
      </c>
      <c r="E18" s="720"/>
      <c r="F18" s="720"/>
      <c r="G18" s="720"/>
      <c r="H18" s="720"/>
    </row>
    <row r="19" spans="3:9">
      <c r="C19" s="169" t="s">
        <v>45</v>
      </c>
      <c r="D19" s="720" t="s">
        <v>753</v>
      </c>
      <c r="E19" s="720"/>
      <c r="F19" s="720"/>
      <c r="G19" s="720"/>
      <c r="H19" s="720"/>
    </row>
    <row r="20" spans="3:9">
      <c r="C20" s="417" t="s">
        <v>46</v>
      </c>
      <c r="D20" s="720" t="s">
        <v>752</v>
      </c>
      <c r="E20" s="720"/>
      <c r="F20" s="720"/>
      <c r="G20" s="720"/>
      <c r="H20" s="720"/>
    </row>
    <row r="23" spans="3:9" ht="15" customHeight="1">
      <c r="C23" s="721" t="s">
        <v>754</v>
      </c>
      <c r="D23" s="721"/>
      <c r="E23" s="721"/>
      <c r="F23" s="721"/>
    </row>
    <row r="24" spans="3:9">
      <c r="D24" s="722"/>
      <c r="E24" s="722"/>
      <c r="F24" s="722"/>
      <c r="G24" s="722"/>
      <c r="H24" s="722"/>
    </row>
    <row r="25" spans="3:9" ht="15" customHeight="1">
      <c r="C25" s="169" t="s">
        <v>47</v>
      </c>
      <c r="D25" s="720" t="s">
        <v>755</v>
      </c>
      <c r="E25" s="720"/>
      <c r="F25" s="720"/>
      <c r="G25" s="720"/>
      <c r="H25" s="720"/>
      <c r="I25" s="720"/>
    </row>
    <row r="26" spans="3:9" ht="15" customHeight="1">
      <c r="C26" s="169" t="s">
        <v>48</v>
      </c>
      <c r="D26" s="720" t="s">
        <v>756</v>
      </c>
      <c r="E26" s="720"/>
      <c r="F26" s="720"/>
      <c r="G26" s="720"/>
      <c r="H26" s="720"/>
    </row>
    <row r="27" spans="3:9" ht="15" customHeight="1">
      <c r="C27" s="169" t="s">
        <v>759</v>
      </c>
      <c r="D27" s="720" t="s">
        <v>757</v>
      </c>
      <c r="E27" s="720"/>
      <c r="F27" s="720"/>
      <c r="G27" s="720"/>
      <c r="H27" s="720"/>
    </row>
    <row r="28" spans="3:9" ht="15" customHeight="1">
      <c r="C28" s="169" t="s">
        <v>760</v>
      </c>
      <c r="D28" s="720" t="s">
        <v>758</v>
      </c>
      <c r="E28" s="720"/>
      <c r="F28" s="720"/>
      <c r="G28" s="720"/>
      <c r="H28" s="720"/>
    </row>
    <row r="29" spans="3:9">
      <c r="C29" s="169" t="s">
        <v>761</v>
      </c>
      <c r="D29" s="720" t="s">
        <v>764</v>
      </c>
      <c r="E29" s="720"/>
      <c r="F29" s="720"/>
      <c r="G29" s="720"/>
      <c r="H29" s="720"/>
    </row>
    <row r="30" spans="3:9">
      <c r="C30" s="169" t="s">
        <v>762</v>
      </c>
      <c r="D30" s="720" t="s">
        <v>765</v>
      </c>
      <c r="E30" s="720"/>
      <c r="F30" s="720"/>
      <c r="G30" s="720"/>
      <c r="H30" s="720"/>
    </row>
    <row r="31" spans="3:9">
      <c r="C31" s="169" t="s">
        <v>763</v>
      </c>
      <c r="D31" s="720" t="s">
        <v>766</v>
      </c>
      <c r="E31" s="720"/>
      <c r="F31" s="720"/>
      <c r="G31" s="720"/>
      <c r="H31" s="720"/>
    </row>
  </sheetData>
  <mergeCells count="21">
    <mergeCell ref="C15:F15"/>
    <mergeCell ref="D18:H18"/>
    <mergeCell ref="D20:H20"/>
    <mergeCell ref="D19:H19"/>
    <mergeCell ref="C4:J4"/>
    <mergeCell ref="C5:J5"/>
    <mergeCell ref="C6:J6"/>
    <mergeCell ref="D10:H10"/>
    <mergeCell ref="D11:H11"/>
    <mergeCell ref="D28:H28"/>
    <mergeCell ref="D13:H13"/>
    <mergeCell ref="D17:H17"/>
    <mergeCell ref="D12:H12"/>
    <mergeCell ref="D27:H27"/>
    <mergeCell ref="D30:H30"/>
    <mergeCell ref="D31:H31"/>
    <mergeCell ref="D26:H26"/>
    <mergeCell ref="C23:F23"/>
    <mergeCell ref="D24:H24"/>
    <mergeCell ref="D29:H29"/>
    <mergeCell ref="D25:I25"/>
  </mergeCells>
  <hyperlinks>
    <hyperlink ref="D10:H10" location="'1.1 BS_cons'!A1" display="Balance Sheet - Assets"/>
    <hyperlink ref="D11:H11" location="'2.1 IS_cons'!A1" display="Balance Sheet - Liabilities"/>
    <hyperlink ref="D13:H13" location="'4.1 Capital_cons'!A1" display="Pasqyra e konsoliduar e Kapitalit"/>
    <hyperlink ref="D17:H17" location="'I- Tatim Fitimi'!A1" display="Tatim Fitimi"/>
    <hyperlink ref="D18:H18" location="'II-Shenimet'!A1" display="Shenimet shpjeguese"/>
    <hyperlink ref="D20:H20" location="'IV-Tabela Levizjeve AQT'!A1" display="Pasqyra e aktiveve afatgjata materiale"/>
    <hyperlink ref="D19:H19" location="'IV-Huate dhe OD'!A1" display="Huate dhe Overdraftet"/>
    <hyperlink ref="D26:H26" location="'FS TCHAL'!A1" display="Pasqyrat tranzitore Individuale dhe te konsoliduara"/>
    <hyperlink ref="D12:H12" location="'3.1 CF_cons'!A1" display="Pasqyra e konsoliduar e Fluksit te Parave"/>
    <hyperlink ref="D25:H25" location="'TB-MTD'!A1" display="Month to Date Trial Balance"/>
    <hyperlink ref="D25:I25" location="'Transition Consolidated FS'!A1" display="Pasqyrat tranzitore te konsoliduara"/>
    <hyperlink ref="D27:H28" location="'FS TCHAL'!A1" display="Pasqyrat tranzitore Individuale dhe te konsoliduara"/>
    <hyperlink ref="D27:H27" location="'FS KS'!A1" display="Pasqyrat Individuale TCH KS"/>
    <hyperlink ref="D28:H28" location="'FS MK'!A1" display="Pasqyrat Individuale TCH MK"/>
    <hyperlink ref="D29:H29" location="AL_TB!A1" display="Trial Balance TCH AL"/>
    <hyperlink ref="D30:H30" location="KS_TB!A1" display="Trial Balance TCH KS"/>
    <hyperlink ref="D31:H31" location="MK_TB!A1" display="Trial Balance TCH MK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1"/>
  </sheetPr>
  <dimension ref="A1:N83"/>
  <sheetViews>
    <sheetView topLeftCell="A51" zoomScale="85" zoomScaleNormal="85" workbookViewId="0">
      <selection activeCell="I87" sqref="I87"/>
    </sheetView>
  </sheetViews>
  <sheetFormatPr defaultRowHeight="12.75" outlineLevelRow="1"/>
  <cols>
    <col min="1" max="1" width="8.5703125" style="660" customWidth="1"/>
    <col min="2" max="2" width="25.85546875" style="660" customWidth="1"/>
    <col min="3" max="5" width="11.7109375" style="659" customWidth="1"/>
    <col min="6" max="6" width="19.28515625" style="659" bestFit="1" customWidth="1"/>
    <col min="7" max="7" width="16.28515625" style="659" bestFit="1" customWidth="1"/>
    <col min="8" max="8" width="17.28515625" style="659" bestFit="1" customWidth="1"/>
    <col min="9" max="9" width="15.85546875" style="659" bestFit="1" customWidth="1"/>
    <col min="10" max="10" width="14.28515625" style="659" customWidth="1"/>
    <col min="11" max="11" width="13.5703125" style="659" bestFit="1" customWidth="1"/>
    <col min="12" max="12" width="14" style="660" customWidth="1"/>
    <col min="13" max="13" width="12.28515625" style="660" bestFit="1" customWidth="1"/>
    <col min="14" max="14" width="9.28515625" style="660" bestFit="1" customWidth="1"/>
    <col min="15" max="16384" width="9.140625" style="660"/>
  </cols>
  <sheetData>
    <row r="1" spans="1:11">
      <c r="A1" s="657" t="s">
        <v>1348</v>
      </c>
      <c r="B1" s="658" t="s">
        <v>1349</v>
      </c>
    </row>
    <row r="2" spans="1:11" s="661" customFormat="1" ht="38.25" hidden="1" outlineLevel="1">
      <c r="B2" s="662"/>
      <c r="C2" s="663" t="s">
        <v>162</v>
      </c>
      <c r="D2" s="663" t="s">
        <v>803</v>
      </c>
      <c r="E2" s="663" t="s">
        <v>802</v>
      </c>
      <c r="F2" s="663" t="s">
        <v>801</v>
      </c>
      <c r="G2" s="663" t="s">
        <v>800</v>
      </c>
      <c r="H2" s="663" t="s">
        <v>165</v>
      </c>
      <c r="I2" s="663" t="s">
        <v>153</v>
      </c>
      <c r="J2" s="663" t="s">
        <v>1350</v>
      </c>
      <c r="K2" s="663" t="s">
        <v>124</v>
      </c>
    </row>
    <row r="3" spans="1:11" hidden="1" outlineLevel="1">
      <c r="B3" s="664" t="s">
        <v>788</v>
      </c>
      <c r="C3" s="665"/>
      <c r="D3" s="665"/>
      <c r="E3" s="665"/>
      <c r="F3" s="666"/>
      <c r="G3" s="665"/>
      <c r="H3" s="665"/>
      <c r="I3" s="665"/>
      <c r="J3" s="665"/>
      <c r="K3" s="665"/>
    </row>
    <row r="4" spans="1:11" hidden="1" outlineLevel="1">
      <c r="B4" s="664" t="s">
        <v>796</v>
      </c>
      <c r="C4" s="667">
        <f>'[4]Artikuj AAM'!AG5</f>
        <v>0</v>
      </c>
      <c r="D4" s="667">
        <f>'[4]Artikuj AAM'!AG6</f>
        <v>4338443</v>
      </c>
      <c r="E4" s="667">
        <f>'[4]Artikuj AAM'!AG8</f>
        <v>48070912.340914004</v>
      </c>
      <c r="F4" s="667">
        <f>'[4]Artikuj AAM'!AG4</f>
        <v>983586301.59590018</v>
      </c>
      <c r="G4" s="667">
        <f>'[4]Artikuj AAM'!AG7</f>
        <v>32104863.2238</v>
      </c>
      <c r="H4" s="667">
        <f>'[4]Artikuj AAM'!AG10</f>
        <v>122744802.86989999</v>
      </c>
      <c r="I4" s="667">
        <f>'[4]Artikuj AAM'!AG9</f>
        <v>19672328</v>
      </c>
      <c r="J4" s="667">
        <v>0</v>
      </c>
      <c r="K4" s="667">
        <f>SUM(C4:J4)</f>
        <v>1210517651.0305142</v>
      </c>
    </row>
    <row r="5" spans="1:11" hidden="1" outlineLevel="1">
      <c r="B5" s="664" t="s">
        <v>795</v>
      </c>
      <c r="C5" s="665"/>
      <c r="D5" s="665"/>
      <c r="E5" s="665"/>
      <c r="F5" s="668"/>
      <c r="G5" s="665"/>
      <c r="H5" s="665"/>
      <c r="I5" s="665"/>
      <c r="J5" s="665"/>
      <c r="K5" s="668">
        <f t="shared" ref="K5:K19" si="0">SUM(C5:J5)</f>
        <v>0</v>
      </c>
    </row>
    <row r="6" spans="1:11" ht="25.5" hidden="1" outlineLevel="1">
      <c r="B6" s="664" t="s">
        <v>799</v>
      </c>
      <c r="C6" s="667">
        <f>C4+C5</f>
        <v>0</v>
      </c>
      <c r="D6" s="667">
        <f t="shared" ref="D6:I6" si="1">D4+D5</f>
        <v>4338443</v>
      </c>
      <c r="E6" s="667">
        <f t="shared" si="1"/>
        <v>48070912.340914004</v>
      </c>
      <c r="F6" s="667">
        <f t="shared" si="1"/>
        <v>983586301.59590018</v>
      </c>
      <c r="G6" s="667">
        <f t="shared" si="1"/>
        <v>32104863.2238</v>
      </c>
      <c r="H6" s="667">
        <f t="shared" si="1"/>
        <v>122744802.86989999</v>
      </c>
      <c r="I6" s="667">
        <f t="shared" si="1"/>
        <v>19672328</v>
      </c>
      <c r="J6" s="667">
        <v>0</v>
      </c>
      <c r="K6" s="667">
        <f t="shared" si="0"/>
        <v>1210517651.0305142</v>
      </c>
    </row>
    <row r="7" spans="1:11" hidden="1" outlineLevel="1">
      <c r="B7" s="664" t="s">
        <v>794</v>
      </c>
      <c r="C7" s="669">
        <f>'[4]Artikuj AAM'!AM5</f>
        <v>221369378</v>
      </c>
      <c r="D7" s="669">
        <f>'[4]Artikuj AAM'!AM6</f>
        <v>0</v>
      </c>
      <c r="E7" s="669">
        <f>'[4]Artikuj AAM'!AM8</f>
        <v>5326779.9551999979</v>
      </c>
      <c r="F7" s="669">
        <f>'[4]Artikuj AAM'!AM4</f>
        <v>63426909.1624</v>
      </c>
      <c r="G7" s="669">
        <f>'[4]Artikuj AAM'!AM7-576</f>
        <v>3260952.4800000004</v>
      </c>
      <c r="H7" s="669">
        <f>'[4]Artikuj AAM'!AM10</f>
        <v>2048850</v>
      </c>
      <c r="I7" s="669">
        <f>'[4]Artikuj AAM'!AM9</f>
        <v>0</v>
      </c>
      <c r="J7" s="669">
        <v>0</v>
      </c>
      <c r="K7" s="670">
        <f t="shared" si="0"/>
        <v>295432869.59759998</v>
      </c>
    </row>
    <row r="8" spans="1:11" hidden="1" outlineLevel="1">
      <c r="B8" s="664" t="s">
        <v>785</v>
      </c>
      <c r="C8" s="665"/>
      <c r="D8" s="665"/>
      <c r="E8" s="665">
        <v>112385</v>
      </c>
      <c r="F8" s="665"/>
      <c r="G8" s="665"/>
      <c r="H8" s="665"/>
      <c r="I8" s="665">
        <f>-E8</f>
        <v>-112385</v>
      </c>
      <c r="J8" s="665"/>
      <c r="K8" s="665">
        <f t="shared" si="0"/>
        <v>0</v>
      </c>
    </row>
    <row r="9" spans="1:11" hidden="1" outlineLevel="1">
      <c r="B9" s="664" t="s">
        <v>798</v>
      </c>
      <c r="C9" s="671">
        <f>C6+C7-C8</f>
        <v>221369378</v>
      </c>
      <c r="D9" s="671">
        <f t="shared" ref="D9:J9" si="2">D6+D7-D8</f>
        <v>4338443</v>
      </c>
      <c r="E9" s="671">
        <f>E6+E7+E8</f>
        <v>53510077.296113998</v>
      </c>
      <c r="F9" s="671">
        <f t="shared" si="2"/>
        <v>1047013210.7583002</v>
      </c>
      <c r="G9" s="671">
        <f t="shared" si="2"/>
        <v>35365815.7038</v>
      </c>
      <c r="H9" s="671">
        <f t="shared" si="2"/>
        <v>124793652.86989999</v>
      </c>
      <c r="I9" s="671">
        <f>I6+I7+I8</f>
        <v>19559943</v>
      </c>
      <c r="J9" s="671">
        <f t="shared" si="2"/>
        <v>0</v>
      </c>
      <c r="K9" s="671">
        <f t="shared" si="0"/>
        <v>1505950520.6281142</v>
      </c>
    </row>
    <row r="10" spans="1:11" hidden="1" outlineLevel="1">
      <c r="B10" s="672" t="s">
        <v>797</v>
      </c>
      <c r="C10" s="669"/>
      <c r="D10" s="669"/>
      <c r="E10" s="669"/>
      <c r="F10" s="669"/>
      <c r="G10" s="669"/>
      <c r="H10" s="669"/>
      <c r="I10" s="669"/>
      <c r="J10" s="669"/>
      <c r="K10" s="669">
        <f t="shared" si="0"/>
        <v>0</v>
      </c>
    </row>
    <row r="11" spans="1:11" hidden="1" outlineLevel="1">
      <c r="B11" s="664" t="s">
        <v>796</v>
      </c>
      <c r="C11" s="670">
        <f>'[4]Artikuj AAM'!AQ5</f>
        <v>0</v>
      </c>
      <c r="D11" s="670">
        <f>'[4]Artikuj AAM'!AQ6</f>
        <v>998938.50000000023</v>
      </c>
      <c r="E11" s="670">
        <f>'[4]Artikuj AAM'!AQ8</f>
        <v>24832954.497692533</v>
      </c>
      <c r="F11" s="670">
        <f>'[4]Artikuj AAM'!AQ4</f>
        <v>380667156.13320881</v>
      </c>
      <c r="G11" s="670">
        <f>'[4]Artikuj AAM'!AQ7</f>
        <v>16263859.349582722</v>
      </c>
      <c r="H11" s="670">
        <f>'[4]Artikuj AAM'!AQ10</f>
        <v>47850515.238296993</v>
      </c>
      <c r="I11" s="670">
        <f>'[4]Artikuj AAM'!AQ9</f>
        <v>12761604.152000001</v>
      </c>
      <c r="J11" s="670">
        <v>0</v>
      </c>
      <c r="K11" s="670">
        <f t="shared" si="0"/>
        <v>483375027.87078106</v>
      </c>
    </row>
    <row r="12" spans="1:11" hidden="1" outlineLevel="1">
      <c r="B12" s="664" t="s">
        <v>795</v>
      </c>
      <c r="C12" s="665"/>
      <c r="D12" s="665"/>
      <c r="E12" s="665"/>
      <c r="F12" s="665"/>
      <c r="G12" s="665"/>
      <c r="H12" s="665"/>
      <c r="I12" s="665"/>
      <c r="J12" s="665"/>
      <c r="K12" s="668">
        <f t="shared" si="0"/>
        <v>0</v>
      </c>
    </row>
    <row r="13" spans="1:11" ht="25.5" hidden="1" outlineLevel="1">
      <c r="B13" s="664" t="s">
        <v>1351</v>
      </c>
      <c r="C13" s="667">
        <f>C11+C12</f>
        <v>0</v>
      </c>
      <c r="D13" s="667">
        <f t="shared" ref="D13:I13" si="3">D11+D12</f>
        <v>998938.50000000023</v>
      </c>
      <c r="E13" s="667">
        <f t="shared" si="3"/>
        <v>24832954.497692533</v>
      </c>
      <c r="F13" s="667">
        <f t="shared" si="3"/>
        <v>380667156.13320881</v>
      </c>
      <c r="G13" s="667">
        <f t="shared" si="3"/>
        <v>16263859.349582722</v>
      </c>
      <c r="H13" s="667">
        <f t="shared" si="3"/>
        <v>47850515.238296993</v>
      </c>
      <c r="I13" s="667">
        <f t="shared" si="3"/>
        <v>12761604.152000001</v>
      </c>
      <c r="J13" s="667">
        <f>J11+J12</f>
        <v>0</v>
      </c>
      <c r="K13" s="667">
        <f t="shared" si="0"/>
        <v>483375027.87078106</v>
      </c>
    </row>
    <row r="14" spans="1:11" hidden="1" outlineLevel="1">
      <c r="B14" s="664" t="s">
        <v>794</v>
      </c>
      <c r="C14" s="669">
        <f>'[4]Artikuj AAM'!AR5</f>
        <v>0</v>
      </c>
      <c r="D14" s="669">
        <f>'[4]Artikuj AAM'!AR6</f>
        <v>166975.22500000001</v>
      </c>
      <c r="E14" s="669">
        <f>'[4]Artikuj AAM'!AR8</f>
        <v>6546437.1683699517</v>
      </c>
      <c r="F14" s="669">
        <f>'[4]Artikuj AAM'!AR4</f>
        <v>125298894.11086667</v>
      </c>
      <c r="G14" s="669">
        <f>'[4]Artikuj AAM'!AR7</f>
        <v>3491228.6320101214</v>
      </c>
      <c r="H14" s="669">
        <f>'[4]Artikuj AAM'!AR10</f>
        <v>15217890.026320603</v>
      </c>
      <c r="I14" s="669">
        <f>'[4]Artikuj AAM'!AR9</f>
        <v>1359562.1696000001</v>
      </c>
      <c r="J14" s="669">
        <v>0</v>
      </c>
      <c r="K14" s="670">
        <f t="shared" si="0"/>
        <v>152080987.33216736</v>
      </c>
    </row>
    <row r="15" spans="1:11" hidden="1" outlineLevel="1">
      <c r="B15" s="664" t="s">
        <v>793</v>
      </c>
      <c r="C15" s="665"/>
      <c r="D15" s="665">
        <f>'[4]Artikuj AAM'!AN6</f>
        <v>0</v>
      </c>
      <c r="E15" s="665">
        <v>0</v>
      </c>
      <c r="F15" s="665">
        <v>0</v>
      </c>
      <c r="G15" s="665">
        <v>0</v>
      </c>
      <c r="H15" s="665">
        <v>0</v>
      </c>
      <c r="I15" s="665">
        <v>0</v>
      </c>
      <c r="J15" s="665"/>
      <c r="K15" s="668">
        <f t="shared" si="0"/>
        <v>0</v>
      </c>
    </row>
    <row r="16" spans="1:11" hidden="1" outlineLevel="1">
      <c r="B16" s="664" t="s">
        <v>792</v>
      </c>
      <c r="C16" s="667">
        <f>C13+C14-C15</f>
        <v>0</v>
      </c>
      <c r="D16" s="667">
        <f t="shared" ref="D16:I16" si="4">D13+D14-D15</f>
        <v>1165913.7250000003</v>
      </c>
      <c r="E16" s="667">
        <f>E13+E14-E15</f>
        <v>31379391.666062485</v>
      </c>
      <c r="F16" s="667">
        <f t="shared" si="4"/>
        <v>505966050.24407548</v>
      </c>
      <c r="G16" s="667">
        <f t="shared" si="4"/>
        <v>19755087.981592845</v>
      </c>
      <c r="H16" s="667">
        <f t="shared" si="4"/>
        <v>63068405.264617592</v>
      </c>
      <c r="I16" s="667">
        <f t="shared" si="4"/>
        <v>14121166.321600001</v>
      </c>
      <c r="J16" s="667">
        <f>J13+J14-J15</f>
        <v>0</v>
      </c>
      <c r="K16" s="667">
        <f t="shared" si="0"/>
        <v>635456015.20294833</v>
      </c>
    </row>
    <row r="17" spans="2:14" hidden="1" outlineLevel="1">
      <c r="B17" s="672" t="s">
        <v>791</v>
      </c>
      <c r="C17" s="670"/>
      <c r="D17" s="670"/>
      <c r="E17" s="670"/>
      <c r="F17" s="670"/>
      <c r="G17" s="670"/>
      <c r="H17" s="670"/>
      <c r="I17" s="670"/>
      <c r="J17" s="670"/>
      <c r="K17" s="667">
        <f t="shared" si="0"/>
        <v>0</v>
      </c>
    </row>
    <row r="18" spans="2:14" hidden="1" outlineLevel="1">
      <c r="B18" s="664" t="s">
        <v>790</v>
      </c>
      <c r="C18" s="667">
        <f>C6-C13</f>
        <v>0</v>
      </c>
      <c r="D18" s="667">
        <f t="shared" ref="D18:J18" si="5">D6-D13</f>
        <v>3339504.5</v>
      </c>
      <c r="E18" s="667">
        <f t="shared" si="5"/>
        <v>23237957.843221471</v>
      </c>
      <c r="F18" s="667">
        <f t="shared" si="5"/>
        <v>602919145.46269131</v>
      </c>
      <c r="G18" s="667">
        <f t="shared" si="5"/>
        <v>15841003.874217277</v>
      </c>
      <c r="H18" s="667">
        <f t="shared" si="5"/>
        <v>74894287.631603003</v>
      </c>
      <c r="I18" s="667">
        <f t="shared" si="5"/>
        <v>6910723.8479999993</v>
      </c>
      <c r="J18" s="667">
        <f t="shared" si="5"/>
        <v>0</v>
      </c>
      <c r="K18" s="671">
        <f t="shared" si="0"/>
        <v>727142623.15973306</v>
      </c>
    </row>
    <row r="19" spans="2:14" ht="13.5" hidden="1" outlineLevel="1" thickBot="1">
      <c r="B19" s="664" t="s">
        <v>789</v>
      </c>
      <c r="C19" s="673">
        <f>C9-C16</f>
        <v>221369378</v>
      </c>
      <c r="D19" s="673">
        <f t="shared" ref="D19:J19" si="6">D9-D16</f>
        <v>3172529.2749999994</v>
      </c>
      <c r="E19" s="673">
        <f t="shared" si="6"/>
        <v>22130685.630051512</v>
      </c>
      <c r="F19" s="673">
        <f t="shared" si="6"/>
        <v>541047160.51422477</v>
      </c>
      <c r="G19" s="673">
        <f t="shared" si="6"/>
        <v>15610727.722207155</v>
      </c>
      <c r="H19" s="673">
        <f t="shared" si="6"/>
        <v>61725247.605282396</v>
      </c>
      <c r="I19" s="673">
        <f t="shared" si="6"/>
        <v>5438776.6783999987</v>
      </c>
      <c r="J19" s="673">
        <f t="shared" si="6"/>
        <v>0</v>
      </c>
      <c r="K19" s="673">
        <f t="shared" si="0"/>
        <v>870494505.42516589</v>
      </c>
      <c r="L19" s="674"/>
      <c r="M19" s="675"/>
    </row>
    <row r="20" spans="2:14" hidden="1" outlineLevel="1">
      <c r="B20" s="658"/>
      <c r="C20" s="676"/>
      <c r="D20" s="676"/>
      <c r="E20" s="676"/>
      <c r="F20" s="676"/>
      <c r="G20" s="676"/>
      <c r="H20" s="676"/>
      <c r="I20" s="676"/>
      <c r="J20" s="676"/>
      <c r="K20" s="676"/>
    </row>
    <row r="21" spans="2:14" hidden="1" outlineLevel="1">
      <c r="B21" s="672" t="s">
        <v>788</v>
      </c>
      <c r="C21" s="665"/>
      <c r="D21" s="665"/>
      <c r="E21" s="665"/>
      <c r="F21" s="666"/>
      <c r="G21" s="665"/>
      <c r="H21" s="665"/>
      <c r="I21" s="665"/>
      <c r="J21" s="665"/>
      <c r="K21" s="665"/>
    </row>
    <row r="22" spans="2:14" hidden="1" outlineLevel="1">
      <c r="B22" s="664" t="s">
        <v>786</v>
      </c>
      <c r="C22" s="667">
        <f>'[4]Artikuj AAM'!AO5</f>
        <v>221369378</v>
      </c>
      <c r="D22" s="667">
        <f>'[4]Artikuj AAM'!AO6</f>
        <v>4338443</v>
      </c>
      <c r="E22" s="667">
        <f>'[4]Artikuj AAM'!AO8</f>
        <v>53510077.29611402</v>
      </c>
      <c r="F22" s="667">
        <f>'[4]Artikuj AAM'!AO4</f>
        <v>1047013210.7582998</v>
      </c>
      <c r="G22" s="667">
        <f>'[4]Artikuj AAM'!AO7</f>
        <v>35365824.703799993</v>
      </c>
      <c r="H22" s="667">
        <f>'[4]Artikuj AAM'!AO10</f>
        <v>124793652.86989999</v>
      </c>
      <c r="I22" s="667">
        <f>'[4]Artikuj AAM'!AO9</f>
        <v>19559934</v>
      </c>
      <c r="J22" s="667">
        <v>0</v>
      </c>
      <c r="K22" s="667">
        <f>SUM(C22:I22)</f>
        <v>1505950520.6281137</v>
      </c>
      <c r="L22" s="677"/>
      <c r="M22" s="677"/>
      <c r="N22" s="677"/>
    </row>
    <row r="23" spans="2:14" hidden="1" outlineLevel="1">
      <c r="B23" s="664" t="s">
        <v>785</v>
      </c>
      <c r="C23" s="665"/>
      <c r="D23" s="665"/>
      <c r="E23" s="665"/>
      <c r="F23" s="665"/>
      <c r="G23" s="665"/>
      <c r="H23" s="665"/>
      <c r="I23" s="665"/>
      <c r="J23" s="665"/>
      <c r="K23" s="668">
        <f>SUM(C23:I23)</f>
        <v>0</v>
      </c>
      <c r="N23" s="677"/>
    </row>
    <row r="24" spans="2:14" ht="25.5" hidden="1" outlineLevel="1">
      <c r="B24" s="664" t="s">
        <v>784</v>
      </c>
      <c r="C24" s="667">
        <f>C22+C23</f>
        <v>221369378</v>
      </c>
      <c r="D24" s="667">
        <f t="shared" ref="D24:I24" si="7">D22+D23</f>
        <v>4338443</v>
      </c>
      <c r="E24" s="667">
        <f>E22+E23</f>
        <v>53510077.29611402</v>
      </c>
      <c r="F24" s="667">
        <f t="shared" si="7"/>
        <v>1047013210.7582998</v>
      </c>
      <c r="G24" s="667">
        <f t="shared" si="7"/>
        <v>35365824.703799993</v>
      </c>
      <c r="H24" s="667">
        <f t="shared" si="7"/>
        <v>124793652.86989999</v>
      </c>
      <c r="I24" s="667">
        <f t="shared" si="7"/>
        <v>19559934</v>
      </c>
      <c r="J24" s="667">
        <v>0</v>
      </c>
      <c r="K24" s="667">
        <f>SUM(C24:J24)</f>
        <v>1505950520.6281137</v>
      </c>
      <c r="N24" s="677"/>
    </row>
    <row r="25" spans="2:14" hidden="1" outlineLevel="1">
      <c r="B25" s="664" t="s">
        <v>772</v>
      </c>
      <c r="C25" s="665">
        <f>'[4]Artikuj AAM'!AU5</f>
        <v>0</v>
      </c>
      <c r="D25" s="665">
        <f>'[4]Artikuj AAM'!AU6</f>
        <v>0</v>
      </c>
      <c r="E25" s="665">
        <f>'[4]Artikuj AAM'!AU8</f>
        <v>2579526.1005000002</v>
      </c>
      <c r="F25" s="665">
        <f>'[4]Artikuj AAM'!AU4</f>
        <v>46277222.185000002</v>
      </c>
      <c r="G25" s="665">
        <f>'[4]Artikuj AAM'!AU7</f>
        <v>1940872.5099999998</v>
      </c>
      <c r="H25" s="665">
        <f>'[4]Artikuj AAM'!AU10</f>
        <v>7183054</v>
      </c>
      <c r="I25" s="665">
        <f>'[4]Artikuj AAM'!AU9</f>
        <v>0</v>
      </c>
      <c r="J25" s="665">
        <f>'[4]AQT Ne Proces'!E38</f>
        <v>429067743.09809995</v>
      </c>
      <c r="K25" s="668">
        <f>SUM(C25:J25)</f>
        <v>487048417.89359993</v>
      </c>
      <c r="M25" s="677"/>
    </row>
    <row r="26" spans="2:14" hidden="1" outlineLevel="1">
      <c r="B26" s="664" t="s">
        <v>773</v>
      </c>
      <c r="C26" s="669">
        <f>'[4]Artikuj AAM'!AV5</f>
        <v>0</v>
      </c>
      <c r="D26" s="669">
        <f>'[4]Artikuj AAM'!AV6</f>
        <v>0</v>
      </c>
      <c r="E26" s="669">
        <f>'[4]Artikuj AAM'!AV8</f>
        <v>124901</v>
      </c>
      <c r="F26" s="669">
        <f>'[4]Artikuj AAM'!AV4</f>
        <v>1686790.9650000001</v>
      </c>
      <c r="G26" s="669">
        <f>'[4]Artikuj AAM'!AV7</f>
        <v>0</v>
      </c>
      <c r="H26" s="669">
        <f>'[4]Artikuj AAM'!AV10</f>
        <v>0</v>
      </c>
      <c r="I26" s="669">
        <f>'[4]Artikuj AAM'!AV9</f>
        <v>0</v>
      </c>
      <c r="J26" s="669">
        <v>0</v>
      </c>
      <c r="K26" s="670">
        <f>SUM(C26:J26)</f>
        <v>1811691.9650000001</v>
      </c>
    </row>
    <row r="27" spans="2:14" hidden="1" outlineLevel="1">
      <c r="B27" s="664" t="s">
        <v>774</v>
      </c>
      <c r="C27" s="671">
        <f>C24+C25-C26</f>
        <v>221369378</v>
      </c>
      <c r="D27" s="671">
        <f t="shared" ref="D27:J27" si="8">D24+D25-D26</f>
        <v>4338443</v>
      </c>
      <c r="E27" s="671">
        <f>E24+E25-E26</f>
        <v>55964702.396614023</v>
      </c>
      <c r="F27" s="671">
        <f t="shared" si="8"/>
        <v>1091603641.9782999</v>
      </c>
      <c r="G27" s="671">
        <f t="shared" si="8"/>
        <v>37306697.213799991</v>
      </c>
      <c r="H27" s="671">
        <f t="shared" si="8"/>
        <v>131976706.86989999</v>
      </c>
      <c r="I27" s="671">
        <f t="shared" si="8"/>
        <v>19559934</v>
      </c>
      <c r="J27" s="671">
        <f t="shared" si="8"/>
        <v>429067743.09809995</v>
      </c>
      <c r="K27" s="671">
        <f>SUM(C27:J27)</f>
        <v>1991187246.5567138</v>
      </c>
    </row>
    <row r="28" spans="2:14" hidden="1" outlineLevel="1">
      <c r="B28" s="672" t="s">
        <v>787</v>
      </c>
      <c r="C28" s="669"/>
      <c r="D28" s="669"/>
      <c r="E28" s="669"/>
      <c r="F28" s="669"/>
      <c r="G28" s="669"/>
      <c r="H28" s="669"/>
      <c r="I28" s="669"/>
      <c r="J28" s="669"/>
      <c r="K28" s="669">
        <f t="shared" ref="K28:K35" si="9">SUM(C28:J28)</f>
        <v>0</v>
      </c>
    </row>
    <row r="29" spans="2:14" hidden="1" outlineLevel="1">
      <c r="B29" s="664" t="s">
        <v>786</v>
      </c>
      <c r="C29" s="669">
        <f>'[4]Artikuj AAM'!AZ5</f>
        <v>0</v>
      </c>
      <c r="D29" s="669">
        <f>'[4]Artikuj AAM'!AZ6</f>
        <v>1165913.7250000003</v>
      </c>
      <c r="E29" s="669">
        <f>'[4]Artikuj AAM'!AZ8</f>
        <v>31379391.666062478</v>
      </c>
      <c r="F29" s="669">
        <f>'[4]Artikuj AAM'!AZ4</f>
        <v>505966050.24407488</v>
      </c>
      <c r="G29" s="669">
        <f>'[4]Artikuj AAM'!AZ7</f>
        <v>19755087.981592834</v>
      </c>
      <c r="H29" s="669">
        <f>'[4]Artikuj AAM'!AZ10</f>
        <v>63068405.264617592</v>
      </c>
      <c r="I29" s="669">
        <f>'[4]Artikuj AAM'!AZ9</f>
        <v>14121166.321599999</v>
      </c>
      <c r="J29" s="669">
        <v>0</v>
      </c>
      <c r="K29" s="670">
        <f t="shared" si="9"/>
        <v>635456015.20294774</v>
      </c>
      <c r="L29" s="677"/>
    </row>
    <row r="30" spans="2:14" hidden="1" outlineLevel="1">
      <c r="B30" s="664" t="s">
        <v>785</v>
      </c>
      <c r="C30" s="669"/>
      <c r="D30" s="669"/>
      <c r="E30" s="669"/>
      <c r="F30" s="669"/>
      <c r="G30" s="669"/>
      <c r="H30" s="669"/>
      <c r="I30" s="669"/>
      <c r="J30" s="669"/>
      <c r="K30" s="670">
        <f t="shared" si="9"/>
        <v>0</v>
      </c>
    </row>
    <row r="31" spans="2:14" ht="25.5" hidden="1" outlineLevel="1">
      <c r="B31" s="664" t="s">
        <v>784</v>
      </c>
      <c r="C31" s="667">
        <f>C29+C30</f>
        <v>0</v>
      </c>
      <c r="D31" s="667">
        <f t="shared" ref="D31:I31" si="10">D29+D30</f>
        <v>1165913.7250000003</v>
      </c>
      <c r="E31" s="667">
        <f t="shared" si="10"/>
        <v>31379391.666062478</v>
      </c>
      <c r="F31" s="667">
        <f t="shared" si="10"/>
        <v>505966050.24407488</v>
      </c>
      <c r="G31" s="667">
        <f t="shared" si="10"/>
        <v>19755087.981592834</v>
      </c>
      <c r="H31" s="667">
        <f t="shared" si="10"/>
        <v>63068405.264617592</v>
      </c>
      <c r="I31" s="667">
        <f t="shared" si="10"/>
        <v>14121166.321599999</v>
      </c>
      <c r="J31" s="667">
        <f>J29+J30</f>
        <v>0</v>
      </c>
      <c r="K31" s="667">
        <f t="shared" si="9"/>
        <v>635456015.20294774</v>
      </c>
    </row>
    <row r="32" spans="2:14" hidden="1" outlineLevel="1">
      <c r="B32" s="664" t="s">
        <v>777</v>
      </c>
      <c r="C32" s="665">
        <f>'[4]Artikuj AAM'!BA5</f>
        <v>0</v>
      </c>
      <c r="D32" s="665">
        <f>'[4]Artikuj AAM'!BA6</f>
        <v>158626.46375</v>
      </c>
      <c r="E32" s="665">
        <f>'[4]Artikuj AAM'!BA8</f>
        <v>5796886.3732771566</v>
      </c>
      <c r="F32" s="665">
        <f>'[4]Artikuj AAM'!BA4</f>
        <v>112678378.33527863</v>
      </c>
      <c r="G32" s="665">
        <f>'[4]Artikuj AAM'!BA7</f>
        <v>3262592.835441432</v>
      </c>
      <c r="H32" s="665">
        <f>'[4]Artikuj AAM'!BA10</f>
        <v>12767757.921056477</v>
      </c>
      <c r="I32" s="665">
        <f>'[4]Artikuj AAM'!BA9</f>
        <v>1087753.5356800002</v>
      </c>
      <c r="J32" s="665">
        <v>0</v>
      </c>
      <c r="K32" s="668">
        <f t="shared" si="9"/>
        <v>135751995.46448368</v>
      </c>
    </row>
    <row r="33" spans="1:13" hidden="1" outlineLevel="1">
      <c r="B33" s="664" t="s">
        <v>778</v>
      </c>
      <c r="C33" s="665"/>
      <c r="D33" s="665"/>
      <c r="E33" s="665">
        <f>'[4]Artikuj AAM'!AW8</f>
        <v>88775</v>
      </c>
      <c r="F33" s="665">
        <f>'[4]Artikuj AAM'!AW4</f>
        <v>616887.95000000007</v>
      </c>
      <c r="G33" s="665"/>
      <c r="H33" s="665"/>
      <c r="I33" s="665"/>
      <c r="J33" s="665"/>
      <c r="K33" s="668">
        <f t="shared" si="9"/>
        <v>705662.95000000007</v>
      </c>
    </row>
    <row r="34" spans="1:13" hidden="1" outlineLevel="1">
      <c r="B34" s="664" t="s">
        <v>774</v>
      </c>
      <c r="C34" s="667">
        <f t="shared" ref="C34:J34" si="11">C31+C32-C33</f>
        <v>0</v>
      </c>
      <c r="D34" s="667">
        <f t="shared" si="11"/>
        <v>1324540.1887500002</v>
      </c>
      <c r="E34" s="667">
        <f t="shared" si="11"/>
        <v>37087503.039339632</v>
      </c>
      <c r="F34" s="667">
        <f t="shared" si="11"/>
        <v>618027540.62935352</v>
      </c>
      <c r="G34" s="667">
        <f t="shared" si="11"/>
        <v>23017680.817034267</v>
      </c>
      <c r="H34" s="667">
        <f t="shared" si="11"/>
        <v>75836163.185674071</v>
      </c>
      <c r="I34" s="667">
        <f t="shared" si="11"/>
        <v>15208919.857279999</v>
      </c>
      <c r="J34" s="667">
        <f t="shared" si="11"/>
        <v>0</v>
      </c>
      <c r="K34" s="667">
        <f>SUM(C34:J34)</f>
        <v>770502347.71743143</v>
      </c>
      <c r="M34" s="677"/>
    </row>
    <row r="35" spans="1:13" hidden="1" outlineLevel="1">
      <c r="B35" s="672" t="s">
        <v>783</v>
      </c>
      <c r="C35" s="665"/>
      <c r="D35" s="665"/>
      <c r="E35" s="665"/>
      <c r="F35" s="678"/>
      <c r="G35" s="678"/>
      <c r="H35" s="678"/>
      <c r="I35" s="678"/>
      <c r="J35" s="678"/>
      <c r="K35" s="667">
        <f t="shared" si="9"/>
        <v>0</v>
      </c>
    </row>
    <row r="36" spans="1:13" hidden="1" outlineLevel="1">
      <c r="B36" s="664" t="s">
        <v>782</v>
      </c>
      <c r="C36" s="667">
        <f>C24-C31</f>
        <v>221369378</v>
      </c>
      <c r="D36" s="667">
        <f t="shared" ref="D36:I36" si="12">D24-D31</f>
        <v>3172529.2749999994</v>
      </c>
      <c r="E36" s="667">
        <f t="shared" si="12"/>
        <v>22130685.630051542</v>
      </c>
      <c r="F36" s="667">
        <f t="shared" si="12"/>
        <v>541047160.51422501</v>
      </c>
      <c r="G36" s="667">
        <f t="shared" si="12"/>
        <v>15610736.722207159</v>
      </c>
      <c r="H36" s="667">
        <f t="shared" si="12"/>
        <v>61725247.605282396</v>
      </c>
      <c r="I36" s="667">
        <f t="shared" si="12"/>
        <v>5438767.6784000006</v>
      </c>
      <c r="J36" s="667">
        <f>J24-J31</f>
        <v>0</v>
      </c>
      <c r="K36" s="671">
        <f>SUM(C36:J36)</f>
        <v>870494505.42516625</v>
      </c>
      <c r="L36" s="674"/>
    </row>
    <row r="37" spans="1:13" ht="13.5" hidden="1" outlineLevel="1" thickBot="1">
      <c r="B37" s="664" t="s">
        <v>781</v>
      </c>
      <c r="C37" s="673">
        <f t="shared" ref="C37:J37" si="13">C27-C34</f>
        <v>221369378</v>
      </c>
      <c r="D37" s="673">
        <f t="shared" si="13"/>
        <v>3013902.8112499998</v>
      </c>
      <c r="E37" s="673">
        <f t="shared" si="13"/>
        <v>18877199.357274391</v>
      </c>
      <c r="F37" s="673">
        <f t="shared" si="13"/>
        <v>473576101.34894633</v>
      </c>
      <c r="G37" s="673">
        <f t="shared" si="13"/>
        <v>14289016.396765724</v>
      </c>
      <c r="H37" s="673">
        <f t="shared" si="13"/>
        <v>56140543.684225917</v>
      </c>
      <c r="I37" s="673">
        <f t="shared" si="13"/>
        <v>4351014.1427200008</v>
      </c>
      <c r="J37" s="673">
        <f t="shared" si="13"/>
        <v>429067743.09809995</v>
      </c>
      <c r="K37" s="673">
        <f>SUM(C37:J37)</f>
        <v>1220684898.8392823</v>
      </c>
      <c r="L37" s="674"/>
    </row>
    <row r="38" spans="1:13" hidden="1" outlineLevel="1">
      <c r="B38" s="658"/>
    </row>
    <row r="39" spans="1:13" collapsed="1">
      <c r="B39" s="658"/>
      <c r="C39" s="663"/>
      <c r="D39" s="663"/>
      <c r="E39" s="663"/>
      <c r="F39" s="663"/>
      <c r="G39" s="663"/>
      <c r="H39" s="663"/>
      <c r="I39" s="663"/>
      <c r="J39" s="663"/>
      <c r="K39" s="663"/>
      <c r="L39" s="677"/>
    </row>
    <row r="40" spans="1:13">
      <c r="B40" s="658"/>
    </row>
    <row r="41" spans="1:13">
      <c r="A41" s="657" t="s">
        <v>1348</v>
      </c>
      <c r="B41" s="658" t="s">
        <v>1352</v>
      </c>
    </row>
    <row r="42" spans="1:13" s="661" customFormat="1" ht="38.25">
      <c r="B42" s="679"/>
      <c r="C42" s="663" t="s">
        <v>162</v>
      </c>
      <c r="D42" s="663" t="s">
        <v>803</v>
      </c>
      <c r="E42" s="663" t="s">
        <v>802</v>
      </c>
      <c r="F42" s="663" t="s">
        <v>801</v>
      </c>
      <c r="G42" s="663" t="s">
        <v>800</v>
      </c>
      <c r="H42" s="663" t="s">
        <v>165</v>
      </c>
      <c r="I42" s="663" t="s">
        <v>153</v>
      </c>
      <c r="J42" s="663" t="s">
        <v>1004</v>
      </c>
      <c r="K42" s="663" t="s">
        <v>124</v>
      </c>
    </row>
    <row r="43" spans="1:13">
      <c r="B43" s="680" t="s">
        <v>788</v>
      </c>
      <c r="C43" s="665"/>
      <c r="D43" s="665"/>
      <c r="E43" s="665"/>
      <c r="F43" s="666"/>
      <c r="G43" s="665"/>
      <c r="H43" s="665"/>
      <c r="I43" s="665"/>
      <c r="J43" s="665"/>
      <c r="K43" s="665"/>
    </row>
    <row r="44" spans="1:13">
      <c r="B44" s="680" t="s">
        <v>792</v>
      </c>
      <c r="C44" s="667">
        <f>C22</f>
        <v>221369378</v>
      </c>
      <c r="D44" s="667">
        <f t="shared" ref="D44:J44" si="14">D22</f>
        <v>4338443</v>
      </c>
      <c r="E44" s="667">
        <f t="shared" si="14"/>
        <v>53510077.29611402</v>
      </c>
      <c r="F44" s="667">
        <f t="shared" si="14"/>
        <v>1047013210.7582998</v>
      </c>
      <c r="G44" s="667">
        <f t="shared" si="14"/>
        <v>35365824.703799993</v>
      </c>
      <c r="H44" s="667">
        <f t="shared" si="14"/>
        <v>124793652.86989999</v>
      </c>
      <c r="I44" s="667">
        <f t="shared" si="14"/>
        <v>19559934</v>
      </c>
      <c r="J44" s="667">
        <f t="shared" si="14"/>
        <v>0</v>
      </c>
      <c r="K44" s="667">
        <f>SUM(C44:J44)</f>
        <v>1505950520.6281137</v>
      </c>
    </row>
    <row r="45" spans="1:13">
      <c r="B45" s="681" t="s">
        <v>795</v>
      </c>
      <c r="C45" s="665"/>
      <c r="D45" s="665"/>
      <c r="E45" s="665"/>
      <c r="F45" s="668"/>
      <c r="G45" s="665"/>
      <c r="H45" s="665"/>
      <c r="I45" s="665"/>
      <c r="J45" s="665"/>
      <c r="K45" s="668">
        <f t="shared" ref="K45:K58" si="15">SUM(C45:J45)</f>
        <v>0</v>
      </c>
    </row>
    <row r="46" spans="1:13" ht="25.5">
      <c r="B46" s="680" t="s">
        <v>1353</v>
      </c>
      <c r="C46" s="667">
        <f>C44+C45</f>
        <v>221369378</v>
      </c>
      <c r="D46" s="667">
        <f t="shared" ref="D46:I46" si="16">D44+D45</f>
        <v>4338443</v>
      </c>
      <c r="E46" s="667">
        <f t="shared" si="16"/>
        <v>53510077.29611402</v>
      </c>
      <c r="F46" s="667">
        <f t="shared" si="16"/>
        <v>1047013210.7582998</v>
      </c>
      <c r="G46" s="667">
        <f t="shared" si="16"/>
        <v>35365824.703799993</v>
      </c>
      <c r="H46" s="667">
        <f t="shared" si="16"/>
        <v>124793652.86989999</v>
      </c>
      <c r="I46" s="667">
        <f t="shared" si="16"/>
        <v>19559934</v>
      </c>
      <c r="J46" s="667">
        <v>0</v>
      </c>
      <c r="K46" s="667">
        <f t="shared" si="15"/>
        <v>1505950520.6281137</v>
      </c>
    </row>
    <row r="47" spans="1:13">
      <c r="B47" s="681" t="s">
        <v>794</v>
      </c>
      <c r="C47" s="669">
        <f>C25</f>
        <v>0</v>
      </c>
      <c r="D47" s="669">
        <f t="shared" ref="D47:J48" si="17">D25</f>
        <v>0</v>
      </c>
      <c r="E47" s="669">
        <f t="shared" si="17"/>
        <v>2579526.1005000002</v>
      </c>
      <c r="F47" s="669">
        <f t="shared" si="17"/>
        <v>46277222.185000002</v>
      </c>
      <c r="G47" s="669">
        <f t="shared" si="17"/>
        <v>1940872.5099999998</v>
      </c>
      <c r="H47" s="669">
        <f t="shared" si="17"/>
        <v>7183054</v>
      </c>
      <c r="I47" s="669">
        <f t="shared" si="17"/>
        <v>0</v>
      </c>
      <c r="J47" s="669">
        <f t="shared" si="17"/>
        <v>429067743.09809995</v>
      </c>
      <c r="K47" s="670">
        <f>SUM(C47:J47)</f>
        <v>487048417.89359993</v>
      </c>
    </row>
    <row r="48" spans="1:13">
      <c r="B48" s="681" t="s">
        <v>785</v>
      </c>
      <c r="C48" s="665">
        <f>C26</f>
        <v>0</v>
      </c>
      <c r="D48" s="665">
        <f t="shared" si="17"/>
        <v>0</v>
      </c>
      <c r="E48" s="665">
        <f t="shared" si="17"/>
        <v>124901</v>
      </c>
      <c r="F48" s="665">
        <f t="shared" si="17"/>
        <v>1686790.9650000001</v>
      </c>
      <c r="G48" s="665">
        <f t="shared" si="17"/>
        <v>0</v>
      </c>
      <c r="H48" s="665">
        <f t="shared" si="17"/>
        <v>0</v>
      </c>
      <c r="I48" s="665">
        <f t="shared" si="17"/>
        <v>0</v>
      </c>
      <c r="J48" s="665">
        <f t="shared" si="17"/>
        <v>0</v>
      </c>
      <c r="K48" s="665">
        <f t="shared" si="15"/>
        <v>1811691.9650000001</v>
      </c>
    </row>
    <row r="49" spans="2:14">
      <c r="B49" s="680" t="s">
        <v>1354</v>
      </c>
      <c r="C49" s="671">
        <f>C46+C47-C48</f>
        <v>221369378</v>
      </c>
      <c r="D49" s="671">
        <f t="shared" ref="D49:J49" si="18">D46+D47-D48</f>
        <v>4338443</v>
      </c>
      <c r="E49" s="671">
        <f t="shared" si="18"/>
        <v>55964702.396614023</v>
      </c>
      <c r="F49" s="671">
        <f t="shared" si="18"/>
        <v>1091603641.9782999</v>
      </c>
      <c r="G49" s="671">
        <f t="shared" si="18"/>
        <v>37306697.213799991</v>
      </c>
      <c r="H49" s="671">
        <f t="shared" si="18"/>
        <v>131976706.86989999</v>
      </c>
      <c r="I49" s="671">
        <f t="shared" si="18"/>
        <v>19559934</v>
      </c>
      <c r="J49" s="671">
        <f t="shared" si="18"/>
        <v>429067743.09809995</v>
      </c>
      <c r="K49" s="671">
        <f t="shared" si="15"/>
        <v>1991187246.5567138</v>
      </c>
    </row>
    <row r="50" spans="2:14">
      <c r="B50" s="682" t="s">
        <v>797</v>
      </c>
      <c r="C50" s="669"/>
      <c r="D50" s="669"/>
      <c r="E50" s="669"/>
      <c r="F50" s="669"/>
      <c r="G50" s="669"/>
      <c r="H50" s="669"/>
      <c r="I50" s="669"/>
      <c r="J50" s="669"/>
      <c r="K50" s="669">
        <f t="shared" si="15"/>
        <v>0</v>
      </c>
    </row>
    <row r="51" spans="2:14">
      <c r="B51" s="680" t="s">
        <v>792</v>
      </c>
      <c r="C51" s="670">
        <f>C29</f>
        <v>0</v>
      </c>
      <c r="D51" s="670">
        <f t="shared" ref="D51:J51" si="19">D29</f>
        <v>1165913.7250000003</v>
      </c>
      <c r="E51" s="670">
        <f t="shared" si="19"/>
        <v>31379391.666062478</v>
      </c>
      <c r="F51" s="670">
        <f t="shared" si="19"/>
        <v>505966050.24407488</v>
      </c>
      <c r="G51" s="670">
        <f t="shared" si="19"/>
        <v>19755087.981592834</v>
      </c>
      <c r="H51" s="670">
        <f t="shared" si="19"/>
        <v>63068405.264617592</v>
      </c>
      <c r="I51" s="670">
        <f t="shared" si="19"/>
        <v>14121166.321599999</v>
      </c>
      <c r="J51" s="670">
        <f t="shared" si="19"/>
        <v>0</v>
      </c>
      <c r="K51" s="670">
        <f t="shared" si="15"/>
        <v>635456015.20294774</v>
      </c>
    </row>
    <row r="52" spans="2:14">
      <c r="B52" s="681" t="s">
        <v>795</v>
      </c>
      <c r="C52" s="665"/>
      <c r="D52" s="665"/>
      <c r="E52" s="665"/>
      <c r="F52" s="665"/>
      <c r="G52" s="665"/>
      <c r="H52" s="665"/>
      <c r="I52" s="665"/>
      <c r="J52" s="665"/>
      <c r="K52" s="668">
        <f t="shared" si="15"/>
        <v>0</v>
      </c>
    </row>
    <row r="53" spans="2:14" ht="25.5">
      <c r="B53" s="680" t="s">
        <v>1355</v>
      </c>
      <c r="C53" s="667">
        <f>C51+C52</f>
        <v>0</v>
      </c>
      <c r="D53" s="667">
        <f t="shared" ref="D53:I53" si="20">D51+D52</f>
        <v>1165913.7250000003</v>
      </c>
      <c r="E53" s="667">
        <f t="shared" si="20"/>
        <v>31379391.666062478</v>
      </c>
      <c r="F53" s="667">
        <f t="shared" si="20"/>
        <v>505966050.24407488</v>
      </c>
      <c r="G53" s="667">
        <f t="shared" si="20"/>
        <v>19755087.981592834</v>
      </c>
      <c r="H53" s="667">
        <f t="shared" si="20"/>
        <v>63068405.264617592</v>
      </c>
      <c r="I53" s="667">
        <f t="shared" si="20"/>
        <v>14121166.321599999</v>
      </c>
      <c r="J53" s="667">
        <f>J51+J52</f>
        <v>0</v>
      </c>
      <c r="K53" s="667">
        <f t="shared" si="15"/>
        <v>635456015.20294774</v>
      </c>
    </row>
    <row r="54" spans="2:14">
      <c r="B54" s="681" t="s">
        <v>794</v>
      </c>
      <c r="C54" s="669">
        <f>C32</f>
        <v>0</v>
      </c>
      <c r="D54" s="669">
        <f t="shared" ref="D54:J55" si="21">D32</f>
        <v>158626.46375</v>
      </c>
      <c r="E54" s="669">
        <f t="shared" si="21"/>
        <v>5796886.3732771566</v>
      </c>
      <c r="F54" s="669">
        <f t="shared" si="21"/>
        <v>112678378.33527863</v>
      </c>
      <c r="G54" s="669">
        <f t="shared" si="21"/>
        <v>3262592.835441432</v>
      </c>
      <c r="H54" s="669">
        <f t="shared" si="21"/>
        <v>12767757.921056477</v>
      </c>
      <c r="I54" s="669">
        <f t="shared" si="21"/>
        <v>1087753.5356800002</v>
      </c>
      <c r="J54" s="669">
        <f t="shared" si="21"/>
        <v>0</v>
      </c>
      <c r="K54" s="670">
        <f t="shared" si="15"/>
        <v>135751995.46448368</v>
      </c>
    </row>
    <row r="55" spans="2:14">
      <c r="B55" s="681" t="s">
        <v>793</v>
      </c>
      <c r="C55" s="665">
        <f>C33</f>
        <v>0</v>
      </c>
      <c r="D55" s="665">
        <f t="shared" si="21"/>
        <v>0</v>
      </c>
      <c r="E55" s="665">
        <f t="shared" si="21"/>
        <v>88775</v>
      </c>
      <c r="F55" s="665">
        <f t="shared" si="21"/>
        <v>616887.95000000007</v>
      </c>
      <c r="G55" s="665">
        <f t="shared" si="21"/>
        <v>0</v>
      </c>
      <c r="H55" s="665">
        <f t="shared" si="21"/>
        <v>0</v>
      </c>
      <c r="I55" s="665">
        <f t="shared" si="21"/>
        <v>0</v>
      </c>
      <c r="J55" s="665">
        <f t="shared" si="21"/>
        <v>0</v>
      </c>
      <c r="K55" s="668">
        <f t="shared" si="15"/>
        <v>705662.95000000007</v>
      </c>
    </row>
    <row r="56" spans="2:14">
      <c r="B56" s="680" t="s">
        <v>1356</v>
      </c>
      <c r="C56" s="667">
        <f>C53+C54-C55</f>
        <v>0</v>
      </c>
      <c r="D56" s="667">
        <f t="shared" ref="D56:J56" si="22">D53+D54-D55</f>
        <v>1324540.1887500002</v>
      </c>
      <c r="E56" s="667">
        <f t="shared" si="22"/>
        <v>37087503.039339632</v>
      </c>
      <c r="F56" s="667">
        <f t="shared" si="22"/>
        <v>618027540.62935352</v>
      </c>
      <c r="G56" s="667">
        <f t="shared" si="22"/>
        <v>23017680.817034267</v>
      </c>
      <c r="H56" s="667">
        <f t="shared" si="22"/>
        <v>75836163.185674071</v>
      </c>
      <c r="I56" s="667">
        <f t="shared" si="22"/>
        <v>15208919.857279999</v>
      </c>
      <c r="J56" s="667">
        <f t="shared" si="22"/>
        <v>0</v>
      </c>
      <c r="K56" s="667">
        <f t="shared" si="15"/>
        <v>770502347.71743143</v>
      </c>
    </row>
    <row r="57" spans="2:14">
      <c r="B57" s="682" t="s">
        <v>791</v>
      </c>
      <c r="C57" s="670"/>
      <c r="D57" s="670"/>
      <c r="E57" s="670"/>
      <c r="F57" s="670"/>
      <c r="G57" s="670"/>
      <c r="H57" s="670"/>
      <c r="I57" s="670"/>
      <c r="J57" s="670"/>
      <c r="K57" s="667">
        <f t="shared" si="15"/>
        <v>0</v>
      </c>
    </row>
    <row r="58" spans="2:14">
      <c r="B58" s="680" t="s">
        <v>789</v>
      </c>
      <c r="C58" s="667">
        <f>C46-C53</f>
        <v>221369378</v>
      </c>
      <c r="D58" s="667">
        <f t="shared" ref="D58:J58" si="23">D46-D53</f>
        <v>3172529.2749999994</v>
      </c>
      <c r="E58" s="667">
        <f t="shared" si="23"/>
        <v>22130685.630051542</v>
      </c>
      <c r="F58" s="667">
        <f t="shared" si="23"/>
        <v>541047160.51422501</v>
      </c>
      <c r="G58" s="667">
        <f t="shared" si="23"/>
        <v>15610736.722207159</v>
      </c>
      <c r="H58" s="667">
        <f t="shared" si="23"/>
        <v>61725247.605282396</v>
      </c>
      <c r="I58" s="667">
        <f t="shared" si="23"/>
        <v>5438767.6784000006</v>
      </c>
      <c r="J58" s="667">
        <f t="shared" si="23"/>
        <v>0</v>
      </c>
      <c r="K58" s="671">
        <f t="shared" si="15"/>
        <v>870494505.42516625</v>
      </c>
    </row>
    <row r="59" spans="2:14" ht="13.5" thickBot="1">
      <c r="B59" s="680" t="s">
        <v>1357</v>
      </c>
      <c r="C59" s="673">
        <f t="shared" ref="C59:J59" si="24">C49-C56</f>
        <v>221369378</v>
      </c>
      <c r="D59" s="673">
        <f t="shared" si="24"/>
        <v>3013902.8112499998</v>
      </c>
      <c r="E59" s="673">
        <f t="shared" si="24"/>
        <v>18877199.357274391</v>
      </c>
      <c r="F59" s="673">
        <f t="shared" si="24"/>
        <v>473576101.34894633</v>
      </c>
      <c r="G59" s="673">
        <f t="shared" si="24"/>
        <v>14289016.396765724</v>
      </c>
      <c r="H59" s="673">
        <f t="shared" si="24"/>
        <v>56140543.684225917</v>
      </c>
      <c r="I59" s="673">
        <f t="shared" si="24"/>
        <v>4351014.1427200008</v>
      </c>
      <c r="J59" s="673">
        <f t="shared" si="24"/>
        <v>429067743.09809995</v>
      </c>
      <c r="K59" s="673">
        <f>SUM(C59:J59)</f>
        <v>1220684898.8392823</v>
      </c>
      <c r="L59" s="674"/>
      <c r="M59" s="675"/>
    </row>
    <row r="60" spans="2:14" ht="13.5" thickTop="1">
      <c r="C60" s="676"/>
      <c r="D60" s="676"/>
      <c r="E60" s="676"/>
      <c r="F60" s="676"/>
      <c r="G60" s="676"/>
      <c r="H60" s="676"/>
      <c r="I60" s="676"/>
      <c r="J60" s="676"/>
      <c r="K60" s="676"/>
    </row>
    <row r="61" spans="2:14">
      <c r="B61" s="682" t="s">
        <v>788</v>
      </c>
      <c r="C61" s="665"/>
      <c r="D61" s="665"/>
      <c r="E61" s="665"/>
      <c r="F61" s="666"/>
      <c r="G61" s="665"/>
      <c r="H61" s="665"/>
      <c r="I61" s="665"/>
      <c r="J61" s="665"/>
      <c r="K61" s="665"/>
    </row>
    <row r="62" spans="2:14">
      <c r="B62" s="680" t="s">
        <v>1358</v>
      </c>
      <c r="C62" s="667">
        <f t="shared" ref="C62:J62" si="25">C49</f>
        <v>221369378</v>
      </c>
      <c r="D62" s="667">
        <f t="shared" si="25"/>
        <v>4338443</v>
      </c>
      <c r="E62" s="667">
        <f t="shared" si="25"/>
        <v>55964702.396614023</v>
      </c>
      <c r="F62" s="667">
        <f t="shared" si="25"/>
        <v>1091603641.9782999</v>
      </c>
      <c r="G62" s="667">
        <f t="shared" si="25"/>
        <v>37306697.213799991</v>
      </c>
      <c r="H62" s="667">
        <f t="shared" si="25"/>
        <v>131976706.86989999</v>
      </c>
      <c r="I62" s="667">
        <f t="shared" si="25"/>
        <v>19559934</v>
      </c>
      <c r="J62" s="667">
        <f t="shared" si="25"/>
        <v>429067743.09809995</v>
      </c>
      <c r="K62" s="667">
        <f>SUM(C62:J62)</f>
        <v>1991187246.5567138</v>
      </c>
      <c r="L62" s="677"/>
      <c r="M62" s="677"/>
      <c r="N62" s="677"/>
    </row>
    <row r="63" spans="2:14">
      <c r="B63" s="681" t="s">
        <v>785</v>
      </c>
      <c r="C63" s="665"/>
      <c r="D63" s="665"/>
      <c r="E63" s="665"/>
      <c r="F63" s="665"/>
      <c r="G63" s="665"/>
      <c r="H63" s="665"/>
      <c r="I63" s="665"/>
      <c r="J63" s="665"/>
      <c r="K63" s="668">
        <f>SUM(C63:I63)</f>
        <v>0</v>
      </c>
      <c r="N63" s="677"/>
    </row>
    <row r="64" spans="2:14" ht="25.5">
      <c r="B64" s="680" t="s">
        <v>1359</v>
      </c>
      <c r="C64" s="667">
        <f>C62+C63</f>
        <v>221369378</v>
      </c>
      <c r="D64" s="667">
        <f t="shared" ref="D64:J64" si="26">D62+D63</f>
        <v>4338443</v>
      </c>
      <c r="E64" s="667">
        <f t="shared" si="26"/>
        <v>55964702.396614023</v>
      </c>
      <c r="F64" s="667">
        <f t="shared" si="26"/>
        <v>1091603641.9782999</v>
      </c>
      <c r="G64" s="667">
        <f t="shared" si="26"/>
        <v>37306697.213799991</v>
      </c>
      <c r="H64" s="667">
        <f t="shared" si="26"/>
        <v>131976706.86989999</v>
      </c>
      <c r="I64" s="667">
        <f t="shared" si="26"/>
        <v>19559934</v>
      </c>
      <c r="J64" s="667">
        <f t="shared" si="26"/>
        <v>429067743.09809995</v>
      </c>
      <c r="K64" s="667">
        <f t="shared" ref="K64:K78" si="27">SUM(C64:J64)</f>
        <v>1991187246.5567138</v>
      </c>
      <c r="N64" s="677"/>
    </row>
    <row r="65" spans="2:13">
      <c r="B65" s="681" t="s">
        <v>772</v>
      </c>
      <c r="C65" s="665">
        <f>'[4]Artikuj AAM'!AU44</f>
        <v>0</v>
      </c>
      <c r="D65" s="665">
        <f>'[4]Artikuj AAM'!BD6</f>
        <v>0</v>
      </c>
      <c r="E65" s="665">
        <f>'[4]Artikuj AAM'!BD8</f>
        <v>5312307.5917200008</v>
      </c>
      <c r="F65" s="665">
        <f>'[4]Artikuj AAM'!BD4</f>
        <v>21320744.773199979</v>
      </c>
      <c r="G65" s="665">
        <f>'[4]Artikuj AAM'!BD7</f>
        <v>3140167.6999999988</v>
      </c>
      <c r="H65" s="665">
        <f>'[4]Artikuj AAM'!BD10</f>
        <v>5334487.4192000004</v>
      </c>
      <c r="I65" s="665">
        <f>'[4]Artikuj AAM'!BD9</f>
        <v>2013696</v>
      </c>
      <c r="J65" s="665">
        <f>'[4]AQT Ne Proces'!K120+57234913</f>
        <v>433189840.94139993</v>
      </c>
      <c r="K65" s="668">
        <f t="shared" si="27"/>
        <v>470311244.42551994</v>
      </c>
      <c r="M65" s="677"/>
    </row>
    <row r="66" spans="2:13">
      <c r="B66" s="681" t="s">
        <v>773</v>
      </c>
      <c r="C66" s="669">
        <f>'[4]Artikuj AAM'!AV44</f>
        <v>0</v>
      </c>
      <c r="D66" s="669">
        <f>'[4]Artikuj AAM'!AV45</f>
        <v>0</v>
      </c>
      <c r="E66" s="669">
        <f>'[4]Artikuj AAM'!BE1243</f>
        <v>17841</v>
      </c>
      <c r="F66" s="669">
        <f>'[4]Artikuj AAM'!BE4</f>
        <v>1353224</v>
      </c>
      <c r="G66" s="669">
        <f>'[4]Artikuj AAM'!AV46</f>
        <v>0</v>
      </c>
      <c r="H66" s="669">
        <f>'[4]Artikuj AAM'!AV49</f>
        <v>0</v>
      </c>
      <c r="I66" s="669">
        <f>'[4]Artikuj AAM'!AV48</f>
        <v>0</v>
      </c>
      <c r="J66" s="669">
        <f>'[4]AQT Ne Proces'!J38</f>
        <v>0</v>
      </c>
      <c r="K66" s="670">
        <f t="shared" si="27"/>
        <v>1371065</v>
      </c>
    </row>
    <row r="67" spans="2:13" ht="12.75" customHeight="1">
      <c r="B67" s="680" t="s">
        <v>1039</v>
      </c>
      <c r="C67" s="671">
        <f t="shared" ref="C67:I67" si="28">C64+C65-C66</f>
        <v>221369378</v>
      </c>
      <c r="D67" s="671">
        <f t="shared" si="28"/>
        <v>4338443</v>
      </c>
      <c r="E67" s="671">
        <f t="shared" si="28"/>
        <v>61259168.988334022</v>
      </c>
      <c r="F67" s="671">
        <f t="shared" si="28"/>
        <v>1111571162.7514999</v>
      </c>
      <c r="G67" s="671">
        <f t="shared" si="28"/>
        <v>40446864.913799986</v>
      </c>
      <c r="H67" s="671">
        <f t="shared" si="28"/>
        <v>137311194.28909999</v>
      </c>
      <c r="I67" s="671">
        <f t="shared" si="28"/>
        <v>21573630</v>
      </c>
      <c r="J67" s="671">
        <f>J64+J65-J66-2</f>
        <v>862257582.03949988</v>
      </c>
      <c r="K67" s="671">
        <f t="shared" si="27"/>
        <v>2460127423.9822335</v>
      </c>
      <c r="L67" s="674"/>
      <c r="M67" s="675"/>
    </row>
    <row r="68" spans="2:13">
      <c r="B68" s="682" t="s">
        <v>787</v>
      </c>
      <c r="C68" s="669"/>
      <c r="D68" s="669"/>
      <c r="E68" s="669"/>
      <c r="F68" s="669"/>
      <c r="G68" s="669"/>
      <c r="H68" s="669"/>
      <c r="I68" s="669"/>
      <c r="J68" s="669"/>
      <c r="K68" s="669">
        <f t="shared" si="27"/>
        <v>0</v>
      </c>
    </row>
    <row r="69" spans="2:13">
      <c r="B69" s="681" t="s">
        <v>1358</v>
      </c>
      <c r="C69" s="669">
        <f t="shared" ref="C69:J69" si="29">C56</f>
        <v>0</v>
      </c>
      <c r="D69" s="669">
        <f t="shared" si="29"/>
        <v>1324540.1887500002</v>
      </c>
      <c r="E69" s="669">
        <f t="shared" si="29"/>
        <v>37087503.039339632</v>
      </c>
      <c r="F69" s="669">
        <f t="shared" si="29"/>
        <v>618027540.62935352</v>
      </c>
      <c r="G69" s="669">
        <f t="shared" si="29"/>
        <v>23017680.817034267</v>
      </c>
      <c r="H69" s="669">
        <f t="shared" si="29"/>
        <v>75836163.185674071</v>
      </c>
      <c r="I69" s="669">
        <f t="shared" si="29"/>
        <v>15208919.857279999</v>
      </c>
      <c r="J69" s="669">
        <f t="shared" si="29"/>
        <v>0</v>
      </c>
      <c r="K69" s="670">
        <f t="shared" si="27"/>
        <v>770502347.71743143</v>
      </c>
      <c r="L69" s="677"/>
    </row>
    <row r="70" spans="2:13">
      <c r="B70" s="681" t="s">
        <v>785</v>
      </c>
      <c r="C70" s="669"/>
      <c r="D70" s="669"/>
      <c r="E70" s="669"/>
      <c r="F70" s="669"/>
      <c r="G70" s="669"/>
      <c r="H70" s="669"/>
      <c r="I70" s="669"/>
      <c r="J70" s="669"/>
      <c r="K70" s="670">
        <f t="shared" si="27"/>
        <v>0</v>
      </c>
    </row>
    <row r="71" spans="2:13" ht="25.5">
      <c r="B71" s="680" t="s">
        <v>1359</v>
      </c>
      <c r="C71" s="667">
        <f>C69+C70</f>
        <v>0</v>
      </c>
      <c r="D71" s="667">
        <f t="shared" ref="D71:I71" si="30">D69+D70</f>
        <v>1324540.1887500002</v>
      </c>
      <c r="E71" s="667">
        <f t="shared" si="30"/>
        <v>37087503.039339632</v>
      </c>
      <c r="F71" s="667">
        <f t="shared" si="30"/>
        <v>618027540.62935352</v>
      </c>
      <c r="G71" s="667">
        <f t="shared" si="30"/>
        <v>23017680.817034267</v>
      </c>
      <c r="H71" s="667">
        <f t="shared" si="30"/>
        <v>75836163.185674071</v>
      </c>
      <c r="I71" s="667">
        <f t="shared" si="30"/>
        <v>15208919.857279999</v>
      </c>
      <c r="J71" s="667">
        <f>J69+J70</f>
        <v>0</v>
      </c>
      <c r="K71" s="667">
        <f t="shared" si="27"/>
        <v>770502347.71743143</v>
      </c>
    </row>
    <row r="72" spans="2:13">
      <c r="B72" s="681" t="s">
        <v>777</v>
      </c>
      <c r="C72" s="665">
        <f>'[4]Artikuj AAM'!BJ5</f>
        <v>0</v>
      </c>
      <c r="D72" s="665">
        <f>'[4]Artikuj AAM'!BW6</f>
        <v>150695.14056249993</v>
      </c>
      <c r="E72" s="665">
        <f>'[4]Artikuj AAM'!BW8</f>
        <v>5393973.4074419243</v>
      </c>
      <c r="F72" s="665">
        <f>'[4]Artikuj AAM'!BW4+4978</f>
        <v>97995303.183292747</v>
      </c>
      <c r="G72" s="665">
        <f>'[4]Artikuj AAM'!BW7</f>
        <v>3114311.5810198109</v>
      </c>
      <c r="H72" s="665">
        <f>'[4]Artikuj AAM'!BW10</f>
        <v>12128014.147031851</v>
      </c>
      <c r="I72" s="665">
        <f>'[4]Artikuj AAM'!BW9</f>
        <v>937326.028544</v>
      </c>
      <c r="J72" s="665">
        <v>0</v>
      </c>
      <c r="K72" s="668">
        <f t="shared" si="27"/>
        <v>119719623.48789282</v>
      </c>
    </row>
    <row r="73" spans="2:13">
      <c r="B73" s="681" t="s">
        <v>778</v>
      </c>
      <c r="C73" s="665"/>
      <c r="D73" s="665"/>
      <c r="E73" s="665">
        <f>'[4]Artikuj AAM'!AW47</f>
        <v>0</v>
      </c>
      <c r="F73" s="665">
        <f>'[4]Artikuj AAM'!BF4</f>
        <v>1217004</v>
      </c>
      <c r="G73" s="665"/>
      <c r="H73" s="665"/>
      <c r="I73" s="665"/>
      <c r="J73" s="665"/>
      <c r="K73" s="668">
        <f t="shared" si="27"/>
        <v>1217004</v>
      </c>
    </row>
    <row r="74" spans="2:13">
      <c r="B74" s="680" t="s">
        <v>1039</v>
      </c>
      <c r="C74" s="667">
        <f t="shared" ref="C74:J74" si="31">C71+C72-C73</f>
        <v>0</v>
      </c>
      <c r="D74" s="667">
        <f t="shared" si="31"/>
        <v>1475235.3293125001</v>
      </c>
      <c r="E74" s="667">
        <f t="shared" si="31"/>
        <v>42481476.446781553</v>
      </c>
      <c r="F74" s="667">
        <f t="shared" si="31"/>
        <v>714805839.81264627</v>
      </c>
      <c r="G74" s="667">
        <f t="shared" si="31"/>
        <v>26131992.398054078</v>
      </c>
      <c r="H74" s="667">
        <f t="shared" si="31"/>
        <v>87964177.332705915</v>
      </c>
      <c r="I74" s="667">
        <f t="shared" si="31"/>
        <v>16146245.885823999</v>
      </c>
      <c r="J74" s="667">
        <f t="shared" si="31"/>
        <v>0</v>
      </c>
      <c r="K74" s="667">
        <f t="shared" si="27"/>
        <v>889004967.20532441</v>
      </c>
      <c r="L74" s="674"/>
      <c r="M74" s="675"/>
    </row>
    <row r="75" spans="2:13">
      <c r="B75" s="682" t="s">
        <v>783</v>
      </c>
      <c r="C75" s="665"/>
      <c r="D75" s="665"/>
      <c r="E75" s="665"/>
      <c r="F75" s="678"/>
      <c r="G75" s="678"/>
      <c r="H75" s="678"/>
      <c r="I75" s="678"/>
      <c r="J75" s="678"/>
      <c r="K75" s="667">
        <f t="shared" si="27"/>
        <v>0</v>
      </c>
    </row>
    <row r="76" spans="2:13" ht="25.5">
      <c r="B76" s="680" t="s">
        <v>1371</v>
      </c>
      <c r="C76" s="667">
        <f t="shared" ref="C76:J76" si="32">C64-C71</f>
        <v>221369378</v>
      </c>
      <c r="D76" s="667">
        <f t="shared" si="32"/>
        <v>3013902.8112499998</v>
      </c>
      <c r="E76" s="667">
        <f t="shared" si="32"/>
        <v>18877199.357274391</v>
      </c>
      <c r="F76" s="667">
        <f t="shared" si="32"/>
        <v>473576101.34894633</v>
      </c>
      <c r="G76" s="667">
        <f t="shared" si="32"/>
        <v>14289016.396765724</v>
      </c>
      <c r="H76" s="667">
        <f t="shared" si="32"/>
        <v>56140543.684225917</v>
      </c>
      <c r="I76" s="667">
        <f t="shared" si="32"/>
        <v>4351014.1427200008</v>
      </c>
      <c r="J76" s="667">
        <f t="shared" si="32"/>
        <v>429067743.09809995</v>
      </c>
      <c r="K76" s="671">
        <f t="shared" si="27"/>
        <v>1220684898.8392823</v>
      </c>
      <c r="L76" s="674"/>
      <c r="M76" s="675"/>
    </row>
    <row r="77" spans="2:13" ht="15.75" customHeight="1">
      <c r="B77" s="680" t="s">
        <v>1370</v>
      </c>
      <c r="C77" s="668"/>
      <c r="D77" s="668"/>
      <c r="E77" s="668">
        <v>20978941</v>
      </c>
      <c r="F77" s="668"/>
      <c r="G77" s="668"/>
      <c r="H77" s="668"/>
      <c r="I77" s="668"/>
      <c r="J77" s="668"/>
      <c r="K77" s="668">
        <f t="shared" si="27"/>
        <v>20978941</v>
      </c>
      <c r="L77" s="674"/>
      <c r="M77" s="675"/>
    </row>
    <row r="78" spans="2:13" ht="13.5" thickBot="1">
      <c r="B78" s="680" t="s">
        <v>1360</v>
      </c>
      <c r="C78" s="673">
        <f>C67-C74</f>
        <v>221369378</v>
      </c>
      <c r="D78" s="673">
        <f>D67-D74</f>
        <v>2863207.6706874999</v>
      </c>
      <c r="E78" s="673">
        <f>E67-E74+E77</f>
        <v>39756633.541552469</v>
      </c>
      <c r="F78" s="673">
        <f>F67-F74</f>
        <v>396765322.93885362</v>
      </c>
      <c r="G78" s="673">
        <f>G67-G74</f>
        <v>14314872.515745908</v>
      </c>
      <c r="H78" s="673">
        <f>H67-H74</f>
        <v>49347016.956394076</v>
      </c>
      <c r="I78" s="673">
        <f>I67-I74</f>
        <v>5427384.1141760014</v>
      </c>
      <c r="J78" s="673">
        <f>J67-J74</f>
        <v>862257582.03949988</v>
      </c>
      <c r="K78" s="673">
        <f t="shared" si="27"/>
        <v>1592101397.7769094</v>
      </c>
      <c r="L78" s="683"/>
      <c r="M78" s="675"/>
    </row>
    <row r="79" spans="2:13" ht="13.5" thickTop="1">
      <c r="J79" s="688" t="s">
        <v>1361</v>
      </c>
      <c r="K79" s="688">
        <f>'1.1 BS_cons'!$E$8</f>
        <v>1592101398.1341004</v>
      </c>
      <c r="L79" s="684"/>
    </row>
    <row r="80" spans="2:13">
      <c r="J80" s="689"/>
      <c r="K80" s="688">
        <f>K79-K78</f>
        <v>0.35719108581542969</v>
      </c>
      <c r="L80" s="685"/>
      <c r="M80" s="677"/>
    </row>
    <row r="81" spans="5:6">
      <c r="E81" s="676"/>
    </row>
    <row r="82" spans="5:6">
      <c r="E82" s="676"/>
      <c r="F82" s="676"/>
    </row>
    <row r="83" spans="5:6">
      <c r="E83" s="676"/>
    </row>
  </sheetData>
  <pageMargins left="0.3" right="0.17" top="0.36" bottom="0.17" header="0.3" footer="0.15"/>
  <pageSetup scale="75" orientation="landscape" r:id="rId1"/>
  <rowBreaks count="1" manualBreakCount="1">
    <brk id="78" max="10" man="1"/>
  </rowBreaks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8">
    <tabColor theme="9" tint="0.59999389629810485"/>
    <pageSetUpPr fitToPage="1"/>
  </sheetPr>
  <dimension ref="A1:K77"/>
  <sheetViews>
    <sheetView zoomScaleSheetLayoutView="85" zoomScalePageLayoutView="70" workbookViewId="0">
      <selection activeCell="C30" sqref="C30"/>
    </sheetView>
  </sheetViews>
  <sheetFormatPr defaultRowHeight="12.75"/>
  <cols>
    <col min="1" max="1" width="5.140625" style="6" bestFit="1" customWidth="1"/>
    <col min="2" max="2" width="50.5703125" style="1" customWidth="1"/>
    <col min="3" max="3" width="20.85546875" style="1" customWidth="1"/>
    <col min="4" max="5" width="22.7109375" style="1" customWidth="1"/>
    <col min="6" max="6" width="17.5703125" style="1" customWidth="1"/>
    <col min="7" max="7" width="15.7109375" style="213" bestFit="1" customWidth="1"/>
    <col min="8" max="8" width="13.85546875" style="213" bestFit="1" customWidth="1"/>
    <col min="9" max="9" width="18.140625" style="213" bestFit="1" customWidth="1"/>
    <col min="10" max="10" width="12.7109375" style="1" bestFit="1" customWidth="1"/>
    <col min="11" max="11" width="13.42578125" style="1" bestFit="1" customWidth="1"/>
    <col min="12" max="16384" width="9.140625" style="1"/>
  </cols>
  <sheetData>
    <row r="1" spans="1:10">
      <c r="B1" s="293"/>
      <c r="C1" s="295">
        <v>41274</v>
      </c>
      <c r="D1" s="219">
        <v>41274</v>
      </c>
      <c r="E1" s="220">
        <v>41274</v>
      </c>
      <c r="F1" s="728" t="s">
        <v>22</v>
      </c>
      <c r="G1" s="726" t="s">
        <v>34</v>
      </c>
      <c r="H1" s="727"/>
      <c r="I1" s="301" t="s">
        <v>36</v>
      </c>
    </row>
    <row r="2" spans="1:10" s="2" customFormat="1">
      <c r="A2" s="7" t="s">
        <v>4</v>
      </c>
      <c r="B2" s="294" t="s">
        <v>628</v>
      </c>
      <c r="C2" s="296" t="s">
        <v>651</v>
      </c>
      <c r="D2" s="204" t="s">
        <v>652</v>
      </c>
      <c r="E2" s="204" t="s">
        <v>653</v>
      </c>
      <c r="F2" s="729"/>
      <c r="G2" s="302" t="s">
        <v>7</v>
      </c>
      <c r="H2" s="303" t="s">
        <v>8</v>
      </c>
      <c r="I2" s="304" t="s">
        <v>23</v>
      </c>
    </row>
    <row r="3" spans="1:10" s="2" customFormat="1">
      <c r="A3" s="7"/>
      <c r="B3" s="34" t="s">
        <v>629</v>
      </c>
      <c r="C3" s="297"/>
      <c r="D3" s="218"/>
      <c r="E3" s="218"/>
      <c r="F3" s="297"/>
      <c r="G3" s="211"/>
      <c r="H3" s="211"/>
      <c r="I3" s="216"/>
    </row>
    <row r="4" spans="1:10">
      <c r="A4" s="6">
        <v>1001</v>
      </c>
      <c r="B4" s="24" t="s">
        <v>579</v>
      </c>
      <c r="C4" s="298">
        <f>'FS TCH AL'!F4</f>
        <v>9844390.4386006985</v>
      </c>
      <c r="D4" s="205">
        <f>'FS KS'!F4</f>
        <v>303946.05780000001</v>
      </c>
      <c r="E4" s="205">
        <f>'FS MK'!F4</f>
        <v>2239699.2155999998</v>
      </c>
      <c r="F4" s="289">
        <f>SUM(C4:E4)</f>
        <v>12388035.712000698</v>
      </c>
      <c r="G4" s="211"/>
      <c r="H4" s="211"/>
      <c r="I4" s="216">
        <f>+F4+G4-H4</f>
        <v>12388035.712000698</v>
      </c>
      <c r="J4" s="1" t="s">
        <v>692</v>
      </c>
    </row>
    <row r="5" spans="1:10">
      <c r="A5" s="6">
        <v>2044</v>
      </c>
      <c r="B5" s="24" t="s">
        <v>606</v>
      </c>
      <c r="C5" s="298">
        <f>'FS TCH AL'!F5</f>
        <v>50638962</v>
      </c>
      <c r="D5" s="205">
        <f>'FS KS'!F5</f>
        <v>0</v>
      </c>
      <c r="E5" s="205">
        <f>'FS MK'!F5</f>
        <v>0</v>
      </c>
      <c r="F5" s="289">
        <f t="shared" ref="F5:F24" si="0">SUM(C5:E5)</f>
        <v>50638962</v>
      </c>
      <c r="G5" s="211"/>
      <c r="H5" s="211">
        <f>F5</f>
        <v>50638962</v>
      </c>
      <c r="I5" s="216">
        <f t="shared" ref="I5:I11" si="1">+F5+G5-H5</f>
        <v>0</v>
      </c>
      <c r="J5" s="1" t="s">
        <v>667</v>
      </c>
    </row>
    <row r="6" spans="1:10">
      <c r="B6" s="24" t="s">
        <v>607</v>
      </c>
      <c r="C6" s="298">
        <f>'FS TCH AL'!F6</f>
        <v>0</v>
      </c>
      <c r="D6" s="205">
        <f>'FS KS'!F6</f>
        <v>0</v>
      </c>
      <c r="E6" s="205">
        <f>'FS MK'!F6</f>
        <v>0</v>
      </c>
      <c r="F6" s="289">
        <f t="shared" si="0"/>
        <v>0</v>
      </c>
      <c r="G6" s="211"/>
      <c r="H6" s="211"/>
      <c r="I6" s="216">
        <f t="shared" si="1"/>
        <v>0</v>
      </c>
      <c r="J6" s="1" t="s">
        <v>667</v>
      </c>
    </row>
    <row r="7" spans="1:10">
      <c r="A7" s="6">
        <v>1004</v>
      </c>
      <c r="B7" s="24" t="s">
        <v>648</v>
      </c>
      <c r="C7" s="298">
        <f>'FS TCH AL'!F7</f>
        <v>507105553.2385</v>
      </c>
      <c r="D7" s="205">
        <f>'FS KS'!F7</f>
        <v>0</v>
      </c>
      <c r="E7" s="205">
        <f>'FS MK'!F7</f>
        <v>0</v>
      </c>
      <c r="F7" s="289">
        <f t="shared" si="0"/>
        <v>507105553.2385</v>
      </c>
      <c r="G7" s="211"/>
      <c r="H7" s="211"/>
      <c r="I7" s="216">
        <f t="shared" si="1"/>
        <v>507105553.2385</v>
      </c>
      <c r="J7" s="1" t="s">
        <v>667</v>
      </c>
    </row>
    <row r="8" spans="1:10">
      <c r="A8" s="6">
        <v>1005</v>
      </c>
      <c r="B8" s="24" t="s">
        <v>649</v>
      </c>
      <c r="C8" s="298">
        <f>'FS TCH AL'!F8</f>
        <v>24290420.2969</v>
      </c>
      <c r="D8" s="205">
        <f>'FS KS'!F8</f>
        <v>4042.5264000000002</v>
      </c>
      <c r="E8" s="205">
        <f>'FS MK'!F8</f>
        <v>59611.909500000002</v>
      </c>
      <c r="F8" s="289">
        <f t="shared" si="0"/>
        <v>24354074.732799999</v>
      </c>
      <c r="G8" s="211"/>
      <c r="H8" s="211"/>
      <c r="I8" s="216">
        <f t="shared" si="1"/>
        <v>24354074.732799999</v>
      </c>
      <c r="J8" s="1" t="s">
        <v>666</v>
      </c>
    </row>
    <row r="9" spans="1:10">
      <c r="A9" s="6">
        <v>1007</v>
      </c>
      <c r="B9" s="24" t="s">
        <v>650</v>
      </c>
      <c r="C9" s="298">
        <f>'FS TCH AL'!F9</f>
        <v>1909981.3390999998</v>
      </c>
      <c r="D9" s="205">
        <f>'FS KS'!F9</f>
        <v>0</v>
      </c>
      <c r="E9" s="205">
        <f>'FS MK'!F9</f>
        <v>0</v>
      </c>
      <c r="F9" s="289">
        <f t="shared" si="0"/>
        <v>1909981.3390999998</v>
      </c>
      <c r="G9" s="211"/>
      <c r="H9" s="211"/>
      <c r="I9" s="216">
        <f t="shared" si="1"/>
        <v>1909981.3390999998</v>
      </c>
      <c r="J9" s="1" t="s">
        <v>668</v>
      </c>
    </row>
    <row r="10" spans="1:10">
      <c r="A10" s="6">
        <v>1012</v>
      </c>
      <c r="B10" s="24" t="s">
        <v>627</v>
      </c>
      <c r="C10" s="298">
        <f>'FS TCH AL'!F10</f>
        <v>1464410.4201000021</v>
      </c>
      <c r="D10" s="205">
        <f>'FS KS'!F10</f>
        <v>0</v>
      </c>
      <c r="E10" s="205">
        <f>'FS MK'!F10</f>
        <v>0</v>
      </c>
      <c r="F10" s="289">
        <f t="shared" si="0"/>
        <v>1464410.4201000021</v>
      </c>
      <c r="G10" s="238"/>
      <c r="H10" s="238"/>
      <c r="I10" s="216">
        <f t="shared" si="1"/>
        <v>1464410.4201000021</v>
      </c>
      <c r="J10" s="1" t="s">
        <v>739</v>
      </c>
    </row>
    <row r="11" spans="1:10">
      <c r="A11" s="6">
        <v>1015</v>
      </c>
      <c r="B11" s="24" t="s">
        <v>583</v>
      </c>
      <c r="C11" s="298">
        <f>'FS TCH AL'!F11</f>
        <v>153477589.79010001</v>
      </c>
      <c r="D11" s="205">
        <f>'FS KS'!F11</f>
        <v>1297345.2722999998</v>
      </c>
      <c r="E11" s="205">
        <f>'FS MK'!F11</f>
        <v>0</v>
      </c>
      <c r="F11" s="289">
        <f t="shared" si="0"/>
        <v>154774935.06240001</v>
      </c>
      <c r="G11" s="238"/>
      <c r="H11" s="238"/>
      <c r="I11" s="216">
        <f t="shared" si="1"/>
        <v>154774935.06240001</v>
      </c>
      <c r="J11" s="1" t="s">
        <v>739</v>
      </c>
    </row>
    <row r="12" spans="1:10" s="3" customFormat="1" ht="15">
      <c r="A12" s="8"/>
      <c r="B12" s="38" t="s">
        <v>630</v>
      </c>
      <c r="C12" s="290">
        <f>'FS TCH AL'!F12</f>
        <v>748731307.52330065</v>
      </c>
      <c r="D12" s="208">
        <f>'FS KS'!F12</f>
        <v>1605333.8564999998</v>
      </c>
      <c r="E12" s="208">
        <f>'FS MK'!F12</f>
        <v>2299311.1250999998</v>
      </c>
      <c r="F12" s="307">
        <f>SUM(C12:E12)</f>
        <v>752635952.50490069</v>
      </c>
      <c r="G12" s="241">
        <f>SUM(G4:G11)</f>
        <v>0</v>
      </c>
      <c r="H12" s="241">
        <f>SUM(H4:H11)</f>
        <v>50638962</v>
      </c>
      <c r="I12" s="242">
        <f>+F12+G12-H12</f>
        <v>701996990.50490069</v>
      </c>
    </row>
    <row r="13" spans="1:10">
      <c r="A13" s="6">
        <v>1020</v>
      </c>
      <c r="B13" s="24" t="s">
        <v>162</v>
      </c>
      <c r="C13" s="298">
        <f>'FS TCH AL'!F13</f>
        <v>221369378.40000001</v>
      </c>
      <c r="D13" s="205">
        <f>'FS KS'!F13</f>
        <v>0</v>
      </c>
      <c r="E13" s="205">
        <f>'FS MK'!F13</f>
        <v>0</v>
      </c>
      <c r="F13" s="289">
        <f t="shared" si="0"/>
        <v>221369378.40000001</v>
      </c>
      <c r="G13" s="238">
        <f>+G11+G12</f>
        <v>0</v>
      </c>
      <c r="H13" s="238"/>
      <c r="I13" s="216">
        <f t="shared" ref="I13:I18" si="2">+F13+G13-H13</f>
        <v>221369378.40000001</v>
      </c>
      <c r="J13" s="1" t="s">
        <v>30</v>
      </c>
    </row>
    <row r="14" spans="1:10">
      <c r="A14" s="6">
        <v>1021</v>
      </c>
      <c r="B14" s="24" t="s">
        <v>584</v>
      </c>
      <c r="C14" s="298">
        <f>'FS TCH AL'!F14</f>
        <v>4338443</v>
      </c>
      <c r="D14" s="205">
        <f>'FS KS'!F14</f>
        <v>0</v>
      </c>
      <c r="E14" s="205">
        <f>'FS MK'!F14</f>
        <v>0</v>
      </c>
      <c r="F14" s="289">
        <f t="shared" si="0"/>
        <v>4338443</v>
      </c>
      <c r="G14" s="211"/>
      <c r="H14" s="211"/>
      <c r="I14" s="216">
        <f t="shared" si="2"/>
        <v>4338443</v>
      </c>
      <c r="J14" s="1" t="s">
        <v>30</v>
      </c>
    </row>
    <row r="15" spans="1:10">
      <c r="A15" s="6">
        <v>1022</v>
      </c>
      <c r="B15" s="24" t="s">
        <v>585</v>
      </c>
      <c r="C15" s="298">
        <f>'FS TCH AL'!F15</f>
        <v>1111571119.0857</v>
      </c>
      <c r="D15" s="205">
        <f>'FS KS'!F15</f>
        <v>28224941.659200002</v>
      </c>
      <c r="E15" s="205">
        <f>'FS MK'!F15</f>
        <v>0</v>
      </c>
      <c r="F15" s="289">
        <f t="shared" si="0"/>
        <v>1139796060.7449</v>
      </c>
      <c r="G15" s="211"/>
      <c r="H15" s="211"/>
      <c r="I15" s="216">
        <f t="shared" si="2"/>
        <v>1139796060.7449</v>
      </c>
      <c r="J15" s="1" t="s">
        <v>30</v>
      </c>
    </row>
    <row r="16" spans="1:10">
      <c r="A16" s="6">
        <v>1023</v>
      </c>
      <c r="B16" s="24" t="s">
        <v>586</v>
      </c>
      <c r="C16" s="298">
        <f>'FS TCH AL'!F16</f>
        <v>260590839.51120001</v>
      </c>
      <c r="D16" s="205">
        <f>'FS KS'!F16</f>
        <v>9260968.7313000001</v>
      </c>
      <c r="E16" s="205">
        <f>'FS MK'!F16</f>
        <v>0</v>
      </c>
      <c r="F16" s="289">
        <f t="shared" si="0"/>
        <v>269851808.24250001</v>
      </c>
      <c r="G16" s="211"/>
      <c r="H16" s="211"/>
      <c r="I16" s="216">
        <f t="shared" si="2"/>
        <v>269851808.24250001</v>
      </c>
      <c r="J16" s="1" t="s">
        <v>30</v>
      </c>
    </row>
    <row r="17" spans="1:11">
      <c r="A17" s="6">
        <v>1031</v>
      </c>
      <c r="B17" s="24" t="s">
        <v>645</v>
      </c>
      <c r="C17" s="298">
        <f>'FS TCH AL'!F17</f>
        <v>-1475235.11</v>
      </c>
      <c r="D17" s="205">
        <f>'FS KS'!F17</f>
        <v>0</v>
      </c>
      <c r="E17" s="205">
        <f>'FS MK'!F17</f>
        <v>0</v>
      </c>
      <c r="F17" s="289">
        <f t="shared" si="0"/>
        <v>-1475235.11</v>
      </c>
      <c r="G17" s="211"/>
      <c r="H17" s="211"/>
      <c r="I17" s="216">
        <f t="shared" si="2"/>
        <v>-1475235.11</v>
      </c>
      <c r="J17" s="1" t="s">
        <v>30</v>
      </c>
    </row>
    <row r="18" spans="1:11">
      <c r="A18" s="6">
        <v>1032</v>
      </c>
      <c r="B18" s="24" t="s">
        <v>646</v>
      </c>
      <c r="C18" s="298">
        <f>'FS TCH AL'!F18</f>
        <v>-714805778.70600009</v>
      </c>
      <c r="D18" s="205">
        <f>'FS KS'!F18</f>
        <v>0</v>
      </c>
      <c r="E18" s="205">
        <f>'FS MK'!F18</f>
        <v>0</v>
      </c>
      <c r="F18" s="289">
        <f t="shared" si="0"/>
        <v>-714805778.70600009</v>
      </c>
      <c r="G18" s="211"/>
      <c r="H18" s="211"/>
      <c r="I18" s="216">
        <f t="shared" si="2"/>
        <v>-714805778.70600009</v>
      </c>
      <c r="J18" s="1" t="s">
        <v>30</v>
      </c>
    </row>
    <row r="19" spans="1:11">
      <c r="A19" s="6">
        <v>1033</v>
      </c>
      <c r="B19" s="24" t="s">
        <v>647</v>
      </c>
      <c r="C19" s="298">
        <f>'FS TCH AL'!F19</f>
        <v>-172723890.89000002</v>
      </c>
      <c r="D19" s="205">
        <f>'FS KS'!F19</f>
        <v>-16506969.771599999</v>
      </c>
      <c r="E19" s="205">
        <f>'FS MK'!F19</f>
        <v>0</v>
      </c>
      <c r="F19" s="289">
        <f t="shared" si="0"/>
        <v>-189230860.66160002</v>
      </c>
      <c r="G19" s="238"/>
      <c r="H19" s="238"/>
      <c r="I19" s="216">
        <f>+F19+G19-H19</f>
        <v>-189230860.66160002</v>
      </c>
      <c r="J19" s="1" t="s">
        <v>30</v>
      </c>
    </row>
    <row r="20" spans="1:11" ht="15">
      <c r="B20" s="38" t="s">
        <v>631</v>
      </c>
      <c r="C20" s="290">
        <f>'FS TCH AL'!F20</f>
        <v>708864875.29090011</v>
      </c>
      <c r="D20" s="208">
        <f>'FS KS'!F20</f>
        <v>20978940.618900001</v>
      </c>
      <c r="E20" s="208">
        <f>'FS MK'!F20</f>
        <v>0</v>
      </c>
      <c r="F20" s="307">
        <f>SUM(C20:E20)</f>
        <v>729843815.90980005</v>
      </c>
      <c r="G20" s="241">
        <f>SUM(G13:G19)</f>
        <v>0</v>
      </c>
      <c r="H20" s="241">
        <f>SUM(H13:H19)</f>
        <v>0</v>
      </c>
      <c r="I20" s="242">
        <f>SUM(I13:I19)</f>
        <v>729843815.90980017</v>
      </c>
    </row>
    <row r="21" spans="1:11">
      <c r="A21" s="6">
        <v>1026</v>
      </c>
      <c r="B21" s="24" t="s">
        <v>587</v>
      </c>
      <c r="C21" s="298">
        <f>'FS TCH AL'!F21</f>
        <v>40428</v>
      </c>
      <c r="D21" s="205">
        <f>'FS KS'!F21</f>
        <v>0</v>
      </c>
      <c r="E21" s="205">
        <f>'FS MK'!F21</f>
        <v>0</v>
      </c>
      <c r="F21" s="289">
        <f t="shared" si="0"/>
        <v>40428</v>
      </c>
      <c r="G21" s="211"/>
      <c r="H21" s="211"/>
      <c r="I21" s="216">
        <f>+F21+G21-H21</f>
        <v>40428</v>
      </c>
      <c r="J21" s="1" t="s">
        <v>31</v>
      </c>
    </row>
    <row r="22" spans="1:11">
      <c r="A22" s="6">
        <v>1016</v>
      </c>
      <c r="B22" s="24" t="s">
        <v>588</v>
      </c>
      <c r="C22" s="298">
        <f>'FS TCH AL'!F22</f>
        <v>0</v>
      </c>
      <c r="D22" s="205">
        <f>'FS KS'!F22</f>
        <v>0</v>
      </c>
      <c r="E22" s="205">
        <f>'FS MK'!F22</f>
        <v>0</v>
      </c>
      <c r="F22" s="289">
        <f t="shared" si="0"/>
        <v>0</v>
      </c>
      <c r="G22" s="211"/>
      <c r="H22" s="211"/>
      <c r="I22" s="216">
        <f>+F22+G22-H22</f>
        <v>0</v>
      </c>
    </row>
    <row r="23" spans="1:11">
      <c r="A23" s="6">
        <v>1006</v>
      </c>
      <c r="B23" s="24" t="s">
        <v>589</v>
      </c>
      <c r="C23" s="298">
        <f>'FS TCH AL'!F23</f>
        <v>9439933</v>
      </c>
      <c r="D23" s="205">
        <f>'FS KS'!F23</f>
        <v>0</v>
      </c>
      <c r="E23" s="205">
        <f>'FS MK'!F23</f>
        <v>0</v>
      </c>
      <c r="F23" s="289">
        <f t="shared" si="0"/>
        <v>9439933</v>
      </c>
      <c r="G23" s="211"/>
      <c r="H23" s="211"/>
      <c r="I23" s="216">
        <f>+F23+G23-H23</f>
        <v>9439933</v>
      </c>
      <c r="J23" s="1" t="s">
        <v>32</v>
      </c>
    </row>
    <row r="24" spans="1:11">
      <c r="A24" s="6">
        <v>1028</v>
      </c>
      <c r="B24" s="24" t="s">
        <v>590</v>
      </c>
      <c r="C24" s="298">
        <f>'FS TCH AL'!F24</f>
        <v>862257582.22430015</v>
      </c>
      <c r="D24" s="205">
        <f>'FS KS'!F24</f>
        <v>0</v>
      </c>
      <c r="E24" s="205">
        <f>'FS MK'!F24</f>
        <v>0</v>
      </c>
      <c r="F24" s="289">
        <f t="shared" si="0"/>
        <v>862257582.22430015</v>
      </c>
      <c r="G24" s="211"/>
      <c r="H24" s="211"/>
      <c r="I24" s="216">
        <f>+F24+G24-H24</f>
        <v>862257582.22430015</v>
      </c>
      <c r="J24" s="1" t="s">
        <v>30</v>
      </c>
    </row>
    <row r="25" spans="1:11" s="3" customFormat="1" ht="15">
      <c r="A25" s="8"/>
      <c r="B25" s="38" t="s">
        <v>632</v>
      </c>
      <c r="C25" s="290">
        <f>'FS TCH AL'!F25</f>
        <v>1580602818.5152001</v>
      </c>
      <c r="D25" s="208">
        <f>'FS KS'!F25</f>
        <v>20978940.618900001</v>
      </c>
      <c r="E25" s="208">
        <f>'FS MK'!F25</f>
        <v>0</v>
      </c>
      <c r="F25" s="307">
        <f>SUM(C25:E25)</f>
        <v>1601581759.1341002</v>
      </c>
      <c r="G25" s="241">
        <f>SUM(G21:G24)</f>
        <v>0</v>
      </c>
      <c r="H25" s="241">
        <f>SUM(H21:H24)</f>
        <v>0</v>
      </c>
      <c r="I25" s="242">
        <f>+F25-G25+H25</f>
        <v>1601581759.1341002</v>
      </c>
    </row>
    <row r="26" spans="1:11" s="3" customFormat="1">
      <c r="A26" s="8"/>
      <c r="B26" s="47" t="s">
        <v>638</v>
      </c>
      <c r="C26" s="299">
        <f>'FS TCH AL'!F26</f>
        <v>2329334126.0385008</v>
      </c>
      <c r="D26" s="207">
        <f>'FS KS'!F26</f>
        <v>22584274.475400001</v>
      </c>
      <c r="E26" s="207">
        <f>'FS MK'!F26</f>
        <v>2299311.1250999998</v>
      </c>
      <c r="F26" s="299">
        <f>SUM(C26:E26)</f>
        <v>2354217711.6390009</v>
      </c>
      <c r="G26" s="243">
        <f>SUM(G21:G25)</f>
        <v>0</v>
      </c>
      <c r="H26" s="243">
        <f>SUM(H21:H25)</f>
        <v>0</v>
      </c>
      <c r="I26" s="244">
        <f>+F26-G26+H26</f>
        <v>2354217711.6390009</v>
      </c>
    </row>
    <row r="27" spans="1:11">
      <c r="A27" s="6">
        <v>2002</v>
      </c>
      <c r="B27" s="24" t="s">
        <v>591</v>
      </c>
      <c r="C27" s="298">
        <f>'FS TCH AL'!F27</f>
        <v>196935142.76469988</v>
      </c>
      <c r="D27" s="205">
        <f>'FS KS'!F27</f>
        <v>0</v>
      </c>
      <c r="E27" s="205">
        <f>'FS MK'!F27</f>
        <v>0</v>
      </c>
      <c r="F27" s="289">
        <f t="shared" ref="F27:F39" si="3">SUM(C27:E27)</f>
        <v>196935142.76469988</v>
      </c>
      <c r="G27" s="238"/>
      <c r="H27" s="238"/>
      <c r="I27" s="216">
        <f t="shared" ref="I27:I34" si="4">+F27+G27-H27</f>
        <v>196935142.76469988</v>
      </c>
      <c r="J27" s="1" t="s">
        <v>712</v>
      </c>
    </row>
    <row r="28" spans="1:11">
      <c r="A28" s="6">
        <v>2044</v>
      </c>
      <c r="B28" s="24" t="s">
        <v>604</v>
      </c>
      <c r="C28" s="298">
        <f>'FS TCH AL'!F28</f>
        <v>0</v>
      </c>
      <c r="D28" s="205">
        <f>'FS KS'!F28</f>
        <v>39195247.172399998</v>
      </c>
      <c r="E28" s="205">
        <f>'FS MK'!F28</f>
        <v>11443709.643299999</v>
      </c>
      <c r="F28" s="289">
        <f t="shared" si="3"/>
        <v>50638956.815699995</v>
      </c>
      <c r="G28" s="211">
        <f>F28</f>
        <v>50638956.815699995</v>
      </c>
      <c r="H28" s="211"/>
      <c r="I28" s="216">
        <f>+F28-G28-H28</f>
        <v>0</v>
      </c>
      <c r="J28" s="1" t="s">
        <v>713</v>
      </c>
      <c r="K28" s="1">
        <f>G28-H5</f>
        <v>-5.1843000054359436</v>
      </c>
    </row>
    <row r="29" spans="1:11">
      <c r="B29" s="24" t="s">
        <v>605</v>
      </c>
      <c r="C29" s="298">
        <f>'FS TCH AL'!F29</f>
        <v>0</v>
      </c>
      <c r="D29" s="205">
        <f>'FS KS'!F29</f>
        <v>0</v>
      </c>
      <c r="E29" s="205">
        <f>'FS MK'!F29</f>
        <v>0</v>
      </c>
      <c r="F29" s="289">
        <f t="shared" si="3"/>
        <v>0</v>
      </c>
      <c r="G29" s="211"/>
      <c r="H29" s="211"/>
      <c r="I29" s="216">
        <f t="shared" si="4"/>
        <v>0</v>
      </c>
      <c r="J29" s="1" t="s">
        <v>713</v>
      </c>
    </row>
    <row r="30" spans="1:11">
      <c r="A30" s="6">
        <v>2005</v>
      </c>
      <c r="B30" s="24" t="s">
        <v>592</v>
      </c>
      <c r="C30" s="298">
        <f>'FS TCH AL'!F30</f>
        <v>437036900.31739998</v>
      </c>
      <c r="D30" s="205">
        <f>'FS KS'!F30</f>
        <v>21157173.318600003</v>
      </c>
      <c r="E30" s="205">
        <f>'FS MK'!F30</f>
        <v>36412.051500000001</v>
      </c>
      <c r="F30" s="289">
        <f t="shared" si="3"/>
        <v>458230485.6875</v>
      </c>
      <c r="G30" s="211"/>
      <c r="H30" s="211"/>
      <c r="I30" s="216">
        <f t="shared" si="4"/>
        <v>458230485.6875</v>
      </c>
      <c r="J30" s="1" t="s">
        <v>713</v>
      </c>
    </row>
    <row r="31" spans="1:11">
      <c r="A31" s="6">
        <v>2006</v>
      </c>
      <c r="B31" s="24" t="s">
        <v>593</v>
      </c>
      <c r="C31" s="298">
        <f>'FS TCH AL'!F31</f>
        <v>3351821.1214000322</v>
      </c>
      <c r="D31" s="205">
        <f>'FS KS'!F31</f>
        <v>0</v>
      </c>
      <c r="E31" s="205">
        <f>'FS MK'!F31</f>
        <v>0</v>
      </c>
      <c r="F31" s="289">
        <f t="shared" si="3"/>
        <v>3351821.1214000322</v>
      </c>
      <c r="G31" s="211"/>
      <c r="H31" s="211"/>
      <c r="I31" s="216">
        <f t="shared" si="4"/>
        <v>3351821.1214000322</v>
      </c>
      <c r="J31" s="1" t="s">
        <v>715</v>
      </c>
    </row>
    <row r="32" spans="1:11">
      <c r="A32" s="6">
        <v>2007</v>
      </c>
      <c r="B32" s="24" t="s">
        <v>594</v>
      </c>
      <c r="C32" s="298">
        <f>'FS TCH AL'!F32</f>
        <v>16687110.302700007</v>
      </c>
      <c r="D32" s="205">
        <f>'FS KS'!F32</f>
        <v>244970.67870000005</v>
      </c>
      <c r="E32" s="205">
        <f>'FS MK'!F32</f>
        <v>0</v>
      </c>
      <c r="F32" s="289">
        <f t="shared" si="3"/>
        <v>16932080.981400006</v>
      </c>
      <c r="G32" s="238"/>
      <c r="H32" s="238"/>
      <c r="I32" s="216">
        <f t="shared" si="4"/>
        <v>16932080.981400006</v>
      </c>
      <c r="J32" s="1" t="s">
        <v>715</v>
      </c>
    </row>
    <row r="33" spans="1:10">
      <c r="A33" s="6">
        <v>2009</v>
      </c>
      <c r="B33" s="24" t="s">
        <v>595</v>
      </c>
      <c r="C33" s="298">
        <f>'FS TCH AL'!F33</f>
        <v>66144122.831399992</v>
      </c>
      <c r="D33" s="205">
        <f>'FS KS'!F33</f>
        <v>0</v>
      </c>
      <c r="E33" s="205">
        <f>'FS MK'!F33</f>
        <v>0</v>
      </c>
      <c r="F33" s="289">
        <f t="shared" si="3"/>
        <v>66144122.831399992</v>
      </c>
      <c r="G33" s="238"/>
      <c r="H33" s="238"/>
      <c r="I33" s="216">
        <f t="shared" si="4"/>
        <v>66144122.831399992</v>
      </c>
      <c r="J33" s="1" t="s">
        <v>714</v>
      </c>
    </row>
    <row r="34" spans="1:10">
      <c r="A34" s="6">
        <v>2010</v>
      </c>
      <c r="B34" s="24" t="s">
        <v>596</v>
      </c>
      <c r="C34" s="298">
        <f>'FS TCH AL'!F34</f>
        <v>1088209.3125</v>
      </c>
      <c r="D34" s="205">
        <f>'FS KS'!F34</f>
        <v>0</v>
      </c>
      <c r="E34" s="205">
        <f>'FS MK'!F34</f>
        <v>0</v>
      </c>
      <c r="F34" s="289">
        <f t="shared" si="3"/>
        <v>1088209.3125</v>
      </c>
      <c r="G34" s="211"/>
      <c r="H34" s="211"/>
      <c r="I34" s="216">
        <f t="shared" si="4"/>
        <v>1088209.3125</v>
      </c>
      <c r="J34" s="1" t="s">
        <v>703</v>
      </c>
    </row>
    <row r="35" spans="1:10" s="3" customFormat="1" ht="15">
      <c r="A35" s="8"/>
      <c r="B35" s="28" t="s">
        <v>633</v>
      </c>
      <c r="C35" s="290">
        <f>'FS TCH AL'!F35</f>
        <v>721243306.65009999</v>
      </c>
      <c r="D35" s="206">
        <f>'FS KS'!F35</f>
        <v>60597391.169699997</v>
      </c>
      <c r="E35" s="206">
        <f>'FS MK'!F35</f>
        <v>11480121.694799999</v>
      </c>
      <c r="F35" s="307">
        <f>SUM(C35:E35)</f>
        <v>793320819.51460004</v>
      </c>
      <c r="G35" s="241">
        <f>SUM(G27:G34)</f>
        <v>50638956.815699995</v>
      </c>
      <c r="H35" s="241">
        <f>SUM(H27:H34)</f>
        <v>0</v>
      </c>
      <c r="I35" s="242">
        <f>+F35-G35+H35</f>
        <v>742681862.69889998</v>
      </c>
    </row>
    <row r="36" spans="1:10">
      <c r="A36" s="6">
        <v>2021</v>
      </c>
      <c r="B36" s="24" t="s">
        <v>597</v>
      </c>
      <c r="C36" s="298">
        <f>'FS TCH AL'!F36</f>
        <v>800853054.49750006</v>
      </c>
      <c r="D36" s="205">
        <f>'FS KS'!F36</f>
        <v>0</v>
      </c>
      <c r="E36" s="205">
        <f>'FS MK'!F36</f>
        <v>0</v>
      </c>
      <c r="F36" s="289">
        <f t="shared" si="3"/>
        <v>800853054.49750006</v>
      </c>
      <c r="G36" s="211"/>
      <c r="H36" s="211"/>
      <c r="I36" s="216">
        <f>+F36+G36-H36</f>
        <v>800853054.49750006</v>
      </c>
      <c r="J36" s="1" t="s">
        <v>701</v>
      </c>
    </row>
    <row r="37" spans="1:10">
      <c r="A37" s="6">
        <v>2023</v>
      </c>
      <c r="B37" s="24" t="s">
        <v>598</v>
      </c>
      <c r="C37" s="298">
        <f>'FS TCH AL'!F37</f>
        <v>19698838.430100001</v>
      </c>
      <c r="D37" s="205">
        <f>'FS KS'!F37</f>
        <v>0</v>
      </c>
      <c r="E37" s="205">
        <f>'FS MK'!F37</f>
        <v>0</v>
      </c>
      <c r="F37" s="289">
        <f t="shared" si="3"/>
        <v>19698838.430100001</v>
      </c>
      <c r="G37" s="211"/>
      <c r="H37" s="211"/>
      <c r="I37" s="216">
        <f>+F37+G37-H37</f>
        <v>19698838.430100001</v>
      </c>
      <c r="J37" s="1" t="s">
        <v>704</v>
      </c>
    </row>
    <row r="38" spans="1:10">
      <c r="A38" s="6">
        <v>2024</v>
      </c>
      <c r="B38" s="24" t="s">
        <v>599</v>
      </c>
      <c r="C38" s="298">
        <f>'FS TCH AL'!F38</f>
        <v>0</v>
      </c>
      <c r="D38" s="205">
        <f>'FS KS'!F38</f>
        <v>0</v>
      </c>
      <c r="E38" s="205">
        <f>'FS MK'!F38</f>
        <v>0</v>
      </c>
      <c r="F38" s="289">
        <f t="shared" si="3"/>
        <v>0</v>
      </c>
      <c r="G38" s="245"/>
      <c r="H38" s="246"/>
      <c r="I38" s="216">
        <f>+F38+G38-H38</f>
        <v>0</v>
      </c>
      <c r="J38" s="1" t="s">
        <v>704</v>
      </c>
    </row>
    <row r="39" spans="1:10">
      <c r="A39" s="6">
        <v>2025</v>
      </c>
      <c r="B39" s="24" t="s">
        <v>600</v>
      </c>
      <c r="C39" s="298">
        <f>'FS TCH AL'!F39</f>
        <v>0</v>
      </c>
      <c r="D39" s="205">
        <f>'FS KS'!F39</f>
        <v>0</v>
      </c>
      <c r="E39" s="205">
        <f>'FS MK'!F39</f>
        <v>0</v>
      </c>
      <c r="F39" s="289">
        <f t="shared" si="3"/>
        <v>0</v>
      </c>
      <c r="G39" s="245"/>
      <c r="H39" s="246"/>
      <c r="I39" s="216">
        <f>+F39+G39-H39</f>
        <v>0</v>
      </c>
      <c r="J39" s="1" t="s">
        <v>742</v>
      </c>
    </row>
    <row r="40" spans="1:10" s="3" customFormat="1" ht="15">
      <c r="A40" s="8"/>
      <c r="B40" s="28" t="s">
        <v>634</v>
      </c>
      <c r="C40" s="290">
        <f>'FS TCH AL'!F40</f>
        <v>820551892.92760003</v>
      </c>
      <c r="D40" s="206">
        <f>'FS KS'!F40</f>
        <v>0</v>
      </c>
      <c r="E40" s="206">
        <f>'FS MK'!F40</f>
        <v>0</v>
      </c>
      <c r="F40" s="206">
        <f>SUM(C40:E40)</f>
        <v>820551892.92760003</v>
      </c>
      <c r="G40" s="247">
        <f>SUM(G36:G39)</f>
        <v>0</v>
      </c>
      <c r="H40" s="248">
        <f>SUM(H36:H39)</f>
        <v>0</v>
      </c>
      <c r="I40" s="248">
        <f>SUM(F40:H40)</f>
        <v>820551892.92760003</v>
      </c>
    </row>
    <row r="41" spans="1:10" s="3" customFormat="1">
      <c r="A41" s="8"/>
      <c r="B41" s="28" t="s">
        <v>635</v>
      </c>
      <c r="C41" s="290">
        <f>'FS TCH AL'!F41</f>
        <v>1541795199.5777001</v>
      </c>
      <c r="D41" s="208">
        <f>'FS KS'!F41</f>
        <v>60597391.169699997</v>
      </c>
      <c r="E41" s="208">
        <f>'FS MK'!F41</f>
        <v>11480121.694799999</v>
      </c>
      <c r="F41" s="290">
        <f>SUM(C41:E41)</f>
        <v>1613872712.4421999</v>
      </c>
      <c r="G41" s="239"/>
      <c r="H41" s="239"/>
      <c r="I41" s="240">
        <f>SUM(F41:H41)</f>
        <v>1613872712.4421999</v>
      </c>
    </row>
    <row r="42" spans="1:10">
      <c r="A42" s="6">
        <v>2028</v>
      </c>
      <c r="B42" s="24" t="s">
        <v>601</v>
      </c>
      <c r="C42" s="298">
        <f>'FS TCH AL'!F42</f>
        <v>525400000</v>
      </c>
      <c r="D42" s="205">
        <f>'FS KS'!F42</f>
        <v>0</v>
      </c>
      <c r="E42" s="205">
        <f>'FS MK'!F42</f>
        <v>0</v>
      </c>
      <c r="F42" s="289">
        <f t="shared" ref="F42:F47" si="5">SUM(C42:E42)</f>
        <v>525400000</v>
      </c>
      <c r="G42" s="238"/>
      <c r="H42" s="238"/>
      <c r="I42" s="216">
        <f t="shared" ref="I42:I48" si="6">+F42+G42-H42</f>
        <v>525400000</v>
      </c>
      <c r="J42" s="1" t="s">
        <v>693</v>
      </c>
    </row>
    <row r="43" spans="1:10">
      <c r="A43" s="6">
        <v>2031</v>
      </c>
      <c r="B43" s="24" t="s">
        <v>158</v>
      </c>
      <c r="C43" s="298">
        <f>'FS TCH AL'!F43</f>
        <v>23985438</v>
      </c>
      <c r="D43" s="205">
        <f>'FS KS'!F43</f>
        <v>0</v>
      </c>
      <c r="E43" s="205">
        <f>'FS MK'!F43</f>
        <v>0</v>
      </c>
      <c r="F43" s="289">
        <f t="shared" si="5"/>
        <v>23985438</v>
      </c>
      <c r="G43" s="211"/>
      <c r="H43" s="211"/>
      <c r="I43" s="216">
        <f t="shared" si="6"/>
        <v>23985438</v>
      </c>
      <c r="J43" s="1" t="s">
        <v>695</v>
      </c>
    </row>
    <row r="44" spans="1:10">
      <c r="A44" s="6">
        <v>2032</v>
      </c>
      <c r="B44" s="24" t="s">
        <v>20</v>
      </c>
      <c r="C44" s="298">
        <f>'FS TCH AL'!F44</f>
        <v>4214210.05</v>
      </c>
      <c r="D44" s="205">
        <f>'FS KS'!F44</f>
        <v>0</v>
      </c>
      <c r="E44" s="205">
        <f>'FS MK'!F44</f>
        <v>0</v>
      </c>
      <c r="F44" s="289">
        <f t="shared" si="5"/>
        <v>4214210.05</v>
      </c>
      <c r="G44" s="211"/>
      <c r="H44" s="211"/>
      <c r="I44" s="216">
        <f t="shared" si="6"/>
        <v>4214210.05</v>
      </c>
      <c r="J44" s="1" t="s">
        <v>696</v>
      </c>
    </row>
    <row r="45" spans="1:10">
      <c r="A45" s="6">
        <v>2033</v>
      </c>
      <c r="B45" s="24" t="s">
        <v>76</v>
      </c>
      <c r="C45" s="298">
        <f>'FS TCH AL'!F45</f>
        <v>65284565.950000003</v>
      </c>
      <c r="D45" s="205">
        <f>'FS KS'!F45</f>
        <v>0</v>
      </c>
      <c r="E45" s="205">
        <f>'FS MK'!F45</f>
        <v>0</v>
      </c>
      <c r="F45" s="289">
        <f t="shared" si="5"/>
        <v>65284565.950000003</v>
      </c>
      <c r="G45" s="211"/>
      <c r="H45" s="211"/>
      <c r="I45" s="216">
        <f t="shared" si="6"/>
        <v>65284565.950000003</v>
      </c>
      <c r="J45" s="1" t="s">
        <v>695</v>
      </c>
    </row>
    <row r="46" spans="1:10">
      <c r="A46" s="6">
        <v>2034</v>
      </c>
      <c r="B46" s="24" t="s">
        <v>602</v>
      </c>
      <c r="C46" s="298">
        <f>'FS TCH AL'!F46</f>
        <v>201240934.97690001</v>
      </c>
      <c r="D46" s="205">
        <f>'FS KS'!F46</f>
        <v>0</v>
      </c>
      <c r="E46" s="205">
        <f>'FS MK'!F46</f>
        <v>0</v>
      </c>
      <c r="F46" s="289">
        <f t="shared" si="5"/>
        <v>201240934.97690001</v>
      </c>
      <c r="G46" s="211"/>
      <c r="H46" s="211"/>
      <c r="I46" s="216">
        <f t="shared" si="6"/>
        <v>201240934.97690001</v>
      </c>
      <c r="J46" s="1" t="s">
        <v>697</v>
      </c>
    </row>
    <row r="47" spans="1:10">
      <c r="B47" s="24" t="s">
        <v>603</v>
      </c>
      <c r="C47" s="289">
        <f>'FS TCH AL'!F47</f>
        <v>-32586222.921798963</v>
      </c>
      <c r="D47" s="205">
        <f>'FS KS'!F47</f>
        <v>-38013116.694299996</v>
      </c>
      <c r="E47" s="205">
        <f>'FS MK'!F47</f>
        <v>-9180810.5697000008</v>
      </c>
      <c r="F47" s="289">
        <f t="shared" si="5"/>
        <v>-79780150.185798958</v>
      </c>
      <c r="G47" s="211"/>
      <c r="H47" s="211"/>
      <c r="I47" s="216">
        <f t="shared" si="6"/>
        <v>-79780150.185798958</v>
      </c>
      <c r="J47" s="1" t="s">
        <v>700</v>
      </c>
    </row>
    <row r="48" spans="1:10" s="3" customFormat="1">
      <c r="A48" s="8"/>
      <c r="B48" s="28" t="s">
        <v>636</v>
      </c>
      <c r="C48" s="290">
        <f>'FS TCH AL'!F48</f>
        <v>787538926.05510104</v>
      </c>
      <c r="D48" s="208">
        <f>'FS KS'!F48</f>
        <v>-38013116.694299996</v>
      </c>
      <c r="E48" s="208">
        <f>'FS MK'!F48</f>
        <v>-9180810.5697000008</v>
      </c>
      <c r="F48" s="290">
        <f>SUM(C48:E48)</f>
        <v>740344998.79110098</v>
      </c>
      <c r="G48" s="211"/>
      <c r="H48" s="211"/>
      <c r="I48" s="240">
        <f t="shared" si="6"/>
        <v>740344998.79110098</v>
      </c>
    </row>
    <row r="49" spans="1:11" s="3" customFormat="1">
      <c r="A49" s="8"/>
      <c r="B49" s="50" t="s">
        <v>637</v>
      </c>
      <c r="C49" s="300">
        <f>'FS TCH AL'!F49</f>
        <v>2329334126.0385008</v>
      </c>
      <c r="D49" s="209">
        <f>'FS KS'!F49</f>
        <v>22584274.475400001</v>
      </c>
      <c r="E49" s="209">
        <f>'FS MK'!F49</f>
        <v>2299311.1250999998</v>
      </c>
      <c r="F49" s="209">
        <f>F48+F41</f>
        <v>2354217711.2333012</v>
      </c>
      <c r="G49" s="329">
        <f>SUM(G42:G48)</f>
        <v>0</v>
      </c>
      <c r="H49" s="329">
        <f>SUM(H42:H48)</f>
        <v>0</v>
      </c>
      <c r="I49" s="51">
        <f>I48+I41</f>
        <v>2354217711.2333012</v>
      </c>
      <c r="J49" s="337"/>
    </row>
    <row r="50" spans="1:11" s="3" customFormat="1">
      <c r="A50" s="8"/>
      <c r="B50" s="11"/>
      <c r="C50" s="29">
        <f>C49-C26</f>
        <v>0</v>
      </c>
      <c r="D50" s="29">
        <f>D49-D26</f>
        <v>0</v>
      </c>
      <c r="E50" s="29">
        <f>E49-E26</f>
        <v>0</v>
      </c>
      <c r="F50" s="30"/>
      <c r="G50" s="212"/>
      <c r="H50" s="212"/>
      <c r="I50" s="217">
        <f>F49-I49</f>
        <v>0</v>
      </c>
    </row>
    <row r="51" spans="1:11" s="3" customFormat="1">
      <c r="A51" s="8"/>
      <c r="B51" s="12"/>
      <c r="C51" s="295">
        <v>40908</v>
      </c>
      <c r="D51" s="219">
        <v>40908</v>
      </c>
      <c r="E51" s="220">
        <v>40908</v>
      </c>
      <c r="F51" s="730" t="s">
        <v>22</v>
      </c>
      <c r="G51" s="726" t="s">
        <v>34</v>
      </c>
      <c r="H51" s="727"/>
      <c r="I51" s="301" t="s">
        <v>36</v>
      </c>
    </row>
    <row r="52" spans="1:11" s="3" customFormat="1">
      <c r="A52" s="8"/>
      <c r="B52" s="17" t="s">
        <v>639</v>
      </c>
      <c r="C52" s="296" t="s">
        <v>651</v>
      </c>
      <c r="D52" s="204" t="s">
        <v>652</v>
      </c>
      <c r="E52" s="204" t="s">
        <v>653</v>
      </c>
      <c r="F52" s="731"/>
      <c r="G52" s="302" t="s">
        <v>7</v>
      </c>
      <c r="H52" s="303" t="s">
        <v>8</v>
      </c>
      <c r="I52" s="304" t="s">
        <v>23</v>
      </c>
    </row>
    <row r="53" spans="1:11">
      <c r="A53" s="6">
        <v>4001</v>
      </c>
      <c r="B53" s="21" t="s">
        <v>608</v>
      </c>
      <c r="C53" s="288">
        <f>'FS TCH AL'!F53</f>
        <v>1412508135.6439011</v>
      </c>
      <c r="D53" s="210">
        <f>'FS KS'!F53</f>
        <v>0</v>
      </c>
      <c r="E53" s="210">
        <f>'FS MK'!F53</f>
        <v>0</v>
      </c>
      <c r="F53" s="288">
        <f t="shared" ref="F53:F72" si="7">SUM(C53:E53)</f>
        <v>1412508135.6439011</v>
      </c>
      <c r="G53" s="212"/>
      <c r="H53" s="212"/>
      <c r="I53" s="216">
        <f>+F53+G53-H53</f>
        <v>1412508135.6439011</v>
      </c>
      <c r="J53" s="1" t="s">
        <v>716</v>
      </c>
    </row>
    <row r="54" spans="1:11">
      <c r="A54" s="6">
        <v>4002</v>
      </c>
      <c r="B54" s="24" t="s">
        <v>609</v>
      </c>
      <c r="C54" s="289">
        <f>'FS TCH AL'!F54</f>
        <v>0</v>
      </c>
      <c r="D54" s="205">
        <f>'FS KS'!F54</f>
        <v>0</v>
      </c>
      <c r="E54" s="205">
        <f>'FS MK'!F54</f>
        <v>0</v>
      </c>
      <c r="F54" s="289">
        <f t="shared" si="7"/>
        <v>0</v>
      </c>
      <c r="G54" s="211"/>
      <c r="H54" s="211"/>
      <c r="I54" s="216">
        <f>+F54+G54-H54</f>
        <v>0</v>
      </c>
      <c r="J54" s="1" t="s">
        <v>717</v>
      </c>
    </row>
    <row r="55" spans="1:11" s="3" customFormat="1">
      <c r="A55" s="8"/>
      <c r="B55" s="28" t="s">
        <v>640</v>
      </c>
      <c r="C55" s="290">
        <f>'FS TCH AL'!F55</f>
        <v>1412508135.6439011</v>
      </c>
      <c r="D55" s="208">
        <f>'FS KS'!F55</f>
        <v>0</v>
      </c>
      <c r="E55" s="208">
        <f>'FS MK'!F55</f>
        <v>0</v>
      </c>
      <c r="F55" s="290">
        <f t="shared" si="7"/>
        <v>1412508135.6439011</v>
      </c>
      <c r="G55" s="211"/>
      <c r="H55" s="211"/>
      <c r="I55" s="240">
        <f>+F55+H55-G55</f>
        <v>1412508135.6439011</v>
      </c>
    </row>
    <row r="56" spans="1:11">
      <c r="A56" s="6">
        <v>3001</v>
      </c>
      <c r="B56" s="24" t="s">
        <v>610</v>
      </c>
      <c r="C56" s="289">
        <f>'FS TCH AL'!F56</f>
        <v>-514111236.83940005</v>
      </c>
      <c r="D56" s="205">
        <f>'FS KS'!F56</f>
        <v>-32411626.839899998</v>
      </c>
      <c r="E56" s="205">
        <f>'FS MK'!F56</f>
        <v>-9028495.5452999994</v>
      </c>
      <c r="F56" s="289">
        <f>SUM(C56:E56)</f>
        <v>-555551359.22460008</v>
      </c>
      <c r="G56" s="212"/>
      <c r="H56" s="568">
        <f>-(SUMIF(KS_TB!$A:$A,A56,KS_TB!$L:$L)+SUMIF(MK_TB!$A:$A,A56,MK_TB!$L:$L))</f>
        <v>-8328351.1904999996</v>
      </c>
      <c r="I56" s="216">
        <f>+F56+G56-H56</f>
        <v>-547223008.03410006</v>
      </c>
      <c r="J56" s="1" t="s">
        <v>718</v>
      </c>
      <c r="K56" s="1">
        <f>I56+'II-Shenimet'!N208</f>
        <v>0</v>
      </c>
    </row>
    <row r="57" spans="1:11">
      <c r="B57" s="24" t="s">
        <v>611</v>
      </c>
      <c r="C57" s="289">
        <f>'FS TCH AL'!F57</f>
        <v>0</v>
      </c>
      <c r="D57" s="205">
        <f>'FS KS'!F57</f>
        <v>0</v>
      </c>
      <c r="E57" s="205">
        <f>'FS MK'!F57</f>
        <v>0</v>
      </c>
      <c r="F57" s="289">
        <f t="shared" si="7"/>
        <v>0</v>
      </c>
      <c r="G57" s="211"/>
      <c r="H57" s="211"/>
      <c r="I57" s="216">
        <f t="shared" ref="I57:I67" si="8">+F57+G57-H57</f>
        <v>0</v>
      </c>
      <c r="J57" s="1" t="s">
        <v>718</v>
      </c>
    </row>
    <row r="58" spans="1:11">
      <c r="B58" s="201" t="s">
        <v>615</v>
      </c>
      <c r="C58" s="291">
        <f>'FS TCH AL'!F58</f>
        <v>-670441005.5</v>
      </c>
      <c r="D58" s="305">
        <f>'FS KS'!F58</f>
        <v>0</v>
      </c>
      <c r="E58" s="305">
        <f>'FS MK'!F58</f>
        <v>0</v>
      </c>
      <c r="F58" s="291">
        <f t="shared" si="7"/>
        <v>-670441005.5</v>
      </c>
      <c r="G58" s="212"/>
      <c r="H58" s="212"/>
      <c r="I58" s="217">
        <f>+F58+H58-G58</f>
        <v>-670441005.5</v>
      </c>
    </row>
    <row r="59" spans="1:11">
      <c r="A59" s="6">
        <v>3003</v>
      </c>
      <c r="B59" s="24" t="s">
        <v>612</v>
      </c>
      <c r="C59" s="289">
        <f>'FS TCH AL'!F59</f>
        <v>-601598643</v>
      </c>
      <c r="D59" s="205">
        <f>'FS KS'!F59</f>
        <v>0</v>
      </c>
      <c r="E59" s="205">
        <f>'FS MK'!F59</f>
        <v>0</v>
      </c>
      <c r="F59" s="289">
        <f t="shared" si="7"/>
        <v>-601598643</v>
      </c>
      <c r="H59" s="238">
        <f>-(SUMIF(KS_TB!$A:$A,A59,KS_TB!$L:$L)+SUMIF(MK_TB!$A:$A,A59,MK_TB!$L:$L))</f>
        <v>0</v>
      </c>
      <c r="I59" s="216">
        <f t="shared" si="8"/>
        <v>-601598643</v>
      </c>
      <c r="J59" s="1" t="s">
        <v>719</v>
      </c>
    </row>
    <row r="60" spans="1:11">
      <c r="A60" s="6">
        <v>3004</v>
      </c>
      <c r="B60" s="24" t="s">
        <v>613</v>
      </c>
      <c r="C60" s="289">
        <f>'FS TCH AL'!F60</f>
        <v>-68842362.5</v>
      </c>
      <c r="D60" s="205">
        <f>'FS KS'!F60</f>
        <v>0</v>
      </c>
      <c r="E60" s="205">
        <f>'FS MK'!F60</f>
        <v>0</v>
      </c>
      <c r="F60" s="289">
        <f t="shared" si="7"/>
        <v>-68842362.5</v>
      </c>
      <c r="H60" s="238">
        <f>-(SUMIF(KS_TB!$A:$A,A60,KS_TB!$L:$L)+SUMIF(MK_TB!$A:$A,A60,MK_TB!$L:$L))</f>
        <v>0</v>
      </c>
      <c r="I60" s="216">
        <f t="shared" si="8"/>
        <v>-68842362.5</v>
      </c>
      <c r="J60" s="1" t="s">
        <v>719</v>
      </c>
    </row>
    <row r="61" spans="1:11">
      <c r="A61" s="6">
        <v>3005</v>
      </c>
      <c r="B61" s="24" t="s">
        <v>614</v>
      </c>
      <c r="C61" s="289">
        <f>'FS TCH AL'!F61</f>
        <v>-578000</v>
      </c>
      <c r="D61" s="205">
        <f>'FS KS'!F61</f>
        <v>0</v>
      </c>
      <c r="E61" s="205">
        <f>'FS MK'!F61</f>
        <v>0</v>
      </c>
      <c r="F61" s="289">
        <f t="shared" si="7"/>
        <v>-578000</v>
      </c>
      <c r="G61" s="214"/>
      <c r="H61" s="238">
        <f>D61+E61</f>
        <v>0</v>
      </c>
      <c r="I61" s="216">
        <f t="shared" si="8"/>
        <v>-578000</v>
      </c>
      <c r="J61" s="1" t="s">
        <v>720</v>
      </c>
    </row>
    <row r="62" spans="1:11">
      <c r="A62" s="6">
        <v>3006</v>
      </c>
      <c r="B62" s="24" t="s">
        <v>616</v>
      </c>
      <c r="C62" s="289">
        <f>'FS TCH AL'!F62</f>
        <v>-212241933.34999999</v>
      </c>
      <c r="D62" s="205">
        <f>'FS KS'!F62</f>
        <v>0</v>
      </c>
      <c r="E62" s="205">
        <f>'FS MK'!F62</f>
        <v>0</v>
      </c>
      <c r="F62" s="289">
        <f t="shared" si="7"/>
        <v>-212241933.34999999</v>
      </c>
      <c r="G62" s="214"/>
      <c r="H62" s="238">
        <f>-(SUMIF(KS_TB!$A:$A,A62,KS_TB!$L:$L)+SUMIF(MK_TB!$A:$A,A62,MK_TB!$L:$L))</f>
        <v>0</v>
      </c>
      <c r="I62" s="216">
        <f t="shared" si="8"/>
        <v>-212241933.34999999</v>
      </c>
      <c r="J62" s="1" t="s">
        <v>721</v>
      </c>
    </row>
    <row r="63" spans="1:11">
      <c r="A63" s="6">
        <v>3009</v>
      </c>
      <c r="B63" s="24" t="s">
        <v>617</v>
      </c>
      <c r="C63" s="289">
        <f>'FS TCH AL'!F63</f>
        <v>-29881109.514300004</v>
      </c>
      <c r="D63" s="205">
        <f>'FS KS'!F63</f>
        <v>-5580551.3543999996</v>
      </c>
      <c r="E63" s="205">
        <f>'FS MK'!F63</f>
        <v>-85808.764800000004</v>
      </c>
      <c r="F63" s="289">
        <f t="shared" si="7"/>
        <v>-35547469.633500002</v>
      </c>
      <c r="H63" s="568">
        <f>-(SUMIF(KS_TB!$A:$A,A63,KS_TB!$L:$L)+SUMIF(MK_TB!$A:$A,A63,MK_TB!$L:$L))+MK_TB!K433</f>
        <v>-54997.064100000011</v>
      </c>
      <c r="I63" s="216">
        <f t="shared" si="8"/>
        <v>-35492472.569400005</v>
      </c>
      <c r="J63" s="1" t="s">
        <v>720</v>
      </c>
    </row>
    <row r="64" spans="1:11" s="3" customFormat="1">
      <c r="A64" s="8"/>
      <c r="B64" s="28" t="s">
        <v>641</v>
      </c>
      <c r="C64" s="290">
        <f>'FS TCH AL'!F64</f>
        <v>-1427253285.2037001</v>
      </c>
      <c r="D64" s="208">
        <f>'FS KS'!F64</f>
        <v>-37992178.194299996</v>
      </c>
      <c r="E64" s="208">
        <f>'FS MK'!F64</f>
        <v>-9114304.3101000004</v>
      </c>
      <c r="F64" s="290">
        <f t="shared" si="7"/>
        <v>-1474359767.7081001</v>
      </c>
      <c r="I64" s="30">
        <f>+F64+H64-G64</f>
        <v>-1474359767.7081001</v>
      </c>
    </row>
    <row r="65" spans="1:10" s="3" customFormat="1">
      <c r="A65" s="6">
        <v>3010</v>
      </c>
      <c r="B65" s="24" t="s">
        <v>743</v>
      </c>
      <c r="C65" s="289">
        <f>'FS TCH AL'!F65</f>
        <v>0</v>
      </c>
      <c r="D65" s="205">
        <f>'FS KS'!F65</f>
        <v>0</v>
      </c>
      <c r="E65" s="205">
        <f>'FS MK'!F65</f>
        <v>0</v>
      </c>
      <c r="F65" s="289">
        <f t="shared" si="7"/>
        <v>0</v>
      </c>
      <c r="G65" s="571">
        <f>SUMIF(KS_TB!$A:$A,A65,KS_TB!$K:$L)+SUMIF(MK_TB!$A:$A,A65,MK_TB!$K:$L)</f>
        <v>8470793.0141999982</v>
      </c>
      <c r="I65" s="216">
        <f t="shared" si="8"/>
        <v>8470793.0141999982</v>
      </c>
      <c r="J65" s="3" t="s">
        <v>722</v>
      </c>
    </row>
    <row r="66" spans="1:10" s="3" customFormat="1">
      <c r="A66" s="6">
        <v>3007</v>
      </c>
      <c r="B66" s="24" t="s">
        <v>619</v>
      </c>
      <c r="C66" s="289">
        <f>'FS TCH AL'!F66</f>
        <v>-15413023.120600002</v>
      </c>
      <c r="D66" s="205">
        <f>'FS KS'!F66</f>
        <v>0</v>
      </c>
      <c r="E66" s="205">
        <f>'FS MK'!F66</f>
        <v>0</v>
      </c>
      <c r="F66" s="289">
        <f t="shared" si="7"/>
        <v>-15413023.120600002</v>
      </c>
      <c r="H66" s="238">
        <f>D66+E66</f>
        <v>0</v>
      </c>
      <c r="I66" s="216">
        <f t="shared" si="8"/>
        <v>-15413023.120600002</v>
      </c>
      <c r="J66" s="3" t="s">
        <v>723</v>
      </c>
    </row>
    <row r="67" spans="1:10" s="3" customFormat="1">
      <c r="A67" s="6">
        <v>3008</v>
      </c>
      <c r="B67" s="24" t="s">
        <v>620</v>
      </c>
      <c r="C67" s="289">
        <f>'FS TCH AL'!F67</f>
        <v>-5313271.6012000032</v>
      </c>
      <c r="D67" s="205">
        <f>'FS KS'!F67</f>
        <v>0</v>
      </c>
      <c r="E67" s="205">
        <f>'FS MK'!F67</f>
        <v>-21051.567899999998</v>
      </c>
      <c r="F67" s="289">
        <f t="shared" si="7"/>
        <v>-5334323.1691000033</v>
      </c>
      <c r="H67" s="568">
        <f>-(SUMIF(KS_TB!$A:$A,A67,KS_TB!$L:$L)+SUMIF(MK_TB!$A:$A,A67,MK_TB!$L:$L))+MK_TB!K435</f>
        <v>-21051.567899999998</v>
      </c>
      <c r="I67" s="216">
        <f t="shared" si="8"/>
        <v>-5313271.6012000032</v>
      </c>
      <c r="J67" s="3" t="s">
        <v>723</v>
      </c>
    </row>
    <row r="68" spans="1:10" s="3" customFormat="1">
      <c r="A68" s="6">
        <v>4003</v>
      </c>
      <c r="B68" s="24" t="s">
        <v>621</v>
      </c>
      <c r="C68" s="289">
        <f>'FS TCH AL'!F68</f>
        <v>2885221.3597999997</v>
      </c>
      <c r="D68" s="205">
        <f>'FS KS'!F68</f>
        <v>0</v>
      </c>
      <c r="E68" s="205">
        <f>'FS MK'!F68</f>
        <v>0</v>
      </c>
      <c r="F68" s="289">
        <f t="shared" si="7"/>
        <v>2885221.3597999997</v>
      </c>
      <c r="H68" s="238">
        <f>SUMIF(KS_TB!$A:$A,A68,KS_TB!$L:$L)+SUMIF(MK_TB!$A:$A,A68,MK_TB!$L:$L)</f>
        <v>0</v>
      </c>
      <c r="I68" s="216">
        <f>+F68+G68-H68</f>
        <v>2885221.3597999997</v>
      </c>
      <c r="J68" s="3" t="s">
        <v>723</v>
      </c>
    </row>
    <row r="69" spans="1:10" s="3" customFormat="1">
      <c r="A69" s="8"/>
      <c r="B69" s="28" t="s">
        <v>622</v>
      </c>
      <c r="C69" s="290">
        <f>'FS TCH AL'!F69</f>
        <v>-17841073.362000007</v>
      </c>
      <c r="D69" s="208">
        <f>'FS KS'!F69</f>
        <v>0</v>
      </c>
      <c r="E69" s="208">
        <f>'FS MK'!F69</f>
        <v>-21051.567899999998</v>
      </c>
      <c r="F69" s="290">
        <f t="shared" si="7"/>
        <v>-17862124.929900005</v>
      </c>
      <c r="I69" s="30">
        <f>+F69+H69-G69</f>
        <v>-17862124.929900005</v>
      </c>
    </row>
    <row r="70" spans="1:10" s="3" customFormat="1">
      <c r="A70" s="8"/>
      <c r="B70" s="28" t="s">
        <v>623</v>
      </c>
      <c r="C70" s="290">
        <f>'FS TCH AL'!F70</f>
        <v>-32586222.921798963</v>
      </c>
      <c r="D70" s="208">
        <f>'FS KS'!F70</f>
        <v>-37992178.194299996</v>
      </c>
      <c r="E70" s="208">
        <f>'FS MK'!F70</f>
        <v>-9135355.8780000005</v>
      </c>
      <c r="F70" s="290">
        <f t="shared" si="7"/>
        <v>-79713756.994098961</v>
      </c>
      <c r="I70" s="30">
        <f>+F70+H70-G70</f>
        <v>-79713756.994098961</v>
      </c>
    </row>
    <row r="71" spans="1:10">
      <c r="A71" s="6">
        <v>5010</v>
      </c>
      <c r="B71" s="24" t="s">
        <v>624</v>
      </c>
      <c r="C71" s="289">
        <f>'FS TCH AL'!F71</f>
        <v>0</v>
      </c>
      <c r="D71" s="205">
        <f>'FS KS'!F71</f>
        <v>-20938.5</v>
      </c>
      <c r="E71" s="205">
        <f>'FS MK'!F71</f>
        <v>-45454.691700000003</v>
      </c>
      <c r="F71" s="289">
        <f t="shared" si="7"/>
        <v>-66393.191699999996</v>
      </c>
      <c r="H71" s="568">
        <f>-(SUMIF(KS_TB!$A:$A,A71,KS_TB!$L:$L)+SUMIF(MK_TB!$A:$A,A71,MK_TB!$L:$L))</f>
        <v>-66393.191699999996</v>
      </c>
      <c r="I71" s="216">
        <f>+F71+G71-H71</f>
        <v>0</v>
      </c>
      <c r="J71" s="1" t="s">
        <v>724</v>
      </c>
    </row>
    <row r="72" spans="1:10" s="3" customFormat="1" ht="15">
      <c r="A72" s="8"/>
      <c r="B72" s="31" t="s">
        <v>642</v>
      </c>
      <c r="C72" s="292">
        <f>'FS TCH AL'!F72</f>
        <v>-32586222.921798963</v>
      </c>
      <c r="D72" s="306">
        <f>'FS KS'!F72</f>
        <v>-38013116.694299996</v>
      </c>
      <c r="E72" s="306">
        <f>'FS MK'!F72</f>
        <v>-9180810.5697000008</v>
      </c>
      <c r="F72" s="308">
        <f t="shared" si="7"/>
        <v>-79780150.185798958</v>
      </c>
      <c r="G72" s="215"/>
      <c r="H72" s="215"/>
      <c r="I72" s="310">
        <f>+F72+H72-G72</f>
        <v>-79780150.185798958</v>
      </c>
    </row>
    <row r="73" spans="1:10" s="3" customFormat="1">
      <c r="A73" s="8"/>
      <c r="B73" s="328" t="s">
        <v>664</v>
      </c>
      <c r="C73" s="287">
        <f>C72+AL_TB!K481</f>
        <v>-0.78929943218827248</v>
      </c>
      <c r="D73" s="287">
        <f>D72+KS_TB!M444</f>
        <v>0</v>
      </c>
      <c r="E73" s="287">
        <f>E72+MK_TB!M444</f>
        <v>0</v>
      </c>
      <c r="F73" s="326"/>
      <c r="G73" s="445">
        <f>SUM(G53:G72)</f>
        <v>8470793.0141999982</v>
      </c>
      <c r="H73" s="445">
        <f>SUM(H53:H72)</f>
        <v>-8470793.0142000001</v>
      </c>
      <c r="I73" s="327">
        <f>I72-F72</f>
        <v>0</v>
      </c>
    </row>
    <row r="74" spans="1:10" s="3" customFormat="1">
      <c r="A74" s="8"/>
      <c r="F74" s="447" t="s">
        <v>899</v>
      </c>
      <c r="G74" s="445">
        <f>G73+H73</f>
        <v>0</v>
      </c>
      <c r="H74" s="446"/>
      <c r="I74" s="309"/>
    </row>
    <row r="75" spans="1:10">
      <c r="I75" s="309"/>
    </row>
    <row r="76" spans="1:10">
      <c r="I76" s="309"/>
    </row>
    <row r="77" spans="1:10">
      <c r="I77" s="309"/>
    </row>
  </sheetData>
  <sheetCalcPr fullCalcOnLoad="1"/>
  <autoFilter ref="A1:J74">
    <filterColumn colId="6" showButton="0"/>
  </autoFilter>
  <mergeCells count="4">
    <mergeCell ref="G1:H1"/>
    <mergeCell ref="F1:F2"/>
    <mergeCell ref="F51:F52"/>
    <mergeCell ref="G51:H51"/>
  </mergeCells>
  <hyperlinks>
    <hyperlink ref="I1" location="INDEX!A1" display="Index"/>
    <hyperlink ref="I51" location="INDEX!A1" display="Index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8" fitToHeight="0" orientation="portrait" verticalDpi="300" r:id="rId1"/>
  <headerFooter alignWithMargins="0">
    <oddHeader>&amp;L&amp;"Arial,Bold"&amp;12UNITED QUARRIES SH. P.K.&amp;C&amp;"Arial,Bold"&amp;12SUMMARY OF BALANCE-SHEET AND INCOME STATEMENT  (IN ALBANIAN LEKE) &amp;R&amp;D  &amp;T</oddHeader>
    <oddFooter>&amp;L&amp;F  &amp;A&amp;C&amp;P/&amp;N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6">
    <tabColor theme="9" tint="0.59999389629810485"/>
    <pageSetUpPr fitToPage="1"/>
  </sheetPr>
  <dimension ref="A1:K88"/>
  <sheetViews>
    <sheetView view="pageBreakPreview" topLeftCell="A7" zoomScale="90" zoomScaleSheetLayoutView="90" zoomScalePageLayoutView="70" workbookViewId="0">
      <selection activeCell="C44" sqref="C44"/>
    </sheetView>
  </sheetViews>
  <sheetFormatPr defaultRowHeight="12.75"/>
  <cols>
    <col min="1" max="1" width="5.140625" style="6" bestFit="1" customWidth="1"/>
    <col min="2" max="2" width="44.140625" style="1" customWidth="1"/>
    <col min="3" max="3" width="19.140625" style="1" bestFit="1" customWidth="1"/>
    <col min="4" max="4" width="12.85546875" style="1" bestFit="1" customWidth="1"/>
    <col min="5" max="5" width="12.85546875" style="1" customWidth="1"/>
    <col min="6" max="6" width="19.140625" style="1" bestFit="1" customWidth="1"/>
    <col min="7" max="7" width="18" style="1" bestFit="1" customWidth="1"/>
    <col min="8" max="9" width="13.5703125" style="1" bestFit="1" customWidth="1"/>
    <col min="10" max="10" width="14.42578125" style="1" bestFit="1" customWidth="1"/>
    <col min="11" max="11" width="14.140625" style="1" customWidth="1"/>
    <col min="12" max="16384" width="9.140625" style="1"/>
  </cols>
  <sheetData>
    <row r="1" spans="1:11">
      <c r="B1" s="16"/>
      <c r="C1" s="13" t="s">
        <v>0</v>
      </c>
      <c r="D1" s="732" t="s">
        <v>1</v>
      </c>
      <c r="E1" s="733"/>
      <c r="F1" s="14" t="s">
        <v>13</v>
      </c>
      <c r="G1" s="13" t="s">
        <v>0</v>
      </c>
      <c r="H1" s="732" t="s">
        <v>1</v>
      </c>
      <c r="I1" s="733"/>
      <c r="J1" s="15" t="s">
        <v>13</v>
      </c>
      <c r="K1" s="100" t="s">
        <v>36</v>
      </c>
    </row>
    <row r="2" spans="1:11" s="2" customFormat="1">
      <c r="A2" s="7" t="s">
        <v>4</v>
      </c>
      <c r="B2" s="33" t="s">
        <v>628</v>
      </c>
      <c r="C2" s="18">
        <v>41274</v>
      </c>
      <c r="D2" s="19" t="s">
        <v>7</v>
      </c>
      <c r="E2" s="40" t="s">
        <v>8</v>
      </c>
      <c r="F2" s="18">
        <f>C2</f>
        <v>41274</v>
      </c>
      <c r="G2" s="18">
        <f>C2-365</f>
        <v>40909</v>
      </c>
      <c r="H2" s="19" t="s">
        <v>7</v>
      </c>
      <c r="I2" s="40" t="s">
        <v>8</v>
      </c>
      <c r="J2" s="20">
        <f>G2</f>
        <v>40909</v>
      </c>
    </row>
    <row r="3" spans="1:11" s="2" customFormat="1">
      <c r="A3" s="7"/>
      <c r="B3" s="34" t="s">
        <v>629</v>
      </c>
      <c r="C3" s="35"/>
      <c r="D3" s="36"/>
      <c r="E3" s="36"/>
      <c r="F3" s="35"/>
      <c r="G3" s="35"/>
      <c r="H3" s="36"/>
      <c r="I3" s="36"/>
      <c r="J3" s="37"/>
    </row>
    <row r="4" spans="1:11">
      <c r="A4" s="6">
        <v>1001</v>
      </c>
      <c r="B4" s="24" t="s">
        <v>579</v>
      </c>
      <c r="C4" s="25">
        <f>SUMIF(AL_TB!$A:$A,A4,AL_TB!$K:$K)</f>
        <v>9844390.4386006985</v>
      </c>
      <c r="D4" s="26">
        <v>0</v>
      </c>
      <c r="E4" s="26">
        <v>0</v>
      </c>
      <c r="F4" s="26">
        <f>+C4+D4-E4</f>
        <v>9844390.4386006985</v>
      </c>
      <c r="G4" s="26">
        <v>4184905</v>
      </c>
      <c r="H4" s="26">
        <v>0</v>
      </c>
      <c r="I4" s="26">
        <v>0</v>
      </c>
      <c r="J4" s="27">
        <f>+G4+H4-I4</f>
        <v>4184905</v>
      </c>
    </row>
    <row r="5" spans="1:11">
      <c r="A5" s="6">
        <v>2044</v>
      </c>
      <c r="B5" s="24" t="s">
        <v>606</v>
      </c>
      <c r="C5" s="25">
        <f>SUMIF(AL_TB!$A:$A,A5,AL_TB!$K:$K)</f>
        <v>50638962</v>
      </c>
      <c r="D5" s="26"/>
      <c r="E5" s="26"/>
      <c r="F5" s="26">
        <f t="shared" ref="F5:F24" si="0">+C5+D5-E5</f>
        <v>50638962</v>
      </c>
      <c r="G5" s="26"/>
      <c r="H5" s="26"/>
      <c r="I5" s="26"/>
      <c r="J5" s="27"/>
    </row>
    <row r="6" spans="1:11">
      <c r="B6" s="24" t="s">
        <v>607</v>
      </c>
      <c r="C6" s="25">
        <f>SUMIF(AL_TB!$A:$A,A6,AL_TB!$K:$K)</f>
        <v>0</v>
      </c>
      <c r="D6" s="26">
        <v>0</v>
      </c>
      <c r="E6" s="26">
        <v>0</v>
      </c>
      <c r="F6" s="26">
        <f t="shared" si="0"/>
        <v>0</v>
      </c>
      <c r="G6" s="26"/>
      <c r="H6" s="26"/>
      <c r="I6" s="26"/>
      <c r="J6" s="27"/>
    </row>
    <row r="7" spans="1:11">
      <c r="A7" s="6">
        <v>1004</v>
      </c>
      <c r="B7" s="24" t="s">
        <v>580</v>
      </c>
      <c r="C7" s="25">
        <f>SUMIF(AL_TB!$A:$A,A7,AL_TB!$K:$K)</f>
        <v>507105553.2385</v>
      </c>
      <c r="D7" s="26">
        <v>0</v>
      </c>
      <c r="E7" s="26">
        <v>0</v>
      </c>
      <c r="F7" s="26">
        <f t="shared" si="0"/>
        <v>507105553.2385</v>
      </c>
      <c r="G7" s="26">
        <v>519679830</v>
      </c>
      <c r="H7" s="26">
        <v>0</v>
      </c>
      <c r="I7" s="26"/>
      <c r="J7" s="27">
        <f t="shared" ref="J7:J24" si="1">+G7+H7-I7</f>
        <v>519679830</v>
      </c>
    </row>
    <row r="8" spans="1:11">
      <c r="A8" s="6">
        <v>1005</v>
      </c>
      <c r="B8" s="24" t="s">
        <v>581</v>
      </c>
      <c r="C8" s="25">
        <f>SUMIF(AL_TB!$A:$A,A8,AL_TB!$K:$K)</f>
        <v>24290420.2969</v>
      </c>
      <c r="D8" s="26">
        <v>0</v>
      </c>
      <c r="E8" s="26">
        <v>0</v>
      </c>
      <c r="F8" s="26">
        <f>+C8+D8-E8</f>
        <v>24290420.2969</v>
      </c>
      <c r="G8" s="26">
        <v>70363289</v>
      </c>
      <c r="H8" s="26">
        <v>0</v>
      </c>
      <c r="I8" s="26">
        <v>0</v>
      </c>
      <c r="J8" s="27">
        <f t="shared" si="1"/>
        <v>70363289</v>
      </c>
    </row>
    <row r="9" spans="1:11">
      <c r="A9" s="6">
        <v>1007</v>
      </c>
      <c r="B9" s="24" t="s">
        <v>582</v>
      </c>
      <c r="C9" s="25">
        <f>SUMIF(AL_TB!$A:$A,A9,AL_TB!$K:$K)</f>
        <v>1909981.3390999998</v>
      </c>
      <c r="D9" s="26">
        <v>0</v>
      </c>
      <c r="E9" s="26">
        <v>0</v>
      </c>
      <c r="F9" s="26">
        <f t="shared" si="0"/>
        <v>1909981.3390999998</v>
      </c>
      <c r="G9" s="26">
        <v>1029177</v>
      </c>
      <c r="H9" s="26">
        <v>0</v>
      </c>
      <c r="I9" s="26">
        <v>0</v>
      </c>
      <c r="J9" s="27">
        <f t="shared" si="1"/>
        <v>1029177</v>
      </c>
    </row>
    <row r="10" spans="1:11">
      <c r="A10" s="6">
        <v>1012</v>
      </c>
      <c r="B10" s="24" t="s">
        <v>627</v>
      </c>
      <c r="C10" s="25">
        <f>SUMIF(AL_TB!$A:$A,A10,AL_TB!$K:$K)</f>
        <v>1464410.4201000021</v>
      </c>
      <c r="D10" s="26">
        <v>0</v>
      </c>
      <c r="E10" s="26">
        <v>0</v>
      </c>
      <c r="F10" s="26">
        <f t="shared" si="0"/>
        <v>1464410.4201000021</v>
      </c>
      <c r="G10" s="26">
        <v>2431750</v>
      </c>
      <c r="H10" s="26">
        <v>0</v>
      </c>
      <c r="I10" s="26">
        <v>0</v>
      </c>
      <c r="J10" s="27">
        <f t="shared" si="1"/>
        <v>2431750</v>
      </c>
    </row>
    <row r="11" spans="1:11">
      <c r="A11" s="6">
        <v>1015</v>
      </c>
      <c r="B11" s="24" t="s">
        <v>583</v>
      </c>
      <c r="C11" s="25">
        <f>SUMIF(AL_TB!$A:$A,A11,AL_TB!$K:$K)</f>
        <v>153477589.79010001</v>
      </c>
      <c r="D11" s="26">
        <v>0</v>
      </c>
      <c r="E11" s="26">
        <v>0</v>
      </c>
      <c r="F11" s="26">
        <f t="shared" si="0"/>
        <v>153477589.79010001</v>
      </c>
      <c r="G11" s="26">
        <v>239499271</v>
      </c>
      <c r="H11" s="26"/>
      <c r="I11" s="26"/>
      <c r="J11" s="27">
        <f t="shared" si="1"/>
        <v>239499271</v>
      </c>
    </row>
    <row r="12" spans="1:11" s="3" customFormat="1" ht="15">
      <c r="A12" s="8"/>
      <c r="B12" s="38" t="s">
        <v>630</v>
      </c>
      <c r="C12" s="29">
        <f>SUM(C4:C11)</f>
        <v>748731307.52330065</v>
      </c>
      <c r="D12" s="45">
        <v>0</v>
      </c>
      <c r="E12" s="45">
        <v>0</v>
      </c>
      <c r="F12" s="29">
        <f>SUM(F4:F11)</f>
        <v>748731307.52330065</v>
      </c>
      <c r="G12" s="29">
        <f>SUM(G4:G11)</f>
        <v>837188222</v>
      </c>
      <c r="H12" s="53">
        <f>SUM(H4:H11)</f>
        <v>0</v>
      </c>
      <c r="I12" s="53">
        <f>SUM(I4:I11)</f>
        <v>0</v>
      </c>
      <c r="J12" s="30">
        <f>SUM(J4:J11)</f>
        <v>837188222</v>
      </c>
    </row>
    <row r="13" spans="1:11">
      <c r="A13" s="6">
        <v>1020</v>
      </c>
      <c r="B13" s="24" t="s">
        <v>162</v>
      </c>
      <c r="C13" s="25">
        <f>SUMIF(AL_TB!$A:$A,A13,AL_TB!$K:$K)</f>
        <v>221369378.40000001</v>
      </c>
      <c r="D13" s="26">
        <v>0</v>
      </c>
      <c r="E13" s="26">
        <v>0</v>
      </c>
      <c r="F13" s="26">
        <f t="shared" si="0"/>
        <v>221369378.40000001</v>
      </c>
      <c r="G13" s="26">
        <v>221369378</v>
      </c>
      <c r="H13" s="26">
        <v>0</v>
      </c>
      <c r="I13" s="26"/>
      <c r="J13" s="27">
        <f t="shared" si="1"/>
        <v>221369378</v>
      </c>
    </row>
    <row r="14" spans="1:11">
      <c r="A14" s="6">
        <v>1021</v>
      </c>
      <c r="B14" s="24" t="s">
        <v>584</v>
      </c>
      <c r="C14" s="25">
        <f>SUMIF(AL_TB!$A:$A,A14,AL_TB!$K:$K)</f>
        <v>4338443</v>
      </c>
      <c r="D14" s="26">
        <v>0</v>
      </c>
      <c r="E14" s="26">
        <v>0</v>
      </c>
      <c r="F14" s="26">
        <f t="shared" si="0"/>
        <v>4338443</v>
      </c>
      <c r="G14" s="26">
        <v>4338443</v>
      </c>
      <c r="H14" s="26"/>
      <c r="I14" s="26"/>
      <c r="J14" s="27">
        <f t="shared" si="1"/>
        <v>4338443</v>
      </c>
    </row>
    <row r="15" spans="1:11">
      <c r="A15" s="6">
        <v>1022</v>
      </c>
      <c r="B15" s="24" t="s">
        <v>585</v>
      </c>
      <c r="C15" s="25">
        <f>SUMIF(AL_TB!$A:$A,A15,AL_TB!$K:$K)</f>
        <v>1111571119.0857</v>
      </c>
      <c r="D15" s="26">
        <v>0</v>
      </c>
      <c r="E15" s="26">
        <v>0</v>
      </c>
      <c r="F15" s="26">
        <f t="shared" si="0"/>
        <v>1111571119.0857</v>
      </c>
      <c r="G15" s="26">
        <v>1047013209</v>
      </c>
      <c r="H15" s="26"/>
      <c r="I15" s="26"/>
      <c r="J15" s="27">
        <f t="shared" si="1"/>
        <v>1047013209</v>
      </c>
    </row>
    <row r="16" spans="1:11">
      <c r="A16" s="6">
        <v>1023</v>
      </c>
      <c r="B16" s="24" t="s">
        <v>586</v>
      </c>
      <c r="C16" s="25">
        <f>SUMIF(AL_TB!$A:$A,A16,AL_TB!$K:$K)</f>
        <v>260590839.51120001</v>
      </c>
      <c r="D16" s="26">
        <v>0</v>
      </c>
      <c r="E16" s="26">
        <v>0</v>
      </c>
      <c r="F16" s="26">
        <f t="shared" si="0"/>
        <v>260590839.51120001</v>
      </c>
      <c r="G16" s="26">
        <v>233229491</v>
      </c>
      <c r="H16" s="26"/>
      <c r="I16" s="26"/>
      <c r="J16" s="27">
        <f t="shared" si="1"/>
        <v>233229491</v>
      </c>
    </row>
    <row r="17" spans="1:10">
      <c r="A17" s="6">
        <v>1031</v>
      </c>
      <c r="B17" s="24" t="s">
        <v>645</v>
      </c>
      <c r="C17" s="25">
        <f>SUMIF(AL_TB!$A:$A,A17,AL_TB!$K:$K)</f>
        <v>-1475235.11</v>
      </c>
      <c r="D17" s="26">
        <v>0</v>
      </c>
      <c r="E17" s="26">
        <v>0</v>
      </c>
      <c r="F17" s="26">
        <f t="shared" si="0"/>
        <v>-1475235.11</v>
      </c>
      <c r="G17" s="26">
        <f>-1165916</f>
        <v>-1165916</v>
      </c>
      <c r="H17" s="26"/>
      <c r="I17" s="26"/>
      <c r="J17" s="27">
        <f t="shared" si="1"/>
        <v>-1165916</v>
      </c>
    </row>
    <row r="18" spans="1:10">
      <c r="A18" s="6">
        <v>1032</v>
      </c>
      <c r="B18" s="24" t="s">
        <v>646</v>
      </c>
      <c r="C18" s="25">
        <f>SUMIF(AL_TB!$A:$A,A18,AL_TB!$K:$K)</f>
        <v>-714805778.70600009</v>
      </c>
      <c r="D18" s="26">
        <v>0</v>
      </c>
      <c r="E18" s="26">
        <v>0</v>
      </c>
      <c r="F18" s="26">
        <f t="shared" si="0"/>
        <v>-714805778.70600009</v>
      </c>
      <c r="G18" s="26">
        <f>-505966049</f>
        <v>-505966049</v>
      </c>
      <c r="H18" s="26"/>
      <c r="I18" s="26"/>
      <c r="J18" s="27">
        <f t="shared" si="1"/>
        <v>-505966049</v>
      </c>
    </row>
    <row r="19" spans="1:10">
      <c r="A19" s="6">
        <v>1033</v>
      </c>
      <c r="B19" s="24" t="s">
        <v>647</v>
      </c>
      <c r="C19" s="25">
        <f>SUMIF(AL_TB!$A:$A,A19,AL_TB!$K:$K)</f>
        <v>-172723890.89000002</v>
      </c>
      <c r="D19" s="26">
        <v>0</v>
      </c>
      <c r="E19" s="26">
        <v>0</v>
      </c>
      <c r="F19" s="26">
        <f t="shared" si="0"/>
        <v>-172723890.89000002</v>
      </c>
      <c r="G19" s="26">
        <f>-128324053</f>
        <v>-128324053</v>
      </c>
      <c r="H19" s="26"/>
      <c r="I19" s="26"/>
      <c r="J19" s="27">
        <f t="shared" si="1"/>
        <v>-128324053</v>
      </c>
    </row>
    <row r="20" spans="1:10" ht="15">
      <c r="B20" s="38" t="s">
        <v>631</v>
      </c>
      <c r="C20" s="29">
        <f>SUM(C13:C19)</f>
        <v>708864875.29090011</v>
      </c>
      <c r="D20" s="45">
        <v>0</v>
      </c>
      <c r="E20" s="45">
        <v>0</v>
      </c>
      <c r="F20" s="29">
        <f>SUM(F13:F19)</f>
        <v>708864875.29090011</v>
      </c>
      <c r="G20" s="29">
        <f>SUM(G13:G19)</f>
        <v>870494503</v>
      </c>
      <c r="H20" s="53">
        <f>SUM(H13:H19)</f>
        <v>0</v>
      </c>
      <c r="I20" s="53">
        <f>SUM(I13:I19)</f>
        <v>0</v>
      </c>
      <c r="J20" s="30">
        <f>SUM(J13:J19)</f>
        <v>870494503</v>
      </c>
    </row>
    <row r="21" spans="1:10">
      <c r="A21" s="6">
        <v>1026</v>
      </c>
      <c r="B21" s="24" t="s">
        <v>587</v>
      </c>
      <c r="C21" s="25">
        <f>SUMIF(AL_TB!$A:$A,A21,AL_TB!$K:$K)</f>
        <v>40428</v>
      </c>
      <c r="D21" s="26">
        <v>0</v>
      </c>
      <c r="E21" s="26">
        <v>0</v>
      </c>
      <c r="F21" s="26">
        <f t="shared" si="0"/>
        <v>40428</v>
      </c>
      <c r="G21" s="26"/>
      <c r="H21" s="26"/>
      <c r="I21" s="26"/>
      <c r="J21" s="27">
        <f t="shared" si="1"/>
        <v>0</v>
      </c>
    </row>
    <row r="22" spans="1:10">
      <c r="A22" s="6">
        <v>1016</v>
      </c>
      <c r="B22" s="24" t="s">
        <v>588</v>
      </c>
      <c r="C22" s="25">
        <f>SUMIF(AL_TB!$A:$A,A22,AL_TB!$K:$K)</f>
        <v>0</v>
      </c>
      <c r="D22" s="26">
        <v>0</v>
      </c>
      <c r="E22" s="26">
        <v>0</v>
      </c>
      <c r="F22" s="26">
        <f t="shared" si="0"/>
        <v>0</v>
      </c>
      <c r="G22" s="26"/>
      <c r="H22" s="26"/>
      <c r="I22" s="26"/>
      <c r="J22" s="27">
        <f t="shared" si="1"/>
        <v>0</v>
      </c>
    </row>
    <row r="23" spans="1:10">
      <c r="A23" s="6">
        <v>1006</v>
      </c>
      <c r="B23" s="24" t="s">
        <v>589</v>
      </c>
      <c r="C23" s="25">
        <f>SUMIF(AL_TB!$A:$A,A23,AL_TB!$K:$K)</f>
        <v>9439933</v>
      </c>
      <c r="D23" s="26">
        <v>0</v>
      </c>
      <c r="E23" s="26">
        <v>0</v>
      </c>
      <c r="F23" s="26">
        <f t="shared" si="0"/>
        <v>9439933</v>
      </c>
      <c r="G23" s="26"/>
      <c r="H23" s="26"/>
      <c r="I23" s="26"/>
      <c r="J23" s="27">
        <f t="shared" si="1"/>
        <v>0</v>
      </c>
    </row>
    <row r="24" spans="1:10">
      <c r="A24" s="6">
        <v>1028</v>
      </c>
      <c r="B24" s="24" t="s">
        <v>590</v>
      </c>
      <c r="C24" s="25">
        <f>SUMIF(AL_TB!$A:$A,A24,AL_TB!$K:$K)</f>
        <v>862257582.22430015</v>
      </c>
      <c r="D24" s="26">
        <v>0</v>
      </c>
      <c r="E24" s="26">
        <v>0</v>
      </c>
      <c r="F24" s="26">
        <f t="shared" si="0"/>
        <v>862257582.22430015</v>
      </c>
      <c r="G24" s="26"/>
      <c r="H24" s="26"/>
      <c r="I24" s="26"/>
      <c r="J24" s="27">
        <f t="shared" si="1"/>
        <v>0</v>
      </c>
    </row>
    <row r="25" spans="1:10" s="3" customFormat="1" ht="15">
      <c r="A25" s="8"/>
      <c r="B25" s="38" t="s">
        <v>632</v>
      </c>
      <c r="C25" s="29">
        <f>SUM(C20:C24)</f>
        <v>1580602818.5152001</v>
      </c>
      <c r="D25" s="46">
        <v>0</v>
      </c>
      <c r="E25" s="46">
        <v>0</v>
      </c>
      <c r="F25" s="29">
        <f>SUM(F20:F24)</f>
        <v>1580602818.5152001</v>
      </c>
      <c r="G25" s="29">
        <f>SUM(G20:G24)</f>
        <v>870494503</v>
      </c>
      <c r="H25" s="53">
        <f>SUM(H20:H24)</f>
        <v>0</v>
      </c>
      <c r="I25" s="53">
        <f>SUM(I20:I24)</f>
        <v>0</v>
      </c>
      <c r="J25" s="30">
        <f>SUM(J20:J24)</f>
        <v>870494503</v>
      </c>
    </row>
    <row r="26" spans="1:10" s="3" customFormat="1">
      <c r="A26" s="8"/>
      <c r="B26" s="47" t="s">
        <v>638</v>
      </c>
      <c r="C26" s="48">
        <f>C12+C25</f>
        <v>2329334126.0385008</v>
      </c>
      <c r="D26" s="48">
        <f>D12+D25</f>
        <v>0</v>
      </c>
      <c r="E26" s="48">
        <f>E12+E25</f>
        <v>0</v>
      </c>
      <c r="F26" s="48">
        <f>IF(ABS((F12+F25)-(C26+D26-E26))&lt;1,F12+F25,FALSE)</f>
        <v>2329334126.0385008</v>
      </c>
      <c r="G26" s="48">
        <f>G12+G25</f>
        <v>1707682725</v>
      </c>
      <c r="H26" s="48">
        <f>H12+H25</f>
        <v>0</v>
      </c>
      <c r="I26" s="48">
        <f>I12+I25</f>
        <v>0</v>
      </c>
      <c r="J26" s="49">
        <f>IF(ABS((J12+J25)-(G26+H26-I26))&lt;1,J12+J25,FALSE)</f>
        <v>1707682725</v>
      </c>
    </row>
    <row r="27" spans="1:10">
      <c r="A27" s="6">
        <v>2002</v>
      </c>
      <c r="B27" s="24" t="s">
        <v>591</v>
      </c>
      <c r="C27" s="25">
        <f>-SUMIF(AL_TB!$A:$A,A27,AL_TB!$K:$K)</f>
        <v>196935142.76469988</v>
      </c>
      <c r="D27" s="26">
        <v>0</v>
      </c>
      <c r="E27" s="26">
        <v>0</v>
      </c>
      <c r="F27" s="26">
        <f>C27-D27+E27</f>
        <v>196935142.76469988</v>
      </c>
      <c r="G27" s="39">
        <v>161974722</v>
      </c>
      <c r="H27" s="26"/>
      <c r="I27" s="26"/>
      <c r="J27" s="27">
        <f t="shared" ref="J27:J34" si="2">+G27+H27-I27</f>
        <v>161974722</v>
      </c>
    </row>
    <row r="28" spans="1:10">
      <c r="B28" s="24" t="s">
        <v>604</v>
      </c>
      <c r="C28" s="25">
        <f>-SUMIF(AL_TB!$A:$A,A28,AL_TB!$K:$K)</f>
        <v>0</v>
      </c>
      <c r="D28" s="26">
        <v>0</v>
      </c>
      <c r="E28" s="26">
        <v>0</v>
      </c>
      <c r="F28" s="26">
        <f t="shared" ref="F28:F34" si="3">C28-D28+E28</f>
        <v>0</v>
      </c>
      <c r="G28" s="26"/>
      <c r="H28" s="26"/>
      <c r="I28" s="26"/>
      <c r="J28" s="27">
        <f t="shared" si="2"/>
        <v>0</v>
      </c>
    </row>
    <row r="29" spans="1:10">
      <c r="B29" s="24" t="s">
        <v>605</v>
      </c>
      <c r="C29" s="25">
        <f>-SUMIF(AL_TB!$A:$A,A29,AL_TB!$K:$K)</f>
        <v>0</v>
      </c>
      <c r="D29" s="26">
        <v>0</v>
      </c>
      <c r="E29" s="26">
        <v>0</v>
      </c>
      <c r="F29" s="26">
        <f t="shared" si="3"/>
        <v>0</v>
      </c>
      <c r="G29" s="26"/>
      <c r="H29" s="26"/>
      <c r="I29" s="26"/>
      <c r="J29" s="27">
        <f t="shared" si="2"/>
        <v>0</v>
      </c>
    </row>
    <row r="30" spans="1:10">
      <c r="A30" s="6">
        <v>2005</v>
      </c>
      <c r="B30" s="24" t="s">
        <v>592</v>
      </c>
      <c r="C30" s="25">
        <f>-SUMIF(AL_TB!$A:$A,A30,AL_TB!$K:$K)</f>
        <v>437036900.31739998</v>
      </c>
      <c r="D30" s="26">
        <v>0</v>
      </c>
      <c r="E30" s="26">
        <v>0</v>
      </c>
      <c r="F30" s="26">
        <f t="shared" si="3"/>
        <v>437036900.31739998</v>
      </c>
      <c r="G30" s="26">
        <v>338531604</v>
      </c>
      <c r="H30" s="26"/>
      <c r="I30" s="26"/>
      <c r="J30" s="27">
        <f t="shared" si="2"/>
        <v>338531604</v>
      </c>
    </row>
    <row r="31" spans="1:10">
      <c r="A31" s="6">
        <v>2006</v>
      </c>
      <c r="B31" s="24" t="s">
        <v>593</v>
      </c>
      <c r="C31" s="25">
        <f>-SUMIF(AL_TB!$A:$A,A31,AL_TB!$K:$K)</f>
        <v>3351821.1214000322</v>
      </c>
      <c r="D31" s="26">
        <v>0</v>
      </c>
      <c r="E31" s="26">
        <v>0</v>
      </c>
      <c r="F31" s="26">
        <f t="shared" si="3"/>
        <v>3351821.1214000322</v>
      </c>
      <c r="G31" s="26">
        <v>5261724</v>
      </c>
      <c r="H31" s="26"/>
      <c r="I31" s="26"/>
      <c r="J31" s="27">
        <f t="shared" si="2"/>
        <v>5261724</v>
      </c>
    </row>
    <row r="32" spans="1:10">
      <c r="A32" s="6">
        <v>2007</v>
      </c>
      <c r="B32" s="24" t="s">
        <v>594</v>
      </c>
      <c r="C32" s="25">
        <f>-SUMIF(AL_TB!$A:$A,A32,AL_TB!$K:$K)</f>
        <v>16687110.302700007</v>
      </c>
      <c r="D32" s="26">
        <v>0</v>
      </c>
      <c r="E32" s="26">
        <v>0</v>
      </c>
      <c r="F32" s="26">
        <f t="shared" si="3"/>
        <v>16687110.302700007</v>
      </c>
      <c r="G32" s="26">
        <v>18446013</v>
      </c>
      <c r="H32" s="26"/>
      <c r="I32" s="26"/>
      <c r="J32" s="27">
        <f t="shared" si="2"/>
        <v>18446013</v>
      </c>
    </row>
    <row r="33" spans="1:11">
      <c r="A33" s="6">
        <v>2009</v>
      </c>
      <c r="B33" s="24" t="s">
        <v>595</v>
      </c>
      <c r="C33" s="25">
        <f>-SUMIF(AL_TB!$A:$A,A33,AL_TB!$K:$K)</f>
        <v>66144122.831399992</v>
      </c>
      <c r="D33" s="26">
        <v>0</v>
      </c>
      <c r="E33" s="26">
        <v>0</v>
      </c>
      <c r="F33" s="26">
        <f t="shared" si="3"/>
        <v>66144122.831399992</v>
      </c>
      <c r="G33" s="26">
        <v>4808827</v>
      </c>
      <c r="H33" s="26"/>
      <c r="I33" s="26"/>
      <c r="J33" s="27">
        <f t="shared" si="2"/>
        <v>4808827</v>
      </c>
    </row>
    <row r="34" spans="1:11">
      <c r="A34" s="6">
        <v>2010</v>
      </c>
      <c r="B34" s="24" t="s">
        <v>596</v>
      </c>
      <c r="C34" s="25">
        <f>-SUMIF(AL_TB!$A:$A,A34,AL_TB!$K:$K)</f>
        <v>1088209.3125</v>
      </c>
      <c r="D34" s="26">
        <v>0</v>
      </c>
      <c r="E34" s="26">
        <v>0</v>
      </c>
      <c r="F34" s="26">
        <f t="shared" si="3"/>
        <v>1088209.3125</v>
      </c>
      <c r="G34" s="26">
        <v>1678447</v>
      </c>
      <c r="H34" s="26"/>
      <c r="I34" s="26"/>
      <c r="J34" s="27">
        <f t="shared" si="2"/>
        <v>1678447</v>
      </c>
    </row>
    <row r="35" spans="1:11" s="3" customFormat="1" ht="15">
      <c r="A35" s="8"/>
      <c r="B35" s="28" t="s">
        <v>633</v>
      </c>
      <c r="C35" s="29">
        <f>SUM(C27:C34)</f>
        <v>721243306.65009999</v>
      </c>
      <c r="D35" s="45">
        <v>0</v>
      </c>
      <c r="E35" s="45">
        <v>0</v>
      </c>
      <c r="F35" s="29">
        <f>SUM(F27:F34)</f>
        <v>721243306.65009999</v>
      </c>
      <c r="G35" s="29">
        <f>SUM(G27:G34)</f>
        <v>530701337</v>
      </c>
      <c r="H35" s="53">
        <f>SUM(H27:H33)</f>
        <v>0</v>
      </c>
      <c r="I35" s="53">
        <f>SUM(I27:I33)</f>
        <v>0</v>
      </c>
      <c r="J35" s="30">
        <f>SUM(J27:J34)</f>
        <v>530701337</v>
      </c>
    </row>
    <row r="36" spans="1:11">
      <c r="A36" s="6">
        <v>2021</v>
      </c>
      <c r="B36" s="24" t="s">
        <v>597</v>
      </c>
      <c r="C36" s="25">
        <f>-SUMIF(AL_TB!A:A,A36,AL_TB!K:K)</f>
        <v>800853054.49750006</v>
      </c>
      <c r="D36" s="26">
        <v>0</v>
      </c>
      <c r="E36" s="26">
        <v>0</v>
      </c>
      <c r="F36" s="26">
        <f>C36-D36+E36</f>
        <v>800853054.49750006</v>
      </c>
      <c r="G36" s="26">
        <v>332645186</v>
      </c>
      <c r="H36" s="26">
        <v>0</v>
      </c>
      <c r="I36" s="26">
        <v>0</v>
      </c>
      <c r="J36" s="27">
        <f>+G36+H36-I36</f>
        <v>332645186</v>
      </c>
    </row>
    <row r="37" spans="1:11">
      <c r="A37" s="6">
        <v>2023</v>
      </c>
      <c r="B37" s="24" t="s">
        <v>598</v>
      </c>
      <c r="C37" s="25">
        <f>-SUMIF(AL_TB!$A:$A,A37,AL_TB!$K:$K)</f>
        <v>19698838.430100001</v>
      </c>
      <c r="D37" s="26">
        <v>0</v>
      </c>
      <c r="E37" s="26">
        <v>0</v>
      </c>
      <c r="F37" s="26">
        <f>C37-D37+E37</f>
        <v>19698838.430100001</v>
      </c>
      <c r="G37" s="26">
        <v>13886009</v>
      </c>
      <c r="H37" s="26">
        <v>0</v>
      </c>
      <c r="I37" s="26"/>
      <c r="J37" s="27">
        <f>+G37+H37-I37</f>
        <v>13886009</v>
      </c>
    </row>
    <row r="38" spans="1:11">
      <c r="A38" s="6">
        <v>2024</v>
      </c>
      <c r="B38" s="24" t="s">
        <v>599</v>
      </c>
      <c r="C38" s="25">
        <f>-SUMIF(AL_TB!$A:$A,A38,AL_TB!$K:$K)</f>
        <v>0</v>
      </c>
      <c r="D38" s="26">
        <v>0</v>
      </c>
      <c r="E38" s="26">
        <v>0</v>
      </c>
      <c r="F38" s="26">
        <f>C38-D38+E38</f>
        <v>0</v>
      </c>
      <c r="G38" s="26">
        <v>0</v>
      </c>
      <c r="H38" s="26">
        <v>0</v>
      </c>
      <c r="I38" s="26">
        <v>0</v>
      </c>
      <c r="J38" s="27">
        <f>+G38+H38-I38</f>
        <v>0</v>
      </c>
    </row>
    <row r="39" spans="1:11">
      <c r="A39" s="6">
        <v>2025</v>
      </c>
      <c r="B39" s="24" t="s">
        <v>600</v>
      </c>
      <c r="C39" s="25">
        <f>-SUMIF(AL_TB!$A:$A,A39,AL_TB!$K:$K)</f>
        <v>0</v>
      </c>
      <c r="D39" s="26">
        <v>0</v>
      </c>
      <c r="E39" s="26">
        <v>0</v>
      </c>
      <c r="F39" s="26">
        <f>C39-D39+E39</f>
        <v>0</v>
      </c>
      <c r="G39" s="26">
        <v>0</v>
      </c>
      <c r="H39" s="26">
        <v>0</v>
      </c>
      <c r="I39" s="26">
        <v>0</v>
      </c>
      <c r="J39" s="27">
        <f>+G39+H39-I39</f>
        <v>0</v>
      </c>
    </row>
    <row r="40" spans="1:11" s="3" customFormat="1" ht="15">
      <c r="A40" s="8"/>
      <c r="B40" s="28" t="s">
        <v>634</v>
      </c>
      <c r="C40" s="29">
        <f>SUM(C36:C39)</f>
        <v>820551892.92760003</v>
      </c>
      <c r="D40" s="45">
        <v>0</v>
      </c>
      <c r="E40" s="45">
        <v>0</v>
      </c>
      <c r="F40" s="29">
        <f>SUM(F36:F39)</f>
        <v>820551892.92760003</v>
      </c>
      <c r="G40" s="29">
        <f>SUM(G36:G39)</f>
        <v>346531195</v>
      </c>
      <c r="H40" s="53">
        <f>SUM(H36:H39)</f>
        <v>0</v>
      </c>
      <c r="I40" s="53">
        <f>SUM(I36:I39)</f>
        <v>0</v>
      </c>
      <c r="J40" s="30">
        <f>SUM(J36:J39)</f>
        <v>346531195</v>
      </c>
    </row>
    <row r="41" spans="1:11" s="3" customFormat="1" ht="15">
      <c r="A41" s="8"/>
      <c r="B41" s="28" t="s">
        <v>635</v>
      </c>
      <c r="C41" s="29">
        <f>C35+C40</f>
        <v>1541795199.5777001</v>
      </c>
      <c r="D41" s="45">
        <v>0</v>
      </c>
      <c r="E41" s="45">
        <v>0</v>
      </c>
      <c r="F41" s="29">
        <f>F35+F40</f>
        <v>1541795199.5777001</v>
      </c>
      <c r="G41" s="29">
        <f>G35+G40</f>
        <v>877232532</v>
      </c>
      <c r="H41" s="53">
        <f>H35+H40</f>
        <v>0</v>
      </c>
      <c r="I41" s="53">
        <f>I35+I40</f>
        <v>0</v>
      </c>
      <c r="J41" s="30">
        <f>J35+J40</f>
        <v>877232532</v>
      </c>
    </row>
    <row r="42" spans="1:11">
      <c r="A42" s="6">
        <v>2028</v>
      </c>
      <c r="B42" s="24" t="s">
        <v>601</v>
      </c>
      <c r="C42" s="25">
        <f>-SUMIF(AL_TB!$A:$A,A42,AL_TB!$K:$K)</f>
        <v>525400000</v>
      </c>
      <c r="D42" s="26">
        <v>0</v>
      </c>
      <c r="E42" s="26">
        <v>0</v>
      </c>
      <c r="F42" s="26">
        <f t="shared" ref="F42:F47" si="4">C42-D42+E42</f>
        <v>525400000</v>
      </c>
      <c r="G42" s="26">
        <v>525400000</v>
      </c>
      <c r="H42" s="26"/>
      <c r="I42" s="26"/>
      <c r="J42" s="27">
        <f t="shared" ref="J42:J47" si="5">+G42+H42-I42</f>
        <v>525400000</v>
      </c>
      <c r="K42" s="4"/>
    </row>
    <row r="43" spans="1:11">
      <c r="A43" s="6">
        <v>2031</v>
      </c>
      <c r="B43" s="24" t="s">
        <v>158</v>
      </c>
      <c r="C43" s="25">
        <f>-SUMIF(AL_TB!$A:$A,A43,AL_TB!$K:$K)</f>
        <v>23985438</v>
      </c>
      <c r="D43" s="26">
        <v>0</v>
      </c>
      <c r="E43" s="26">
        <v>0</v>
      </c>
      <c r="F43" s="26">
        <f t="shared" si="4"/>
        <v>23985438</v>
      </c>
      <c r="G43" s="26">
        <f>9200000</f>
        <v>9200000</v>
      </c>
      <c r="H43" s="26"/>
      <c r="I43" s="26"/>
      <c r="J43" s="27">
        <f t="shared" si="5"/>
        <v>9200000</v>
      </c>
      <c r="K43" s="4"/>
    </row>
    <row r="44" spans="1:11">
      <c r="A44" s="6">
        <v>2032</v>
      </c>
      <c r="B44" s="24" t="s">
        <v>20</v>
      </c>
      <c r="C44" s="25">
        <f>-SUMIF(AL_TB!$A:$A,A44,AL_TB!$K:$K)</f>
        <v>4214210.05</v>
      </c>
      <c r="D44" s="26">
        <v>0</v>
      </c>
      <c r="E44" s="26">
        <v>0</v>
      </c>
      <c r="F44" s="26">
        <f t="shared" si="4"/>
        <v>4214210.05</v>
      </c>
      <c r="G44" s="26">
        <v>2557758</v>
      </c>
      <c r="H44" s="26"/>
      <c r="I44" s="26"/>
      <c r="J44" s="27">
        <f t="shared" si="5"/>
        <v>2557758</v>
      </c>
      <c r="K44" s="4"/>
    </row>
    <row r="45" spans="1:11">
      <c r="A45" s="6">
        <v>2033</v>
      </c>
      <c r="B45" s="24" t="s">
        <v>76</v>
      </c>
      <c r="C45" s="25">
        <f>-SUMIF(AL_TB!$A:$A,A45,AL_TB!$K:$K)</f>
        <v>65284565.950000003</v>
      </c>
      <c r="D45" s="26">
        <v>0</v>
      </c>
      <c r="E45" s="26">
        <v>0</v>
      </c>
      <c r="F45" s="26">
        <f t="shared" si="4"/>
        <v>65284565.950000003</v>
      </c>
      <c r="G45" s="26">
        <v>48597397</v>
      </c>
      <c r="H45" s="26"/>
      <c r="I45" s="26"/>
      <c r="J45" s="27">
        <f t="shared" si="5"/>
        <v>48597397</v>
      </c>
      <c r="K45" s="4"/>
    </row>
    <row r="46" spans="1:11">
      <c r="A46" s="6">
        <v>2034</v>
      </c>
      <c r="B46" s="24" t="s">
        <v>602</v>
      </c>
      <c r="C46" s="25">
        <f>-SUMIF(AL_TB!$A:$A,A46,AL_TB!$K:$K)</f>
        <v>201240934.97690001</v>
      </c>
      <c r="D46" s="26">
        <v>0</v>
      </c>
      <c r="E46" s="26">
        <v>0</v>
      </c>
      <c r="F46" s="26">
        <f t="shared" si="4"/>
        <v>201240934.97690001</v>
      </c>
      <c r="G46" s="26">
        <v>201240935</v>
      </c>
      <c r="H46" s="26"/>
      <c r="I46" s="26"/>
      <c r="J46" s="27">
        <f t="shared" si="5"/>
        <v>201240935</v>
      </c>
      <c r="K46" s="5"/>
    </row>
    <row r="47" spans="1:11">
      <c r="B47" s="24" t="s">
        <v>603</v>
      </c>
      <c r="C47" s="26">
        <f>C72</f>
        <v>-32586222.921798963</v>
      </c>
      <c r="D47" s="26">
        <v>0</v>
      </c>
      <c r="E47" s="26">
        <v>0</v>
      </c>
      <c r="F47" s="26">
        <f t="shared" si="4"/>
        <v>-32586222.921798963</v>
      </c>
      <c r="G47" s="26">
        <v>43454102</v>
      </c>
      <c r="H47" s="26"/>
      <c r="I47" s="26"/>
      <c r="J47" s="27">
        <f t="shared" si="5"/>
        <v>43454102</v>
      </c>
    </row>
    <row r="48" spans="1:11" s="3" customFormat="1" ht="15">
      <c r="A48" s="8"/>
      <c r="B48" s="28" t="s">
        <v>636</v>
      </c>
      <c r="C48" s="29">
        <f>SUM(C42:C47)</f>
        <v>787538926.05510104</v>
      </c>
      <c r="D48" s="45">
        <v>0</v>
      </c>
      <c r="E48" s="45">
        <v>0</v>
      </c>
      <c r="F48" s="29">
        <f>SUM(F42:F47)</f>
        <v>787538926.05510104</v>
      </c>
      <c r="G48" s="29">
        <f>SUM(G42:G47)</f>
        <v>830450192</v>
      </c>
      <c r="H48" s="53">
        <f>SUM(H42:H47)</f>
        <v>0</v>
      </c>
      <c r="I48" s="53">
        <f>SUM(I42:I47)</f>
        <v>0</v>
      </c>
      <c r="J48" s="30">
        <f>SUM(J42:J47)</f>
        <v>830450192</v>
      </c>
    </row>
    <row r="49" spans="1:10" s="3" customFormat="1">
      <c r="A49" s="8"/>
      <c r="B49" s="50" t="s">
        <v>637</v>
      </c>
      <c r="C49" s="51">
        <f>IF(ABS(C41+C48-C26)&lt;6,C26,FALSE)</f>
        <v>2329334126.0385008</v>
      </c>
      <c r="D49" s="51">
        <f>+D48+D41+D26</f>
        <v>0</v>
      </c>
      <c r="E49" s="51">
        <f>+E48+E41+E26</f>
        <v>0</v>
      </c>
      <c r="F49" s="51">
        <f>IF(ABS(F41+F48-F26)&lt;6,F26,FALSE)</f>
        <v>2329334126.0385008</v>
      </c>
      <c r="G49" s="51">
        <f>IF(ABS(G41+G48-G26)&lt;6,G26,FALSE)</f>
        <v>1707682725</v>
      </c>
      <c r="H49" s="51">
        <f>+H48+H41+H26</f>
        <v>0</v>
      </c>
      <c r="I49" s="51">
        <f>+I48+I41+I26</f>
        <v>0</v>
      </c>
      <c r="J49" s="52">
        <f>IF(ABS(J41+J48-J26)&lt;6,J26,FALSE)</f>
        <v>1707682725</v>
      </c>
    </row>
    <row r="50" spans="1:10" s="3" customFormat="1">
      <c r="A50" s="8"/>
      <c r="B50" s="11"/>
      <c r="C50" s="44"/>
      <c r="D50" s="44"/>
      <c r="E50" s="44"/>
      <c r="F50" s="44"/>
      <c r="G50" s="44"/>
      <c r="H50" s="44"/>
      <c r="I50" s="44"/>
      <c r="J50" s="44"/>
    </row>
    <row r="51" spans="1:10" s="3" customFormat="1">
      <c r="A51" s="8"/>
      <c r="B51" s="12"/>
      <c r="C51" s="41" t="s">
        <v>0</v>
      </c>
      <c r="D51" s="732" t="s">
        <v>1</v>
      </c>
      <c r="E51" s="733"/>
      <c r="F51" s="42" t="s">
        <v>13</v>
      </c>
      <c r="G51" s="41" t="s">
        <v>0</v>
      </c>
      <c r="H51" s="732" t="s">
        <v>1</v>
      </c>
      <c r="I51" s="733"/>
      <c r="J51" s="43" t="s">
        <v>13</v>
      </c>
    </row>
    <row r="52" spans="1:10" s="3" customFormat="1">
      <c r="A52" s="8"/>
      <c r="B52" s="17" t="s">
        <v>639</v>
      </c>
      <c r="C52" s="18">
        <f>+C2</f>
        <v>41274</v>
      </c>
      <c r="D52" s="54" t="s">
        <v>7</v>
      </c>
      <c r="E52" s="54" t="s">
        <v>8</v>
      </c>
      <c r="F52" s="286">
        <f>C52</f>
        <v>41274</v>
      </c>
      <c r="G52" s="18">
        <f>G2</f>
        <v>40909</v>
      </c>
      <c r="H52" s="19" t="s">
        <v>7</v>
      </c>
      <c r="I52" s="40" t="s">
        <v>8</v>
      </c>
      <c r="J52" s="444">
        <f>G52</f>
        <v>40909</v>
      </c>
    </row>
    <row r="53" spans="1:10">
      <c r="A53" s="6">
        <v>4001</v>
      </c>
      <c r="B53" s="21" t="s">
        <v>608</v>
      </c>
      <c r="C53" s="22">
        <f>-SUMIF(AL_TB!$A:$A,A53,AL_TB!$K:$K)</f>
        <v>1412508135.6439011</v>
      </c>
      <c r="D53" s="26">
        <v>0</v>
      </c>
      <c r="E53" s="26">
        <v>0</v>
      </c>
      <c r="F53" s="26">
        <f>C53-D53+E53</f>
        <v>1412508135.6439011</v>
      </c>
      <c r="G53" s="22">
        <v>1394063245</v>
      </c>
      <c r="H53" s="22">
        <v>0</v>
      </c>
      <c r="I53" s="22">
        <v>0</v>
      </c>
      <c r="J53" s="26">
        <f>G53+H53-I53</f>
        <v>1394063245</v>
      </c>
    </row>
    <row r="54" spans="1:10">
      <c r="A54" s="6">
        <v>4002</v>
      </c>
      <c r="B54" s="24" t="s">
        <v>609</v>
      </c>
      <c r="C54" s="26">
        <f>-SUMIF(AL_TB!$A:$A,A54,AL_TB!$K:$K)</f>
        <v>0</v>
      </c>
      <c r="D54" s="26">
        <v>0</v>
      </c>
      <c r="E54" s="26">
        <v>0</v>
      </c>
      <c r="F54" s="26">
        <f>C54-D54+E54</f>
        <v>0</v>
      </c>
      <c r="G54" s="26">
        <v>4524776</v>
      </c>
      <c r="H54" s="26">
        <v>0</v>
      </c>
      <c r="I54" s="26">
        <v>0</v>
      </c>
      <c r="J54" s="27">
        <f>G54+H54-I54</f>
        <v>4524776</v>
      </c>
    </row>
    <row r="55" spans="1:10" s="3" customFormat="1">
      <c r="A55" s="8"/>
      <c r="B55" s="28" t="s">
        <v>640</v>
      </c>
      <c r="C55" s="29">
        <f>SUM(C53:C54)</f>
        <v>1412508135.6439011</v>
      </c>
      <c r="D55" s="29">
        <v>0</v>
      </c>
      <c r="E55" s="29">
        <v>0</v>
      </c>
      <c r="F55" s="29">
        <f>SUM(F53:F54)</f>
        <v>1412508135.6439011</v>
      </c>
      <c r="G55" s="29">
        <f>SUM(G53:G54)</f>
        <v>1398588021</v>
      </c>
      <c r="H55" s="29">
        <f>SUM(H53:H54)</f>
        <v>0</v>
      </c>
      <c r="I55" s="29">
        <f>SUM(I53:I54)</f>
        <v>0</v>
      </c>
      <c r="J55" s="30">
        <f>SUM(J53:J54)</f>
        <v>1398588021</v>
      </c>
    </row>
    <row r="56" spans="1:10">
      <c r="A56" s="6">
        <v>3001</v>
      </c>
      <c r="B56" s="24" t="s">
        <v>610</v>
      </c>
      <c r="C56" s="26">
        <f>-SUMIF(AL_TB!$A:$A,A56,AL_TB!$K:$K)</f>
        <v>-514111236.83940005</v>
      </c>
      <c r="D56" s="26">
        <v>0</v>
      </c>
      <c r="E56" s="26">
        <v>0</v>
      </c>
      <c r="F56" s="26">
        <f>C56-D56+E56</f>
        <v>-514111236.83940005</v>
      </c>
      <c r="G56" s="26">
        <f>-537252802</f>
        <v>-537252802</v>
      </c>
      <c r="H56" s="26"/>
      <c r="I56" s="26"/>
      <c r="J56" s="27">
        <f t="shared" ref="J56:J63" si="6">G56+H56-I56</f>
        <v>-537252802</v>
      </c>
    </row>
    <row r="57" spans="1:10">
      <c r="B57" s="24" t="s">
        <v>611</v>
      </c>
      <c r="C57" s="26">
        <f>-SUMIF(AL_TB!$A:$A,A57,AL_TB!$K:$K)</f>
        <v>0</v>
      </c>
      <c r="D57" s="26">
        <v>0</v>
      </c>
      <c r="E57" s="26">
        <v>0</v>
      </c>
      <c r="F57" s="26">
        <f>C57-D57+E57</f>
        <v>0</v>
      </c>
      <c r="G57" s="26"/>
      <c r="H57" s="26"/>
      <c r="I57" s="26"/>
      <c r="J57" s="27">
        <f t="shared" si="6"/>
        <v>0</v>
      </c>
    </row>
    <row r="58" spans="1:10" ht="15">
      <c r="B58" s="201" t="s">
        <v>615</v>
      </c>
      <c r="C58" s="283">
        <f>SUM(C59:C60)</f>
        <v>-670441005.5</v>
      </c>
      <c r="D58" s="283">
        <v>0</v>
      </c>
      <c r="E58" s="283">
        <v>0</v>
      </c>
      <c r="F58" s="283">
        <f>SUM(F59:F60)</f>
        <v>-670441005.5</v>
      </c>
      <c r="G58" s="283">
        <f>SUM(G59:G61)</f>
        <v>-556120947</v>
      </c>
      <c r="H58" s="202"/>
      <c r="I58" s="202"/>
      <c r="J58" s="203">
        <f t="shared" si="6"/>
        <v>-556120947</v>
      </c>
    </row>
    <row r="59" spans="1:10">
      <c r="A59" s="6">
        <v>3003</v>
      </c>
      <c r="B59" s="24" t="s">
        <v>612</v>
      </c>
      <c r="C59" s="26">
        <f>-SUMIF(AL_TB!$A:$A,A59,AL_TB!$K:$K)</f>
        <v>-601598643</v>
      </c>
      <c r="D59" s="26">
        <v>0</v>
      </c>
      <c r="E59" s="26">
        <v>0</v>
      </c>
      <c r="F59" s="26">
        <f>C59-D59+E59</f>
        <v>-601598643</v>
      </c>
      <c r="G59" s="26">
        <f>-494799512</f>
        <v>-494799512</v>
      </c>
      <c r="H59" s="26"/>
      <c r="I59" s="26"/>
      <c r="J59" s="27">
        <f t="shared" si="6"/>
        <v>-494799512</v>
      </c>
    </row>
    <row r="60" spans="1:10">
      <c r="A60" s="6">
        <v>3004</v>
      </c>
      <c r="B60" s="24" t="s">
        <v>613</v>
      </c>
      <c r="C60" s="26">
        <f>-SUMIF(AL_TB!$A:$A,A60,AL_TB!$K:$K)</f>
        <v>-68842362.5</v>
      </c>
      <c r="D60" s="26">
        <v>0</v>
      </c>
      <c r="E60" s="26">
        <v>0</v>
      </c>
      <c r="F60" s="26">
        <f>C60-D60+E60</f>
        <v>-68842362.5</v>
      </c>
      <c r="G60" s="26">
        <f>-60734960</f>
        <v>-60734960</v>
      </c>
      <c r="H60" s="26"/>
      <c r="I60" s="26"/>
      <c r="J60" s="27">
        <f t="shared" si="6"/>
        <v>-60734960</v>
      </c>
    </row>
    <row r="61" spans="1:10">
      <c r="A61" s="6">
        <v>3005</v>
      </c>
      <c r="B61" s="24" t="s">
        <v>614</v>
      </c>
      <c r="C61" s="26">
        <f>-SUMIF(AL_TB!$A:$A,A61,AL_TB!$K:$K)</f>
        <v>-578000</v>
      </c>
      <c r="D61" s="26">
        <v>0</v>
      </c>
      <c r="E61" s="26">
        <v>0</v>
      </c>
      <c r="F61" s="26">
        <f>C61-D61+E61</f>
        <v>-578000</v>
      </c>
      <c r="G61" s="26">
        <f>-586475</f>
        <v>-586475</v>
      </c>
      <c r="H61" s="26"/>
      <c r="I61" s="26"/>
      <c r="J61" s="27">
        <f t="shared" si="6"/>
        <v>-586475</v>
      </c>
    </row>
    <row r="62" spans="1:10">
      <c r="A62" s="6">
        <v>3006</v>
      </c>
      <c r="B62" s="24" t="s">
        <v>616</v>
      </c>
      <c r="C62" s="26">
        <f>-SUMIF(AL_TB!$A:$A,A62,AL_TB!$K:$K)</f>
        <v>-212241933.34999999</v>
      </c>
      <c r="D62" s="26">
        <v>0</v>
      </c>
      <c r="E62" s="26">
        <v>0</v>
      </c>
      <c r="F62" s="26">
        <f>C62-D62+E62</f>
        <v>-212241933.34999999</v>
      </c>
      <c r="G62" s="26">
        <f>-219582085</f>
        <v>-219582085</v>
      </c>
      <c r="H62" s="26"/>
      <c r="I62" s="26"/>
      <c r="J62" s="27">
        <f t="shared" si="6"/>
        <v>-219582085</v>
      </c>
    </row>
    <row r="63" spans="1:10">
      <c r="A63" s="6">
        <v>3009</v>
      </c>
      <c r="B63" s="24" t="s">
        <v>617</v>
      </c>
      <c r="C63" s="26">
        <f>-SUMIF(AL_TB!$A:$A,A63,AL_TB!$K:$K)</f>
        <v>-29881109.514300004</v>
      </c>
      <c r="D63" s="26">
        <v>0</v>
      </c>
      <c r="E63" s="26">
        <v>0</v>
      </c>
      <c r="F63" s="26">
        <f>C63-D63+E63</f>
        <v>-29881109.514300004</v>
      </c>
      <c r="G63" s="26">
        <f>-15163165-1</f>
        <v>-15163166</v>
      </c>
      <c r="H63" s="26"/>
      <c r="I63" s="26"/>
      <c r="J63" s="27">
        <f t="shared" si="6"/>
        <v>-15163166</v>
      </c>
    </row>
    <row r="64" spans="1:10" s="3" customFormat="1">
      <c r="A64" s="8"/>
      <c r="B64" s="38" t="s">
        <v>641</v>
      </c>
      <c r="C64" s="29">
        <f>SUM(C59:C63)+C56</f>
        <v>-1427253285.2037001</v>
      </c>
      <c r="D64" s="29">
        <v>0</v>
      </c>
      <c r="E64" s="29">
        <v>0</v>
      </c>
      <c r="F64" s="29">
        <f>SUM(F59:F63)+F56</f>
        <v>-1427253285.2037001</v>
      </c>
      <c r="G64" s="29">
        <f>SUM(G59:G63)+G56</f>
        <v>-1328119000</v>
      </c>
      <c r="H64" s="29">
        <f>SUM(H56:H62)</f>
        <v>0</v>
      </c>
      <c r="I64" s="29">
        <f>SUM(I56:I62)</f>
        <v>0</v>
      </c>
      <c r="J64" s="30">
        <f>SUM(J59:J63)+J56</f>
        <v>-1328119000</v>
      </c>
    </row>
    <row r="65" spans="1:10" s="3" customFormat="1">
      <c r="A65" s="6">
        <v>3010</v>
      </c>
      <c r="B65" s="24" t="s">
        <v>618</v>
      </c>
      <c r="C65" s="26">
        <f>-SUMIF(AL_TB!$A:$A,A65,AL_TB!$K:$K)</f>
        <v>0</v>
      </c>
      <c r="D65" s="29">
        <v>0</v>
      </c>
      <c r="E65" s="29">
        <v>0</v>
      </c>
      <c r="F65" s="26">
        <f>C65-D65+E65</f>
        <v>0</v>
      </c>
      <c r="G65" s="29"/>
      <c r="H65" s="29"/>
      <c r="I65" s="29"/>
      <c r="J65" s="30"/>
    </row>
    <row r="66" spans="1:10" s="3" customFormat="1">
      <c r="A66" s="6">
        <v>3007</v>
      </c>
      <c r="B66" s="24" t="s">
        <v>619</v>
      </c>
      <c r="C66" s="26">
        <f>-SUMIF(AL_TB!$A:$A,A66,AL_TB!$K:$K)</f>
        <v>-15413023.120600002</v>
      </c>
      <c r="D66" s="29">
        <v>0</v>
      </c>
      <c r="E66" s="29">
        <v>0</v>
      </c>
      <c r="F66" s="26">
        <f>C66-D66+E66</f>
        <v>-15413023.120600002</v>
      </c>
      <c r="G66" s="26">
        <f>-20988703</f>
        <v>-20988703</v>
      </c>
      <c r="H66" s="29"/>
      <c r="I66" s="29"/>
      <c r="J66" s="27">
        <f t="shared" ref="J66:J71" si="7">G66+H66-I66</f>
        <v>-20988703</v>
      </c>
    </row>
    <row r="67" spans="1:10" s="3" customFormat="1">
      <c r="A67" s="6">
        <v>3008</v>
      </c>
      <c r="B67" s="24" t="s">
        <v>620</v>
      </c>
      <c r="C67" s="26">
        <f>-SUMIF(AL_TB!$A:$A,A67,AL_TB!$K:$K)</f>
        <v>-5313271.6012000032</v>
      </c>
      <c r="D67" s="29">
        <v>0</v>
      </c>
      <c r="E67" s="29">
        <v>0</v>
      </c>
      <c r="F67" s="26">
        <f>C67-D67+E67</f>
        <v>-5313271.6012000032</v>
      </c>
      <c r="G67" s="26">
        <f>-908034</f>
        <v>-908034</v>
      </c>
      <c r="H67" s="29"/>
      <c r="I67" s="29"/>
      <c r="J67" s="27">
        <f t="shared" si="7"/>
        <v>-908034</v>
      </c>
    </row>
    <row r="68" spans="1:10" s="3" customFormat="1">
      <c r="A68" s="6">
        <v>4003</v>
      </c>
      <c r="B68" s="24" t="s">
        <v>621</v>
      </c>
      <c r="C68" s="26">
        <f>-SUMIF(AL_TB!$A:$A,A68,AL_TB!$K:$K)</f>
        <v>2885221.3597999997</v>
      </c>
      <c r="D68" s="29">
        <v>0</v>
      </c>
      <c r="E68" s="29">
        <v>0</v>
      </c>
      <c r="F68" s="26">
        <f>C68-D68+E68</f>
        <v>2885221.3597999997</v>
      </c>
      <c r="G68" s="26">
        <f>1165037</f>
        <v>1165037</v>
      </c>
      <c r="H68" s="29"/>
      <c r="I68" s="29"/>
      <c r="J68" s="27">
        <f t="shared" si="7"/>
        <v>1165037</v>
      </c>
    </row>
    <row r="69" spans="1:10" s="3" customFormat="1">
      <c r="A69" s="8"/>
      <c r="B69" s="28" t="s">
        <v>622</v>
      </c>
      <c r="C69" s="29">
        <f>SUM(C65:C68)</f>
        <v>-17841073.362000007</v>
      </c>
      <c r="D69" s="29">
        <v>0</v>
      </c>
      <c r="E69" s="29">
        <v>0</v>
      </c>
      <c r="F69" s="29">
        <f>SUM(F65:F68)</f>
        <v>-17841073.362000007</v>
      </c>
      <c r="G69" s="29">
        <f>SUM(G65:G68)</f>
        <v>-20731700</v>
      </c>
      <c r="H69" s="29"/>
      <c r="I69" s="29"/>
      <c r="J69" s="30">
        <f t="shared" si="7"/>
        <v>-20731700</v>
      </c>
    </row>
    <row r="70" spans="1:10" s="3" customFormat="1">
      <c r="A70" s="8"/>
      <c r="B70" s="38" t="s">
        <v>623</v>
      </c>
      <c r="C70" s="29">
        <f>C55+C64+C69</f>
        <v>-32586222.921798963</v>
      </c>
      <c r="D70" s="29">
        <v>0</v>
      </c>
      <c r="E70" s="29">
        <v>0</v>
      </c>
      <c r="F70" s="26">
        <f>C70-D70+E70</f>
        <v>-32586222.921798963</v>
      </c>
      <c r="G70" s="29">
        <f>G55+G64+G69</f>
        <v>49737321</v>
      </c>
      <c r="H70" s="29">
        <f>H55+H64</f>
        <v>0</v>
      </c>
      <c r="I70" s="29">
        <f>I55+I64</f>
        <v>0</v>
      </c>
      <c r="J70" s="30">
        <f>J55+J64+J69</f>
        <v>49737321</v>
      </c>
    </row>
    <row r="71" spans="1:10">
      <c r="A71" s="6">
        <v>5010</v>
      </c>
      <c r="B71" s="24" t="s">
        <v>624</v>
      </c>
      <c r="C71" s="26">
        <f>-SUMIF(AL_TB!$A:$A,A71,AL_TB!$K:$K)</f>
        <v>0</v>
      </c>
      <c r="D71" s="26">
        <v>0</v>
      </c>
      <c r="E71" s="26">
        <v>0</v>
      </c>
      <c r="F71" s="26">
        <f>C71-D71+E71</f>
        <v>0</v>
      </c>
      <c r="G71" s="26">
        <f>-6283219</f>
        <v>-6283219</v>
      </c>
      <c r="H71" s="26"/>
      <c r="I71" s="26"/>
      <c r="J71" s="27">
        <f t="shared" si="7"/>
        <v>-6283219</v>
      </c>
    </row>
    <row r="72" spans="1:10" s="3" customFormat="1" ht="15">
      <c r="A72" s="8"/>
      <c r="B72" s="31" t="s">
        <v>642</v>
      </c>
      <c r="C72" s="284">
        <f>C70+C71</f>
        <v>-32586222.921798963</v>
      </c>
      <c r="D72" s="32">
        <v>0</v>
      </c>
      <c r="E72" s="32">
        <v>0</v>
      </c>
      <c r="F72" s="284">
        <f>F70+F71</f>
        <v>-32586222.921798963</v>
      </c>
      <c r="G72" s="284">
        <f>G70+G71</f>
        <v>43454102</v>
      </c>
      <c r="H72" s="284">
        <f>H70+H71</f>
        <v>0</v>
      </c>
      <c r="I72" s="284">
        <f>I70+I71</f>
        <v>0</v>
      </c>
      <c r="J72" s="285">
        <f>J70+J71</f>
        <v>43454102</v>
      </c>
    </row>
    <row r="73" spans="1:10" s="3" customFormat="1">
      <c r="A73" s="8"/>
      <c r="C73" s="287">
        <f>C72+AL_TB!K481</f>
        <v>-0.78929943218827248</v>
      </c>
      <c r="D73" s="10"/>
      <c r="E73" s="10"/>
      <c r="F73" s="287">
        <f>F72-C72</f>
        <v>0</v>
      </c>
      <c r="G73" s="10"/>
      <c r="H73" s="10"/>
      <c r="I73" s="10"/>
      <c r="J73" s="10"/>
    </row>
    <row r="74" spans="1:10" s="3" customFormat="1">
      <c r="A74" s="8"/>
      <c r="C74" s="10"/>
      <c r="D74" s="10"/>
      <c r="E74" s="10"/>
      <c r="F74" s="10"/>
      <c r="G74" s="10"/>
      <c r="H74" s="10"/>
      <c r="I74" s="10"/>
      <c r="J74" s="10"/>
    </row>
    <row r="75" spans="1:10">
      <c r="B75" s="3"/>
      <c r="C75" s="10"/>
      <c r="D75" s="9"/>
      <c r="E75" s="9"/>
      <c r="F75" s="9"/>
      <c r="G75" s="10"/>
      <c r="H75" s="9"/>
      <c r="I75" s="9"/>
      <c r="J75" s="9"/>
    </row>
    <row r="76" spans="1:10">
      <c r="C76" s="9"/>
      <c r="D76" s="9"/>
      <c r="E76" s="9"/>
      <c r="F76" s="9"/>
      <c r="G76" s="9"/>
      <c r="H76" s="9"/>
      <c r="I76" s="9"/>
      <c r="J76" s="9"/>
    </row>
    <row r="77" spans="1:10">
      <c r="A77" s="104"/>
      <c r="B77" s="105" t="s">
        <v>643</v>
      </c>
      <c r="C77" s="106" t="s">
        <v>37</v>
      </c>
      <c r="D77" s="106" t="s">
        <v>38</v>
      </c>
      <c r="E77" s="106" t="s">
        <v>13</v>
      </c>
      <c r="F77" s="106" t="s">
        <v>14</v>
      </c>
      <c r="G77" s="106" t="s">
        <v>15</v>
      </c>
      <c r="H77" s="9"/>
      <c r="I77" s="9"/>
      <c r="J77" s="9"/>
    </row>
    <row r="78" spans="1:10">
      <c r="A78" s="104" t="s">
        <v>30</v>
      </c>
      <c r="B78" s="107" t="s">
        <v>28</v>
      </c>
      <c r="C78" s="57"/>
      <c r="D78" s="57"/>
      <c r="E78" s="57"/>
      <c r="F78" s="57">
        <f>IF(E78&gt;0,E78,0)</f>
        <v>0</v>
      </c>
      <c r="G78" s="57">
        <f>IF(E78&lt;0,-E78,0)</f>
        <v>0</v>
      </c>
      <c r="H78" s="9"/>
      <c r="I78" s="9"/>
      <c r="J78" s="9"/>
    </row>
    <row r="79" spans="1:10">
      <c r="A79" s="104" t="s">
        <v>31</v>
      </c>
      <c r="B79" s="107" t="s">
        <v>28</v>
      </c>
      <c r="C79" s="57"/>
      <c r="D79" s="57"/>
      <c r="E79" s="57"/>
      <c r="F79" s="57">
        <f>IF(E79&gt;0,E79,0)</f>
        <v>0</v>
      </c>
      <c r="G79" s="57">
        <f>IF(E79&lt;0,-E79,0)</f>
        <v>0</v>
      </c>
      <c r="H79" s="9"/>
      <c r="I79" s="9"/>
      <c r="J79" s="9"/>
    </row>
    <row r="80" spans="1:10">
      <c r="A80" s="104" t="s">
        <v>32</v>
      </c>
      <c r="B80" s="107" t="s">
        <v>28</v>
      </c>
      <c r="C80" s="57"/>
      <c r="D80" s="57"/>
      <c r="E80" s="57"/>
      <c r="F80" s="57">
        <f>IF(E80&gt;0,E80,0)</f>
        <v>0</v>
      </c>
      <c r="G80" s="57">
        <f>IF(E80&lt;0,-E80,0)</f>
        <v>0</v>
      </c>
      <c r="H80" s="9"/>
      <c r="I80" s="9"/>
      <c r="J80" s="9"/>
    </row>
    <row r="81" spans="1:7">
      <c r="A81" s="104"/>
      <c r="B81" s="108" t="s">
        <v>25</v>
      </c>
      <c r="C81" s="57"/>
      <c r="D81" s="57"/>
      <c r="E81" s="57">
        <f>+C81+D81</f>
        <v>0</v>
      </c>
      <c r="F81" s="58">
        <f>SUM(F78:F80)</f>
        <v>0</v>
      </c>
      <c r="G81" s="58">
        <f>SUM(G78:G80)</f>
        <v>0</v>
      </c>
    </row>
    <row r="82" spans="1:7">
      <c r="A82" s="104"/>
      <c r="B82" s="108" t="s">
        <v>39</v>
      </c>
      <c r="C82" s="57"/>
      <c r="D82" s="57"/>
      <c r="E82" s="57"/>
      <c r="F82" s="55">
        <f>+F6-F81</f>
        <v>0</v>
      </c>
      <c r="G82" s="55">
        <f>+F29-G81</f>
        <v>0</v>
      </c>
    </row>
    <row r="83" spans="1:7">
      <c r="A83" s="104"/>
      <c r="B83" s="108"/>
      <c r="C83" s="57"/>
      <c r="D83" s="57"/>
      <c r="E83" s="57"/>
      <c r="F83" s="55"/>
      <c r="G83" s="55"/>
    </row>
    <row r="84" spans="1:7">
      <c r="A84" s="104"/>
      <c r="B84" s="105" t="s">
        <v>644</v>
      </c>
      <c r="C84" s="57"/>
      <c r="D84" s="57"/>
      <c r="E84" s="57"/>
      <c r="F84" s="55"/>
      <c r="G84" s="55"/>
    </row>
    <row r="85" spans="1:7">
      <c r="A85" s="59">
        <v>1</v>
      </c>
      <c r="B85" s="107" t="s">
        <v>625</v>
      </c>
      <c r="C85" s="57">
        <f>AL_TB!I154</f>
        <v>39195269</v>
      </c>
      <c r="D85" s="57"/>
      <c r="E85" s="57">
        <f>C85+D85</f>
        <v>39195269</v>
      </c>
      <c r="F85" s="57">
        <f>E85</f>
        <v>39195269</v>
      </c>
      <c r="G85" s="57"/>
    </row>
    <row r="86" spans="1:7">
      <c r="A86" s="59">
        <v>2</v>
      </c>
      <c r="B86" s="107" t="s">
        <v>626</v>
      </c>
      <c r="C86" s="57">
        <f>AL_TB!I155</f>
        <v>11443693</v>
      </c>
      <c r="D86" s="57"/>
      <c r="E86" s="57">
        <f>C86+D86</f>
        <v>11443693</v>
      </c>
      <c r="F86" s="57">
        <f>E86</f>
        <v>11443693</v>
      </c>
      <c r="G86" s="57"/>
    </row>
    <row r="87" spans="1:7">
      <c r="A87" s="104"/>
      <c r="B87" s="108" t="s">
        <v>25</v>
      </c>
      <c r="C87" s="55"/>
      <c r="D87" s="55"/>
      <c r="E87" s="55"/>
      <c r="F87" s="56">
        <f>SUM(F85:F86)</f>
        <v>50638962</v>
      </c>
      <c r="G87" s="56">
        <f>SUM(G85:G86)</f>
        <v>0</v>
      </c>
    </row>
    <row r="88" spans="1:7">
      <c r="A88" s="104"/>
      <c r="B88" s="108" t="s">
        <v>39</v>
      </c>
      <c r="C88" s="55"/>
      <c r="D88" s="55"/>
      <c r="E88" s="55"/>
      <c r="F88" s="55">
        <f>+F5-F87</f>
        <v>0</v>
      </c>
      <c r="G88" s="55">
        <f>+G5-F28</f>
        <v>0</v>
      </c>
    </row>
  </sheetData>
  <sheetCalcPr fullCalcOnLoad="1"/>
  <mergeCells count="4">
    <mergeCell ref="D1:E1"/>
    <mergeCell ref="H1:I1"/>
    <mergeCell ref="D51:E51"/>
    <mergeCell ref="H51:I51"/>
  </mergeCells>
  <hyperlinks>
    <hyperlink ref="K1" location="INDEX!A1" display="Index"/>
  </hyperlinks>
  <printOptions horizontalCentered="1" verticalCentered="1"/>
  <pageMargins left="0.74803149606299202" right="0.74803149606299202" top="0.25" bottom="0.25" header="0.511811023622047" footer="0.511811023622047"/>
  <pageSetup paperSize="9" scale="48" fitToHeight="0" orientation="portrait" verticalDpi="300" r:id="rId1"/>
  <headerFooter alignWithMargins="0">
    <oddHeader>&amp;C&amp;"Arial,Bold"&amp;12SUMMARY OF BALANCE-SHEET AND INCOME STATEMENT  (IN ALBANIAN LEKE) &amp;R&amp;D  &amp;T</oddHeader>
    <oddFooter>&amp;L&amp;F  &amp;A&amp;C&amp;P/&amp;N</oddFooter>
  </headerFooter>
  <rowBreaks count="1" manualBreakCount="1">
    <brk id="50" min="1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K88"/>
  <sheetViews>
    <sheetView view="pageBreakPreview" zoomScaleSheetLayoutView="100" zoomScalePageLayoutView="70" workbookViewId="0">
      <selection activeCell="F63" sqref="F63"/>
    </sheetView>
  </sheetViews>
  <sheetFormatPr defaultRowHeight="12.75"/>
  <cols>
    <col min="1" max="1" width="5.140625" style="6" bestFit="1" customWidth="1"/>
    <col min="2" max="2" width="34" style="1" bestFit="1" customWidth="1"/>
    <col min="3" max="3" width="19.140625" style="1" bestFit="1" customWidth="1"/>
    <col min="4" max="4" width="12.85546875" style="1" bestFit="1" customWidth="1"/>
    <col min="5" max="5" width="12.85546875" style="1" customWidth="1"/>
    <col min="6" max="6" width="19.140625" style="1" bestFit="1" customWidth="1"/>
    <col min="7" max="7" width="18" style="1" bestFit="1" customWidth="1"/>
    <col min="8" max="9" width="13.5703125" style="1" bestFit="1" customWidth="1"/>
    <col min="10" max="10" width="14.140625" style="1" bestFit="1" customWidth="1"/>
    <col min="11" max="11" width="14.140625" style="1" customWidth="1"/>
    <col min="12" max="16384" width="9.140625" style="1"/>
  </cols>
  <sheetData>
    <row r="1" spans="1:11">
      <c r="B1" s="16"/>
      <c r="C1" s="13" t="s">
        <v>0</v>
      </c>
      <c r="D1" s="732" t="s">
        <v>1</v>
      </c>
      <c r="E1" s="733"/>
      <c r="F1" s="14" t="s">
        <v>13</v>
      </c>
      <c r="G1" s="13" t="s">
        <v>0</v>
      </c>
      <c r="H1" s="732" t="s">
        <v>1</v>
      </c>
      <c r="I1" s="733"/>
      <c r="J1" s="15" t="s">
        <v>13</v>
      </c>
      <c r="K1" s="100" t="s">
        <v>36</v>
      </c>
    </row>
    <row r="2" spans="1:11" s="2" customFormat="1">
      <c r="A2" s="7" t="s">
        <v>4</v>
      </c>
      <c r="B2" s="33" t="s">
        <v>628</v>
      </c>
      <c r="C2" s="18">
        <v>41274</v>
      </c>
      <c r="D2" s="19" t="s">
        <v>7</v>
      </c>
      <c r="E2" s="40" t="s">
        <v>8</v>
      </c>
      <c r="F2" s="18">
        <v>41274</v>
      </c>
      <c r="G2" s="18">
        <v>41274</v>
      </c>
      <c r="H2" s="19" t="s">
        <v>7</v>
      </c>
      <c r="I2" s="40" t="s">
        <v>8</v>
      </c>
      <c r="J2" s="20">
        <f>G2</f>
        <v>41274</v>
      </c>
    </row>
    <row r="3" spans="1:11" s="2" customFormat="1">
      <c r="A3" s="7"/>
      <c r="B3" s="34" t="s">
        <v>629</v>
      </c>
      <c r="C3" s="35"/>
      <c r="D3" s="36"/>
      <c r="E3" s="36"/>
      <c r="F3" s="35"/>
      <c r="G3" s="35"/>
      <c r="H3" s="36"/>
      <c r="I3" s="36"/>
      <c r="J3" s="37"/>
    </row>
    <row r="4" spans="1:11">
      <c r="A4" s="6">
        <v>1001</v>
      </c>
      <c r="B4" s="24" t="s">
        <v>579</v>
      </c>
      <c r="C4" s="25">
        <f>SUMIF(KS_TB!$A:$A,A4,KS_TB!$M:$M)</f>
        <v>303946.05780000001</v>
      </c>
      <c r="D4" s="26">
        <v>0</v>
      </c>
      <c r="E4" s="26">
        <v>0</v>
      </c>
      <c r="F4" s="26">
        <f>+C4+D4-E4</f>
        <v>303946.05780000001</v>
      </c>
      <c r="G4" s="26"/>
      <c r="H4" s="26">
        <v>0</v>
      </c>
      <c r="I4" s="26">
        <v>0</v>
      </c>
      <c r="J4" s="27">
        <f>+G4+H4-I4</f>
        <v>0</v>
      </c>
    </row>
    <row r="5" spans="1:11">
      <c r="B5" s="24" t="s">
        <v>606</v>
      </c>
      <c r="C5" s="25">
        <f>SUMIF(KS_TB!$A:$A,A5,KS_TB!$M:$M)</f>
        <v>0</v>
      </c>
      <c r="D5" s="26"/>
      <c r="E5" s="26"/>
      <c r="F5" s="26">
        <f t="shared" ref="F5:F24" si="0">+C5+D5-E5</f>
        <v>0</v>
      </c>
      <c r="G5" s="26"/>
      <c r="H5" s="26"/>
      <c r="I5" s="26"/>
      <c r="J5" s="27">
        <f t="shared" ref="J5:J11" si="1">+G5+H5-I5</f>
        <v>0</v>
      </c>
    </row>
    <row r="6" spans="1:11">
      <c r="B6" s="24" t="s">
        <v>607</v>
      </c>
      <c r="C6" s="25">
        <f>SUMIF(KS_TB!$A:$A,A6,KS_TB!$M:$M)</f>
        <v>0</v>
      </c>
      <c r="D6" s="26">
        <v>0</v>
      </c>
      <c r="E6" s="26">
        <v>0</v>
      </c>
      <c r="F6" s="26">
        <f t="shared" si="0"/>
        <v>0</v>
      </c>
      <c r="G6" s="26"/>
      <c r="H6" s="26"/>
      <c r="I6" s="26"/>
      <c r="J6" s="27">
        <f t="shared" si="1"/>
        <v>0</v>
      </c>
    </row>
    <row r="7" spans="1:11">
      <c r="A7" s="6">
        <v>1004</v>
      </c>
      <c r="B7" s="24" t="s">
        <v>580</v>
      </c>
      <c r="C7" s="25">
        <f>SUMIF(KS_TB!$A:$A,A7,KS_TB!$M:$M)</f>
        <v>0</v>
      </c>
      <c r="D7" s="26">
        <v>0</v>
      </c>
      <c r="E7" s="26">
        <v>0</v>
      </c>
      <c r="F7" s="26">
        <f t="shared" si="0"/>
        <v>0</v>
      </c>
      <c r="G7" s="26"/>
      <c r="H7" s="26">
        <v>0</v>
      </c>
      <c r="I7" s="26"/>
      <c r="J7" s="27">
        <f t="shared" si="1"/>
        <v>0</v>
      </c>
    </row>
    <row r="8" spans="1:11">
      <c r="A8" s="6">
        <v>1005</v>
      </c>
      <c r="B8" s="24" t="s">
        <v>581</v>
      </c>
      <c r="C8" s="25">
        <f>SUMIF(KS_TB!$A:$A,A8,KS_TB!$M:$M)</f>
        <v>4042.5264000000002</v>
      </c>
      <c r="D8" s="26">
        <v>0</v>
      </c>
      <c r="E8" s="26">
        <v>0</v>
      </c>
      <c r="F8" s="26">
        <f t="shared" si="0"/>
        <v>4042.5264000000002</v>
      </c>
      <c r="G8" s="26"/>
      <c r="H8" s="26">
        <v>0</v>
      </c>
      <c r="I8" s="26">
        <v>0</v>
      </c>
      <c r="J8" s="27">
        <f t="shared" si="1"/>
        <v>0</v>
      </c>
    </row>
    <row r="9" spans="1:11">
      <c r="A9" s="6">
        <v>1007</v>
      </c>
      <c r="B9" s="24" t="s">
        <v>582</v>
      </c>
      <c r="C9" s="25">
        <f>SUMIF(KS_TB!$A:$A,A9,KS_TB!$M:$M)</f>
        <v>0</v>
      </c>
      <c r="D9" s="26">
        <v>0</v>
      </c>
      <c r="E9" s="26">
        <v>0</v>
      </c>
      <c r="F9" s="26">
        <f t="shared" si="0"/>
        <v>0</v>
      </c>
      <c r="G9" s="26"/>
      <c r="H9" s="26">
        <v>0</v>
      </c>
      <c r="I9" s="26">
        <v>0</v>
      </c>
      <c r="J9" s="27">
        <f t="shared" si="1"/>
        <v>0</v>
      </c>
    </row>
    <row r="10" spans="1:11">
      <c r="A10" s="6">
        <v>1012</v>
      </c>
      <c r="B10" s="24" t="s">
        <v>627</v>
      </c>
      <c r="C10" s="25">
        <f>SUMIF(KS_TB!$A:$A,A10,KS_TB!$M:$M)</f>
        <v>0</v>
      </c>
      <c r="D10" s="26">
        <v>0</v>
      </c>
      <c r="E10" s="26">
        <v>0</v>
      </c>
      <c r="F10" s="26">
        <f t="shared" si="0"/>
        <v>0</v>
      </c>
      <c r="G10" s="26"/>
      <c r="H10" s="26">
        <v>0</v>
      </c>
      <c r="I10" s="26">
        <v>0</v>
      </c>
      <c r="J10" s="27">
        <f t="shared" si="1"/>
        <v>0</v>
      </c>
    </row>
    <row r="11" spans="1:11">
      <c r="A11" s="6">
        <v>1015</v>
      </c>
      <c r="B11" s="24" t="s">
        <v>583</v>
      </c>
      <c r="C11" s="25">
        <f>SUMIF(KS_TB!$A:$A,A11,KS_TB!$M:$M)</f>
        <v>1297345.2722999998</v>
      </c>
      <c r="D11" s="26">
        <v>0</v>
      </c>
      <c r="E11" s="26">
        <v>0</v>
      </c>
      <c r="F11" s="26">
        <f t="shared" si="0"/>
        <v>1297345.2722999998</v>
      </c>
      <c r="G11" s="26"/>
      <c r="H11" s="26"/>
      <c r="I11" s="26"/>
      <c r="J11" s="27">
        <f t="shared" si="1"/>
        <v>0</v>
      </c>
    </row>
    <row r="12" spans="1:11" s="3" customFormat="1" ht="15">
      <c r="A12" s="8"/>
      <c r="B12" s="38" t="s">
        <v>630</v>
      </c>
      <c r="C12" s="29">
        <f>SUM(C4:C11)</f>
        <v>1605333.8564999998</v>
      </c>
      <c r="D12" s="45">
        <v>0</v>
      </c>
      <c r="E12" s="45">
        <v>0</v>
      </c>
      <c r="F12" s="29">
        <f>SUM(F4:F11)</f>
        <v>1605333.8564999998</v>
      </c>
      <c r="G12" s="29">
        <f>SUM(G4:G11)</f>
        <v>0</v>
      </c>
      <c r="H12" s="53">
        <f>SUM(H4:H11)</f>
        <v>0</v>
      </c>
      <c r="I12" s="53">
        <f>SUM(I4:I11)</f>
        <v>0</v>
      </c>
      <c r="J12" s="30">
        <f>SUM(J4:J11)</f>
        <v>0</v>
      </c>
    </row>
    <row r="13" spans="1:11">
      <c r="A13" s="6">
        <v>1020</v>
      </c>
      <c r="B13" s="24" t="s">
        <v>162</v>
      </c>
      <c r="C13" s="25">
        <f>SUMIF(KS_TB!$A:$A,A13,KS_TB!$M:$M)</f>
        <v>0</v>
      </c>
      <c r="D13" s="26">
        <v>0</v>
      </c>
      <c r="E13" s="26">
        <v>0</v>
      </c>
      <c r="F13" s="26">
        <f t="shared" si="0"/>
        <v>0</v>
      </c>
      <c r="G13" s="26"/>
      <c r="H13" s="26">
        <v>0</v>
      </c>
      <c r="I13" s="26"/>
      <c r="J13" s="27">
        <f>+G13+H13-I13</f>
        <v>0</v>
      </c>
    </row>
    <row r="14" spans="1:11">
      <c r="A14" s="6">
        <v>1021</v>
      </c>
      <c r="B14" s="24" t="s">
        <v>584</v>
      </c>
      <c r="C14" s="25">
        <f>SUMIF(KS_TB!$A:$A,A14,KS_TB!$M:$M)</f>
        <v>0</v>
      </c>
      <c r="D14" s="26">
        <v>0</v>
      </c>
      <c r="E14" s="26">
        <v>0</v>
      </c>
      <c r="F14" s="26">
        <f t="shared" si="0"/>
        <v>0</v>
      </c>
      <c r="G14" s="26"/>
      <c r="H14" s="26"/>
      <c r="I14" s="26"/>
      <c r="J14" s="27">
        <f>+G14+H14-I14</f>
        <v>0</v>
      </c>
    </row>
    <row r="15" spans="1:11">
      <c r="A15" s="6">
        <v>1022</v>
      </c>
      <c r="B15" s="24" t="s">
        <v>585</v>
      </c>
      <c r="C15" s="25">
        <f>SUMIF(KS_TB!$A:$A,A15,KS_TB!$M:$M)</f>
        <v>28224941.659200002</v>
      </c>
      <c r="D15" s="26">
        <v>0</v>
      </c>
      <c r="E15" s="26">
        <v>0</v>
      </c>
      <c r="F15" s="26">
        <f t="shared" si="0"/>
        <v>28224941.659200002</v>
      </c>
      <c r="G15" s="26"/>
      <c r="H15" s="26"/>
      <c r="I15" s="26"/>
      <c r="J15" s="27">
        <f>+G15+H15-I15</f>
        <v>0</v>
      </c>
    </row>
    <row r="16" spans="1:11">
      <c r="A16" s="6">
        <v>1023</v>
      </c>
      <c r="B16" s="24" t="s">
        <v>586</v>
      </c>
      <c r="C16" s="25">
        <f>SUMIF(KS_TB!$A:$A,A16,KS_TB!$M:$M)</f>
        <v>9260968.7313000001</v>
      </c>
      <c r="D16" s="26">
        <v>0</v>
      </c>
      <c r="E16" s="26">
        <v>0</v>
      </c>
      <c r="F16" s="26">
        <f t="shared" si="0"/>
        <v>9260968.7313000001</v>
      </c>
      <c r="G16" s="26"/>
      <c r="H16" s="26"/>
      <c r="I16" s="26"/>
      <c r="J16" s="27">
        <f>+G16+H16-I16</f>
        <v>0</v>
      </c>
    </row>
    <row r="17" spans="1:10">
      <c r="A17" s="6">
        <v>1031</v>
      </c>
      <c r="B17" s="24" t="s">
        <v>645</v>
      </c>
      <c r="C17" s="25">
        <f>SUMIF(KS_TB!$A:$A,A17,KS_TB!$M:$M)</f>
        <v>0</v>
      </c>
      <c r="D17" s="26">
        <v>0</v>
      </c>
      <c r="E17" s="26">
        <v>0</v>
      </c>
      <c r="F17" s="26">
        <f t="shared" si="0"/>
        <v>0</v>
      </c>
      <c r="G17" s="26"/>
      <c r="H17" s="26"/>
      <c r="I17" s="26"/>
      <c r="J17" s="27">
        <f>+G17+H17-I17</f>
        <v>0</v>
      </c>
    </row>
    <row r="18" spans="1:10">
      <c r="A18" s="6">
        <v>1032</v>
      </c>
      <c r="B18" s="24" t="s">
        <v>646</v>
      </c>
      <c r="C18" s="25">
        <f>SUMIF(KS_TB!$A:$A,A18,KS_TB!$M:$M)</f>
        <v>0</v>
      </c>
      <c r="D18" s="26">
        <v>0</v>
      </c>
      <c r="E18" s="26">
        <v>0</v>
      </c>
      <c r="F18" s="26">
        <f t="shared" si="0"/>
        <v>0</v>
      </c>
      <c r="G18" s="26"/>
      <c r="H18" s="26"/>
      <c r="I18" s="26"/>
      <c r="J18" s="27">
        <f t="shared" ref="J18:J24" si="2">+G18+H18-I18</f>
        <v>0</v>
      </c>
    </row>
    <row r="19" spans="1:10">
      <c r="A19" s="6">
        <v>1033</v>
      </c>
      <c r="B19" s="24" t="s">
        <v>647</v>
      </c>
      <c r="C19" s="25">
        <f>SUMIF(KS_TB!$A:$A,A19,KS_TB!$M:$M)</f>
        <v>-16506969.771599999</v>
      </c>
      <c r="D19" s="26">
        <v>0</v>
      </c>
      <c r="E19" s="26">
        <v>0</v>
      </c>
      <c r="F19" s="26">
        <f t="shared" si="0"/>
        <v>-16506969.771599999</v>
      </c>
      <c r="G19" s="26"/>
      <c r="H19" s="26"/>
      <c r="I19" s="26"/>
      <c r="J19" s="27">
        <f t="shared" si="2"/>
        <v>0</v>
      </c>
    </row>
    <row r="20" spans="1:10" ht="15">
      <c r="B20" s="38" t="s">
        <v>631</v>
      </c>
      <c r="C20" s="29">
        <f>SUM(C13:C19)</f>
        <v>20978940.618900001</v>
      </c>
      <c r="D20" s="45">
        <v>0</v>
      </c>
      <c r="E20" s="45">
        <v>0</v>
      </c>
      <c r="F20" s="29">
        <f>SUM(F13:F19)</f>
        <v>20978940.618900001</v>
      </c>
      <c r="G20" s="29">
        <f>SUM(G13:G19)</f>
        <v>0</v>
      </c>
      <c r="H20" s="53">
        <f>SUM(H13:H19)</f>
        <v>0</v>
      </c>
      <c r="I20" s="53">
        <f>SUM(I13:I19)</f>
        <v>0</v>
      </c>
      <c r="J20" s="30">
        <f>SUM(J13:J19)</f>
        <v>0</v>
      </c>
    </row>
    <row r="21" spans="1:10">
      <c r="A21" s="6">
        <v>1026</v>
      </c>
      <c r="B21" s="24" t="s">
        <v>587</v>
      </c>
      <c r="C21" s="25">
        <f>SUMIF(KS_TB!$A:$A,A21,KS_TB!$M:$M)</f>
        <v>0</v>
      </c>
      <c r="D21" s="26">
        <v>0</v>
      </c>
      <c r="E21" s="26">
        <v>0</v>
      </c>
      <c r="F21" s="26">
        <f t="shared" si="0"/>
        <v>0</v>
      </c>
      <c r="G21" s="26"/>
      <c r="H21" s="26"/>
      <c r="I21" s="26"/>
      <c r="J21" s="27">
        <f t="shared" si="2"/>
        <v>0</v>
      </c>
    </row>
    <row r="22" spans="1:10">
      <c r="A22" s="6">
        <v>1016</v>
      </c>
      <c r="B22" s="24" t="s">
        <v>588</v>
      </c>
      <c r="C22" s="25">
        <f>SUMIF(KS_TB!$A:$A,A22,KS_TB!$M:$M)</f>
        <v>0</v>
      </c>
      <c r="D22" s="26">
        <v>0</v>
      </c>
      <c r="E22" s="26">
        <v>0</v>
      </c>
      <c r="F22" s="26">
        <f t="shared" si="0"/>
        <v>0</v>
      </c>
      <c r="G22" s="26"/>
      <c r="H22" s="26"/>
      <c r="I22" s="26"/>
      <c r="J22" s="27">
        <f t="shared" si="2"/>
        <v>0</v>
      </c>
    </row>
    <row r="23" spans="1:10">
      <c r="A23" s="6">
        <v>1006</v>
      </c>
      <c r="B23" s="24" t="s">
        <v>589</v>
      </c>
      <c r="C23" s="25">
        <f>SUMIF(KS_TB!$A:$A,A23,KS_TB!$M:$M)</f>
        <v>0</v>
      </c>
      <c r="D23" s="26">
        <v>0</v>
      </c>
      <c r="E23" s="26">
        <v>0</v>
      </c>
      <c r="F23" s="26">
        <f t="shared" si="0"/>
        <v>0</v>
      </c>
      <c r="G23" s="26"/>
      <c r="H23" s="26"/>
      <c r="I23" s="26"/>
      <c r="J23" s="27">
        <f t="shared" si="2"/>
        <v>0</v>
      </c>
    </row>
    <row r="24" spans="1:10">
      <c r="A24" s="6">
        <v>1028</v>
      </c>
      <c r="B24" s="24" t="s">
        <v>590</v>
      </c>
      <c r="C24" s="25">
        <f>SUMIF(KS_TB!$A:$A,A24,KS_TB!$M:$M)</f>
        <v>0</v>
      </c>
      <c r="D24" s="26">
        <v>0</v>
      </c>
      <c r="E24" s="26">
        <v>0</v>
      </c>
      <c r="F24" s="26">
        <f t="shared" si="0"/>
        <v>0</v>
      </c>
      <c r="G24" s="26"/>
      <c r="H24" s="26"/>
      <c r="I24" s="26"/>
      <c r="J24" s="27">
        <f t="shared" si="2"/>
        <v>0</v>
      </c>
    </row>
    <row r="25" spans="1:10" s="3" customFormat="1" ht="15">
      <c r="A25" s="8"/>
      <c r="B25" s="38" t="s">
        <v>632</v>
      </c>
      <c r="C25" s="29">
        <f>SUM(C20:C24)</f>
        <v>20978940.618900001</v>
      </c>
      <c r="D25" s="46">
        <v>0</v>
      </c>
      <c r="E25" s="46">
        <v>0</v>
      </c>
      <c r="F25" s="29">
        <f>SUM(F20:F24)</f>
        <v>20978940.618900001</v>
      </c>
      <c r="G25" s="29">
        <f>SUM(G20:G24)</f>
        <v>0</v>
      </c>
      <c r="H25" s="53">
        <f>SUM(H20:H24)</f>
        <v>0</v>
      </c>
      <c r="I25" s="53">
        <f>SUM(I20:I24)</f>
        <v>0</v>
      </c>
      <c r="J25" s="30">
        <f>SUM(J20:J24)</f>
        <v>0</v>
      </c>
    </row>
    <row r="26" spans="1:10" s="3" customFormat="1">
      <c r="A26" s="8"/>
      <c r="B26" s="47" t="s">
        <v>638</v>
      </c>
      <c r="C26" s="48">
        <f>C12+C25</f>
        <v>22584274.475400001</v>
      </c>
      <c r="D26" s="48">
        <f>D12+D25</f>
        <v>0</v>
      </c>
      <c r="E26" s="48">
        <f>E12+E25</f>
        <v>0</v>
      </c>
      <c r="F26" s="48">
        <f>IF(ABS((F12+F25)-(C26+D26-E26))&lt;1,F12+F25,FALSE)</f>
        <v>22584274.475400001</v>
      </c>
      <c r="G26" s="48">
        <f>G12+G25</f>
        <v>0</v>
      </c>
      <c r="H26" s="48">
        <f>H12+H25</f>
        <v>0</v>
      </c>
      <c r="I26" s="48">
        <f>I12+I25</f>
        <v>0</v>
      </c>
      <c r="J26" s="49">
        <f>IF(ABS((J12+J25)-(G26+H26-I26))&lt;1,J12+J25,FALSE)</f>
        <v>0</v>
      </c>
    </row>
    <row r="27" spans="1:10">
      <c r="A27" s="6">
        <v>2002</v>
      </c>
      <c r="B27" s="24" t="s">
        <v>591</v>
      </c>
      <c r="C27" s="25">
        <f>-SUMIF(KS_TB!$A:$A,A27,KS_TB!$M:$M)</f>
        <v>0</v>
      </c>
      <c r="D27" s="26">
        <v>0</v>
      </c>
      <c r="E27" s="26">
        <v>0</v>
      </c>
      <c r="F27" s="26">
        <f>C27-D27+E27</f>
        <v>0</v>
      </c>
      <c r="G27" s="39"/>
      <c r="H27" s="26"/>
      <c r="I27" s="26"/>
      <c r="J27" s="27">
        <f t="shared" ref="J27:J33" si="3">+G27+H27-I27</f>
        <v>0</v>
      </c>
    </row>
    <row r="28" spans="1:10">
      <c r="A28" s="6">
        <v>2044</v>
      </c>
      <c r="B28" s="24" t="s">
        <v>604</v>
      </c>
      <c r="C28" s="25">
        <f>-SUMIF(KS_TB!$A:$A,A28,KS_TB!$M:$M)</f>
        <v>39195247.172399998</v>
      </c>
      <c r="D28" s="26">
        <v>0</v>
      </c>
      <c r="E28" s="26">
        <v>0</v>
      </c>
      <c r="F28" s="26">
        <f t="shared" ref="F28:F34" si="4">C28-D28+E28</f>
        <v>39195247.172399998</v>
      </c>
      <c r="G28" s="26"/>
      <c r="H28" s="26"/>
      <c r="I28" s="26"/>
      <c r="J28" s="27">
        <f t="shared" si="3"/>
        <v>0</v>
      </c>
    </row>
    <row r="29" spans="1:10">
      <c r="B29" s="24" t="s">
        <v>605</v>
      </c>
      <c r="C29" s="25">
        <f>-SUMIF(KS_TB!$A:$A,A29,KS_TB!$M:$M)</f>
        <v>0</v>
      </c>
      <c r="D29" s="26">
        <v>0</v>
      </c>
      <c r="E29" s="26">
        <v>0</v>
      </c>
      <c r="F29" s="26">
        <f t="shared" si="4"/>
        <v>0</v>
      </c>
      <c r="G29" s="26"/>
      <c r="H29" s="26"/>
      <c r="I29" s="26"/>
      <c r="J29" s="27">
        <f t="shared" si="3"/>
        <v>0</v>
      </c>
    </row>
    <row r="30" spans="1:10">
      <c r="A30" s="6">
        <v>2005</v>
      </c>
      <c r="B30" s="24" t="s">
        <v>592</v>
      </c>
      <c r="C30" s="25">
        <f>-SUMIF(KS_TB!$A:$A,A30,KS_TB!$M:$M)</f>
        <v>21157173.318600003</v>
      </c>
      <c r="D30" s="26">
        <v>0</v>
      </c>
      <c r="E30" s="26">
        <v>0</v>
      </c>
      <c r="F30" s="26">
        <f t="shared" si="4"/>
        <v>21157173.318600003</v>
      </c>
      <c r="G30" s="26"/>
      <c r="H30" s="26"/>
      <c r="I30" s="26"/>
      <c r="J30" s="27">
        <f t="shared" si="3"/>
        <v>0</v>
      </c>
    </row>
    <row r="31" spans="1:10">
      <c r="A31" s="6">
        <v>2006</v>
      </c>
      <c r="B31" s="24" t="s">
        <v>593</v>
      </c>
      <c r="C31" s="25">
        <f>-SUMIF(KS_TB!$A:$A,A31,KS_TB!$M:$M)</f>
        <v>0</v>
      </c>
      <c r="D31" s="26">
        <v>0</v>
      </c>
      <c r="E31" s="26">
        <v>0</v>
      </c>
      <c r="F31" s="26">
        <f t="shared" si="4"/>
        <v>0</v>
      </c>
      <c r="G31" s="26"/>
      <c r="H31" s="26"/>
      <c r="I31" s="26"/>
      <c r="J31" s="27">
        <f t="shared" si="3"/>
        <v>0</v>
      </c>
    </row>
    <row r="32" spans="1:10">
      <c r="A32" s="6">
        <v>2007</v>
      </c>
      <c r="B32" s="24" t="s">
        <v>594</v>
      </c>
      <c r="C32" s="25">
        <f>-SUMIF(KS_TB!$A:$A,A32,KS_TB!$M:$M)</f>
        <v>244970.67870000005</v>
      </c>
      <c r="D32" s="26">
        <v>0</v>
      </c>
      <c r="E32" s="26">
        <v>0</v>
      </c>
      <c r="F32" s="26">
        <f t="shared" si="4"/>
        <v>244970.67870000005</v>
      </c>
      <c r="G32" s="26"/>
      <c r="H32" s="26"/>
      <c r="I32" s="26"/>
      <c r="J32" s="27">
        <f t="shared" si="3"/>
        <v>0</v>
      </c>
    </row>
    <row r="33" spans="1:11">
      <c r="A33" s="6">
        <v>2009</v>
      </c>
      <c r="B33" s="24" t="s">
        <v>595</v>
      </c>
      <c r="C33" s="25">
        <f>-SUMIF(KS_TB!$A:$A,A33,KS_TB!$M:$M)</f>
        <v>0</v>
      </c>
      <c r="D33" s="26">
        <v>0</v>
      </c>
      <c r="E33" s="26">
        <v>0</v>
      </c>
      <c r="F33" s="26">
        <f t="shared" si="4"/>
        <v>0</v>
      </c>
      <c r="G33" s="26"/>
      <c r="H33" s="26"/>
      <c r="I33" s="26"/>
      <c r="J33" s="27">
        <f t="shared" si="3"/>
        <v>0</v>
      </c>
    </row>
    <row r="34" spans="1:11">
      <c r="A34" s="6">
        <v>2010</v>
      </c>
      <c r="B34" s="24" t="s">
        <v>596</v>
      </c>
      <c r="C34" s="25">
        <f>-SUMIF(KS_TB!$A:$A,A34,KS_TB!$M:$M)</f>
        <v>0</v>
      </c>
      <c r="D34" s="26">
        <v>0</v>
      </c>
      <c r="E34" s="26">
        <v>0</v>
      </c>
      <c r="F34" s="26">
        <f t="shared" si="4"/>
        <v>0</v>
      </c>
      <c r="G34" s="26"/>
      <c r="H34" s="26"/>
      <c r="I34" s="26"/>
      <c r="J34" s="27"/>
    </row>
    <row r="35" spans="1:11" s="3" customFormat="1" ht="15">
      <c r="A35" s="8"/>
      <c r="B35" s="28" t="s">
        <v>633</v>
      </c>
      <c r="C35" s="29">
        <f>SUM(C27:C34)</f>
        <v>60597391.169699997</v>
      </c>
      <c r="D35" s="45">
        <v>0</v>
      </c>
      <c r="E35" s="45">
        <v>0</v>
      </c>
      <c r="F35" s="29">
        <f>SUM(F27:F34)</f>
        <v>60597391.169699997</v>
      </c>
      <c r="G35" s="29">
        <f>SUM(G27:G33)</f>
        <v>0</v>
      </c>
      <c r="H35" s="53">
        <f>SUM(H27:H33)</f>
        <v>0</v>
      </c>
      <c r="I35" s="53">
        <f>SUM(I27:I33)</f>
        <v>0</v>
      </c>
      <c r="J35" s="30">
        <f>SUM(J27:J33)</f>
        <v>0</v>
      </c>
    </row>
    <row r="36" spans="1:11">
      <c r="A36" s="6">
        <v>2021</v>
      </c>
      <c r="B36" s="24" t="s">
        <v>597</v>
      </c>
      <c r="C36" s="25">
        <f>-SUMIF(KS_TB!$A:$A,A36,KS_TB!$M:$M)</f>
        <v>0</v>
      </c>
      <c r="D36" s="26">
        <v>0</v>
      </c>
      <c r="E36" s="26">
        <v>0</v>
      </c>
      <c r="F36" s="26">
        <f>C36-D36+E36</f>
        <v>0</v>
      </c>
      <c r="G36" s="26">
        <v>0</v>
      </c>
      <c r="H36" s="26">
        <v>0</v>
      </c>
      <c r="I36" s="26">
        <v>0</v>
      </c>
      <c r="J36" s="27">
        <f>+G36+H36-I36</f>
        <v>0</v>
      </c>
    </row>
    <row r="37" spans="1:11">
      <c r="A37" s="6">
        <v>2023</v>
      </c>
      <c r="B37" s="24" t="s">
        <v>598</v>
      </c>
      <c r="C37" s="25">
        <f>-SUMIF(KS_TB!$A:$A,A37,KS_TB!$M:$M)</f>
        <v>0</v>
      </c>
      <c r="D37" s="26">
        <v>0</v>
      </c>
      <c r="E37" s="26">
        <v>0</v>
      </c>
      <c r="F37" s="26">
        <f>C37-D37+E37</f>
        <v>0</v>
      </c>
      <c r="G37" s="26">
        <v>0</v>
      </c>
      <c r="H37" s="26">
        <v>0</v>
      </c>
      <c r="I37" s="26"/>
      <c r="J37" s="27">
        <f>+G37+H37-I37</f>
        <v>0</v>
      </c>
    </row>
    <row r="38" spans="1:11">
      <c r="A38" s="6">
        <v>2024</v>
      </c>
      <c r="B38" s="24" t="s">
        <v>599</v>
      </c>
      <c r="C38" s="25">
        <f>-SUMIF(KS_TB!$A:$A,A38,KS_TB!$M:$M)</f>
        <v>0</v>
      </c>
      <c r="D38" s="26">
        <v>0</v>
      </c>
      <c r="E38" s="26">
        <v>0</v>
      </c>
      <c r="F38" s="26">
        <f>C38-D38+E38</f>
        <v>0</v>
      </c>
      <c r="G38" s="26">
        <v>0</v>
      </c>
      <c r="H38" s="26">
        <v>0</v>
      </c>
      <c r="I38" s="26">
        <v>0</v>
      </c>
      <c r="J38" s="27">
        <f>+G38+H38-I38</f>
        <v>0</v>
      </c>
    </row>
    <row r="39" spans="1:11">
      <c r="A39" s="6">
        <v>2025</v>
      </c>
      <c r="B39" s="24" t="s">
        <v>600</v>
      </c>
      <c r="C39" s="25">
        <f>-SUMIF(KS_TB!$A:$A,A39,KS_TB!$M:$M)</f>
        <v>0</v>
      </c>
      <c r="D39" s="26">
        <v>0</v>
      </c>
      <c r="E39" s="26">
        <v>0</v>
      </c>
      <c r="F39" s="26">
        <f>C39-D39+E39</f>
        <v>0</v>
      </c>
      <c r="G39" s="26">
        <v>0</v>
      </c>
      <c r="H39" s="26">
        <v>0</v>
      </c>
      <c r="I39" s="26">
        <v>0</v>
      </c>
      <c r="J39" s="27">
        <f>+G39+H39-I39</f>
        <v>0</v>
      </c>
    </row>
    <row r="40" spans="1:11" s="3" customFormat="1" ht="15">
      <c r="A40" s="8"/>
      <c r="B40" s="28" t="s">
        <v>634</v>
      </c>
      <c r="C40" s="29">
        <f>SUM(C36:C39)</f>
        <v>0</v>
      </c>
      <c r="D40" s="45">
        <v>0</v>
      </c>
      <c r="E40" s="45">
        <v>0</v>
      </c>
      <c r="F40" s="29">
        <f>SUM(F36:F39)</f>
        <v>0</v>
      </c>
      <c r="G40" s="29">
        <f>SUM(G36:G39)</f>
        <v>0</v>
      </c>
      <c r="H40" s="53">
        <f>SUM(H36:H39)</f>
        <v>0</v>
      </c>
      <c r="I40" s="53">
        <f>SUM(I36:I39)</f>
        <v>0</v>
      </c>
      <c r="J40" s="30">
        <f>SUM(J36:J39)</f>
        <v>0</v>
      </c>
    </row>
    <row r="41" spans="1:11" s="3" customFormat="1" ht="15">
      <c r="A41" s="8"/>
      <c r="B41" s="28" t="s">
        <v>635</v>
      </c>
      <c r="C41" s="29">
        <f>C35+C40</f>
        <v>60597391.169699997</v>
      </c>
      <c r="D41" s="45">
        <v>0</v>
      </c>
      <c r="E41" s="45">
        <v>0</v>
      </c>
      <c r="F41" s="29">
        <f>F35+F40</f>
        <v>60597391.169699997</v>
      </c>
      <c r="G41" s="29">
        <f>G35+G40</f>
        <v>0</v>
      </c>
      <c r="H41" s="53">
        <f>H35+H40</f>
        <v>0</v>
      </c>
      <c r="I41" s="53">
        <f>I35+I40</f>
        <v>0</v>
      </c>
      <c r="J41" s="30">
        <f>J35+J40</f>
        <v>0</v>
      </c>
    </row>
    <row r="42" spans="1:11">
      <c r="A42" s="6">
        <v>2028</v>
      </c>
      <c r="B42" s="24" t="s">
        <v>601</v>
      </c>
      <c r="C42" s="25">
        <f>-SUMIF(KS_TB!$A:$A,A42,KS_TB!$M:$M)</f>
        <v>0</v>
      </c>
      <c r="D42" s="26">
        <v>0</v>
      </c>
      <c r="E42" s="26">
        <v>0</v>
      </c>
      <c r="F42" s="26">
        <f t="shared" ref="F42:F47" si="5">C42-D42+E42</f>
        <v>0</v>
      </c>
      <c r="G42" s="26"/>
      <c r="H42" s="26"/>
      <c r="I42" s="26"/>
      <c r="J42" s="27">
        <f t="shared" ref="J42:J47" si="6">+G42+H42-I42</f>
        <v>0</v>
      </c>
      <c r="K42" s="4"/>
    </row>
    <row r="43" spans="1:11">
      <c r="A43" s="6">
        <v>2031</v>
      </c>
      <c r="B43" s="24" t="s">
        <v>158</v>
      </c>
      <c r="C43" s="25">
        <f>-SUMIF(KS_TB!$A:$A,A43,KS_TB!$M:$M)</f>
        <v>0</v>
      </c>
      <c r="D43" s="26">
        <v>0</v>
      </c>
      <c r="E43" s="26">
        <v>0</v>
      </c>
      <c r="F43" s="26">
        <f t="shared" si="5"/>
        <v>0</v>
      </c>
      <c r="G43" s="26"/>
      <c r="H43" s="26"/>
      <c r="I43" s="26"/>
      <c r="J43" s="27"/>
      <c r="K43" s="4"/>
    </row>
    <row r="44" spans="1:11">
      <c r="A44" s="6">
        <v>2032</v>
      </c>
      <c r="B44" s="24" t="s">
        <v>20</v>
      </c>
      <c r="C44" s="25">
        <f>-SUMIF(KS_TB!$A:$A,A44,KS_TB!$M:$M)</f>
        <v>0</v>
      </c>
      <c r="D44" s="26">
        <v>0</v>
      </c>
      <c r="E44" s="26">
        <v>0</v>
      </c>
      <c r="F44" s="26">
        <f t="shared" si="5"/>
        <v>0</v>
      </c>
      <c r="G44" s="26"/>
      <c r="H44" s="26"/>
      <c r="I44" s="26"/>
      <c r="J44" s="27"/>
      <c r="K44" s="4"/>
    </row>
    <row r="45" spans="1:11">
      <c r="A45" s="6">
        <v>2033</v>
      </c>
      <c r="B45" s="24" t="s">
        <v>76</v>
      </c>
      <c r="C45" s="25">
        <f>-SUMIF(KS_TB!$A:$A,A45,KS_TB!$M:$M)</f>
        <v>0</v>
      </c>
      <c r="D45" s="26">
        <v>0</v>
      </c>
      <c r="E45" s="26">
        <v>0</v>
      </c>
      <c r="F45" s="26">
        <f t="shared" si="5"/>
        <v>0</v>
      </c>
      <c r="G45" s="26"/>
      <c r="H45" s="26"/>
      <c r="I45" s="26"/>
      <c r="J45" s="27"/>
      <c r="K45" s="4"/>
    </row>
    <row r="46" spans="1:11">
      <c r="A46" s="6">
        <v>2034</v>
      </c>
      <c r="B46" s="24" t="s">
        <v>602</v>
      </c>
      <c r="C46" s="25">
        <f>-SUMIF(KS_TB!$A:$A,A46,KS_TB!$M:$M)</f>
        <v>0</v>
      </c>
      <c r="D46" s="26">
        <v>0</v>
      </c>
      <c r="E46" s="26">
        <v>0</v>
      </c>
      <c r="F46" s="26">
        <f t="shared" si="5"/>
        <v>0</v>
      </c>
      <c r="G46" s="26"/>
      <c r="H46" s="26"/>
      <c r="I46" s="26"/>
      <c r="J46" s="27">
        <f t="shared" si="6"/>
        <v>0</v>
      </c>
      <c r="K46" s="5"/>
    </row>
    <row r="47" spans="1:11">
      <c r="B47" s="24" t="s">
        <v>603</v>
      </c>
      <c r="C47" s="26">
        <f>C72</f>
        <v>-38013116.694299996</v>
      </c>
      <c r="D47" s="26">
        <v>0</v>
      </c>
      <c r="E47" s="26">
        <v>0</v>
      </c>
      <c r="F47" s="26">
        <f t="shared" si="5"/>
        <v>-38013116.694299996</v>
      </c>
      <c r="G47" s="26"/>
      <c r="H47" s="26"/>
      <c r="I47" s="26"/>
      <c r="J47" s="27">
        <f t="shared" si="6"/>
        <v>0</v>
      </c>
    </row>
    <row r="48" spans="1:11" s="3" customFormat="1" ht="15">
      <c r="A48" s="8"/>
      <c r="B48" s="28" t="s">
        <v>636</v>
      </c>
      <c r="C48" s="29">
        <f>SUM(C42:C47)</f>
        <v>-38013116.694299996</v>
      </c>
      <c r="D48" s="45">
        <v>0</v>
      </c>
      <c r="E48" s="45">
        <v>0</v>
      </c>
      <c r="F48" s="29">
        <f>SUM(F42:F47)</f>
        <v>-38013116.694299996</v>
      </c>
      <c r="G48" s="29">
        <f>SUM(G42:G47)</f>
        <v>0</v>
      </c>
      <c r="H48" s="53">
        <f>SUM(H42:H47)</f>
        <v>0</v>
      </c>
      <c r="I48" s="53">
        <f>SUM(I42:I47)</f>
        <v>0</v>
      </c>
      <c r="J48" s="30">
        <f>SUM(J42:J47)</f>
        <v>0</v>
      </c>
    </row>
    <row r="49" spans="1:10" s="3" customFormat="1">
      <c r="A49" s="8"/>
      <c r="B49" s="50" t="s">
        <v>637</v>
      </c>
      <c r="C49" s="51">
        <f>IF(ABS(C41+C48-C26)&lt;6,C26,FALSE)</f>
        <v>22584274.475400001</v>
      </c>
      <c r="D49" s="51">
        <f>+D48+D41+D26</f>
        <v>0</v>
      </c>
      <c r="E49" s="51">
        <f>+E48+E41+E26</f>
        <v>0</v>
      </c>
      <c r="F49" s="51">
        <f>IF(ABS(F41+F48-F26)&lt;6,F26,FALSE)</f>
        <v>22584274.475400001</v>
      </c>
      <c r="G49" s="51">
        <f>IF(ABS(G41+G48-G26)&lt;6,G26,FALSE)</f>
        <v>0</v>
      </c>
      <c r="H49" s="51">
        <f>+H48+H41+H26</f>
        <v>0</v>
      </c>
      <c r="I49" s="51">
        <f>+I48+I41+I26</f>
        <v>0</v>
      </c>
      <c r="J49" s="52">
        <f>IF(ABS(J41+J48-J26)&lt;6,J26,FALSE)</f>
        <v>0</v>
      </c>
    </row>
    <row r="50" spans="1:10" s="3" customFormat="1">
      <c r="A50" s="8"/>
      <c r="B50" s="11"/>
      <c r="C50" s="44"/>
      <c r="D50" s="44"/>
      <c r="E50" s="44"/>
      <c r="F50" s="44"/>
      <c r="G50" s="44"/>
      <c r="H50" s="44"/>
      <c r="I50" s="44"/>
      <c r="J50" s="44"/>
    </row>
    <row r="51" spans="1:10" s="3" customFormat="1">
      <c r="A51" s="8"/>
      <c r="B51" s="12"/>
      <c r="C51" s="41" t="s">
        <v>0</v>
      </c>
      <c r="D51" s="732" t="s">
        <v>1</v>
      </c>
      <c r="E51" s="733"/>
      <c r="F51" s="42" t="s">
        <v>13</v>
      </c>
      <c r="G51" s="41" t="s">
        <v>0</v>
      </c>
      <c r="H51" s="732" t="s">
        <v>1</v>
      </c>
      <c r="I51" s="733"/>
      <c r="J51" s="43" t="s">
        <v>13</v>
      </c>
    </row>
    <row r="52" spans="1:10" s="3" customFormat="1">
      <c r="A52" s="8"/>
      <c r="B52" s="17" t="s">
        <v>639</v>
      </c>
      <c r="C52" s="286">
        <f>+C2</f>
        <v>41274</v>
      </c>
      <c r="D52" s="54" t="s">
        <v>7</v>
      </c>
      <c r="E52" s="54" t="s">
        <v>8</v>
      </c>
      <c r="F52" s="286">
        <f>C52</f>
        <v>41274</v>
      </c>
      <c r="G52" s="18">
        <f>G2</f>
        <v>41274</v>
      </c>
      <c r="H52" s="19" t="s">
        <v>7</v>
      </c>
      <c r="I52" s="40" t="s">
        <v>8</v>
      </c>
      <c r="J52" s="20">
        <f>G52</f>
        <v>41274</v>
      </c>
    </row>
    <row r="53" spans="1:10">
      <c r="A53" s="6">
        <v>4001</v>
      </c>
      <c r="B53" s="21" t="s">
        <v>608</v>
      </c>
      <c r="C53" s="25">
        <f>-SUMIF(KS_TB!$A:$A,A53,KS_TB!$I:$I)</f>
        <v>0</v>
      </c>
      <c r="D53" s="26">
        <v>0</v>
      </c>
      <c r="E53" s="26">
        <v>0</v>
      </c>
      <c r="F53" s="26">
        <f>C53-D53+E53</f>
        <v>0</v>
      </c>
      <c r="G53" s="22"/>
      <c r="H53" s="22">
        <v>0</v>
      </c>
      <c r="I53" s="22">
        <v>0</v>
      </c>
      <c r="J53" s="23">
        <f>G53+H53-I53</f>
        <v>0</v>
      </c>
    </row>
    <row r="54" spans="1:10">
      <c r="A54" s="6">
        <v>4002</v>
      </c>
      <c r="B54" s="24" t="s">
        <v>609</v>
      </c>
      <c r="C54" s="25">
        <f>-SUMIF(KS_TB!$A:$A,A54,KS_TB!$I:$I)</f>
        <v>0</v>
      </c>
      <c r="D54" s="26">
        <v>0</v>
      </c>
      <c r="E54" s="26">
        <v>0</v>
      </c>
      <c r="F54" s="26">
        <f>C54-D54+E54</f>
        <v>0</v>
      </c>
      <c r="G54" s="26"/>
      <c r="H54" s="26">
        <v>0</v>
      </c>
      <c r="I54" s="26">
        <v>0</v>
      </c>
      <c r="J54" s="27">
        <f t="shared" ref="J54:J72" si="7">G54+H54-I54</f>
        <v>0</v>
      </c>
    </row>
    <row r="55" spans="1:10" s="3" customFormat="1">
      <c r="A55" s="8"/>
      <c r="B55" s="28" t="s">
        <v>640</v>
      </c>
      <c r="C55" s="29">
        <f>SUM(C53:C54)</f>
        <v>0</v>
      </c>
      <c r="D55" s="29">
        <v>0</v>
      </c>
      <c r="E55" s="29">
        <v>0</v>
      </c>
      <c r="F55" s="29">
        <f>SUM(F53:F54)</f>
        <v>0</v>
      </c>
      <c r="G55" s="29">
        <f>SUM(G53:G54)</f>
        <v>0</v>
      </c>
      <c r="H55" s="29">
        <f>SUM(H53:H54)</f>
        <v>0</v>
      </c>
      <c r="I55" s="29">
        <f>SUM(I53:I54)</f>
        <v>0</v>
      </c>
      <c r="J55" s="30">
        <f t="shared" si="7"/>
        <v>0</v>
      </c>
    </row>
    <row r="56" spans="1:10">
      <c r="A56" s="6">
        <v>3001</v>
      </c>
      <c r="B56" s="24" t="s">
        <v>610</v>
      </c>
      <c r="C56" s="25">
        <f>-(SUMIF(KS_TB!$A:$A,A56,KS_TB!$L:$L)+SUMIF(KS_TB!$A:$A,A56,KS_TB!$M:$M))</f>
        <v>-32411626.839899998</v>
      </c>
      <c r="D56" s="26">
        <v>0</v>
      </c>
      <c r="E56" s="26">
        <v>0</v>
      </c>
      <c r="F56" s="26">
        <f>C56-D56+E56</f>
        <v>-32411626.839899998</v>
      </c>
      <c r="G56" s="26"/>
      <c r="H56" s="26"/>
      <c r="I56" s="26"/>
      <c r="J56" s="27">
        <f t="shared" si="7"/>
        <v>0</v>
      </c>
    </row>
    <row r="57" spans="1:10">
      <c r="B57" s="24" t="s">
        <v>611</v>
      </c>
      <c r="C57" s="25">
        <f>-(SUMIF(KS_TB!$A:$A,A57,KS_TB!$L:$L)+SUMIF(KS_TB!$A:$A,A57,KS_TB!$M:$M))</f>
        <v>0</v>
      </c>
      <c r="D57" s="26">
        <v>0</v>
      </c>
      <c r="E57" s="26">
        <v>0</v>
      </c>
      <c r="F57" s="26">
        <f>C57-D57+E57</f>
        <v>0</v>
      </c>
      <c r="G57" s="26"/>
      <c r="H57" s="26"/>
      <c r="I57" s="26"/>
      <c r="J57" s="27">
        <f t="shared" si="7"/>
        <v>0</v>
      </c>
    </row>
    <row r="58" spans="1:10" ht="15">
      <c r="B58" s="201" t="s">
        <v>615</v>
      </c>
      <c r="C58" s="283">
        <f>SUM(C59:C60)</f>
        <v>0</v>
      </c>
      <c r="D58" s="283">
        <v>0</v>
      </c>
      <c r="E58" s="283">
        <v>0</v>
      </c>
      <c r="F58" s="283">
        <f>SUM(F59:F60)</f>
        <v>0</v>
      </c>
      <c r="G58" s="283">
        <f>SUM(G59:G60)</f>
        <v>0</v>
      </c>
      <c r="H58" s="202"/>
      <c r="I58" s="202"/>
      <c r="J58" s="203">
        <f t="shared" si="7"/>
        <v>0</v>
      </c>
    </row>
    <row r="59" spans="1:10">
      <c r="A59" s="6">
        <v>3003</v>
      </c>
      <c r="B59" s="24" t="s">
        <v>612</v>
      </c>
      <c r="C59" s="25">
        <f>-(SUMIF(KS_TB!$A:$A,A59,KS_TB!$L:$L)+SUMIF(KS_TB!$A:$A,A59,KS_TB!$M:$M))</f>
        <v>0</v>
      </c>
      <c r="D59" s="26">
        <v>0</v>
      </c>
      <c r="E59" s="26">
        <v>0</v>
      </c>
      <c r="F59" s="26">
        <f>C59-D59+E59</f>
        <v>0</v>
      </c>
      <c r="G59" s="26"/>
      <c r="H59" s="26"/>
      <c r="I59" s="26"/>
      <c r="J59" s="27">
        <f t="shared" si="7"/>
        <v>0</v>
      </c>
    </row>
    <row r="60" spans="1:10">
      <c r="A60" s="6">
        <v>3004</v>
      </c>
      <c r="B60" s="24" t="s">
        <v>613</v>
      </c>
      <c r="C60" s="25">
        <f>-(SUMIF(KS_TB!$A:$A,A60,KS_TB!$L:$L)+SUMIF(KS_TB!$A:$A,A60,KS_TB!$M:$M))</f>
        <v>0</v>
      </c>
      <c r="D60" s="26">
        <v>0</v>
      </c>
      <c r="E60" s="26">
        <v>0</v>
      </c>
      <c r="F60" s="26">
        <f>C60-D60+E60</f>
        <v>0</v>
      </c>
      <c r="G60" s="26"/>
      <c r="H60" s="26"/>
      <c r="I60" s="26"/>
      <c r="J60" s="27">
        <f t="shared" si="7"/>
        <v>0</v>
      </c>
    </row>
    <row r="61" spans="1:10">
      <c r="A61" s="6">
        <v>3005</v>
      </c>
      <c r="B61" s="24" t="s">
        <v>614</v>
      </c>
      <c r="C61" s="25">
        <f>-(SUMIF(KS_TB!$A:$A,A61,KS_TB!$L:$L)+SUMIF(KS_TB!$A:$A,A61,KS_TB!$M:$M))</f>
        <v>0</v>
      </c>
      <c r="D61" s="26">
        <v>0</v>
      </c>
      <c r="E61" s="26">
        <v>0</v>
      </c>
      <c r="F61" s="26">
        <f>C61-D61+E61</f>
        <v>0</v>
      </c>
      <c r="G61" s="26"/>
      <c r="H61" s="26"/>
      <c r="I61" s="26"/>
      <c r="J61" s="27">
        <f t="shared" si="7"/>
        <v>0</v>
      </c>
    </row>
    <row r="62" spans="1:10">
      <c r="A62" s="6">
        <v>3006</v>
      </c>
      <c r="B62" s="24" t="s">
        <v>616</v>
      </c>
      <c r="C62" s="25">
        <f>-(SUMIF(KS_TB!$A:$A,A62,KS_TB!$L:$L)+SUMIF(KS_TB!$A:$A,A62,KS_TB!$M:$M))</f>
        <v>0</v>
      </c>
      <c r="D62" s="26">
        <v>0</v>
      </c>
      <c r="E62" s="26">
        <v>0</v>
      </c>
      <c r="F62" s="26">
        <f>C62-D62+E62</f>
        <v>0</v>
      </c>
      <c r="G62" s="26"/>
      <c r="H62" s="26"/>
      <c r="I62" s="26"/>
      <c r="J62" s="27">
        <f t="shared" si="7"/>
        <v>0</v>
      </c>
    </row>
    <row r="63" spans="1:10">
      <c r="A63" s="6">
        <v>3009</v>
      </c>
      <c r="B63" s="24" t="s">
        <v>617</v>
      </c>
      <c r="C63" s="25">
        <f>-(SUMIF(KS_TB!$A:$A,A63,KS_TB!$L:$L)+SUMIF(KS_TB!$A:$A,A63,KS_TB!$M:$M))</f>
        <v>-5580551.3543999996</v>
      </c>
      <c r="D63" s="26">
        <v>0</v>
      </c>
      <c r="E63" s="26">
        <v>0</v>
      </c>
      <c r="F63" s="26">
        <f>C63-D63+E63</f>
        <v>-5580551.3543999996</v>
      </c>
      <c r="G63" s="26"/>
      <c r="H63" s="26"/>
      <c r="I63" s="26"/>
      <c r="J63" s="27">
        <f t="shared" si="7"/>
        <v>0</v>
      </c>
    </row>
    <row r="64" spans="1:10" s="3" customFormat="1">
      <c r="A64" s="8"/>
      <c r="B64" s="38" t="s">
        <v>641</v>
      </c>
      <c r="C64" s="29">
        <f>SUM(C59:C63)+C56</f>
        <v>-37992178.194299996</v>
      </c>
      <c r="D64" s="29">
        <v>0</v>
      </c>
      <c r="E64" s="29">
        <v>0</v>
      </c>
      <c r="F64" s="29">
        <f>SUM(F59:F63)+F56</f>
        <v>-37992178.194299996</v>
      </c>
      <c r="G64" s="29">
        <f>SUM(G56:G63)</f>
        <v>0</v>
      </c>
      <c r="H64" s="29">
        <f>SUM(H56:H62)</f>
        <v>0</v>
      </c>
      <c r="I64" s="29">
        <f>SUM(I56:I62)</f>
        <v>0</v>
      </c>
      <c r="J64" s="30">
        <f t="shared" si="7"/>
        <v>0</v>
      </c>
    </row>
    <row r="65" spans="1:10" s="3" customFormat="1">
      <c r="A65" s="6">
        <v>3010</v>
      </c>
      <c r="B65" s="24" t="s">
        <v>618</v>
      </c>
      <c r="C65" s="25">
        <v>0</v>
      </c>
      <c r="D65" s="29">
        <v>0</v>
      </c>
      <c r="E65" s="29">
        <v>0</v>
      </c>
      <c r="F65" s="26">
        <f t="shared" ref="F65:F70" si="8">C65-D65+E65</f>
        <v>0</v>
      </c>
      <c r="G65" s="29"/>
      <c r="H65" s="29"/>
      <c r="I65" s="29"/>
      <c r="J65" s="30">
        <f t="shared" si="7"/>
        <v>0</v>
      </c>
    </row>
    <row r="66" spans="1:10" s="3" customFormat="1">
      <c r="A66" s="6">
        <v>3007</v>
      </c>
      <c r="B66" s="24" t="s">
        <v>619</v>
      </c>
      <c r="C66" s="25">
        <f>-(SUMIF(KS_TB!$A:$A,A66,KS_TB!$L:$L)+SUMIF(KS_TB!$A:$A,A66,KS_TB!$M:$M))</f>
        <v>0</v>
      </c>
      <c r="D66" s="29">
        <v>0</v>
      </c>
      <c r="E66" s="29">
        <v>0</v>
      </c>
      <c r="F66" s="26">
        <f t="shared" si="8"/>
        <v>0</v>
      </c>
      <c r="G66" s="29"/>
      <c r="H66" s="29"/>
      <c r="I66" s="29"/>
      <c r="J66" s="30">
        <f t="shared" si="7"/>
        <v>0</v>
      </c>
    </row>
    <row r="67" spans="1:10" s="3" customFormat="1">
      <c r="A67" s="6">
        <v>3008</v>
      </c>
      <c r="B67" s="24" t="s">
        <v>620</v>
      </c>
      <c r="C67" s="25">
        <f>-(SUMIF(KS_TB!$A:$A,A67,KS_TB!$L:$L)+SUMIF(KS_TB!$A:$A,A67,KS_TB!$M:$M))</f>
        <v>0</v>
      </c>
      <c r="D67" s="29">
        <v>0</v>
      </c>
      <c r="E67" s="29">
        <v>0</v>
      </c>
      <c r="F67" s="26">
        <f t="shared" si="8"/>
        <v>0</v>
      </c>
      <c r="G67" s="29"/>
      <c r="H67" s="29"/>
      <c r="I67" s="29"/>
      <c r="J67" s="30">
        <f t="shared" si="7"/>
        <v>0</v>
      </c>
    </row>
    <row r="68" spans="1:10" s="3" customFormat="1">
      <c r="A68" s="6">
        <v>4003</v>
      </c>
      <c r="B68" s="24" t="s">
        <v>621</v>
      </c>
      <c r="C68" s="25">
        <f>-(SUMIF(KS_TB!$A:$A,A68,KS_TB!$L:$L)+SUMIF(KS_TB!$A:$A,A68,KS_TB!$M:$M))</f>
        <v>0</v>
      </c>
      <c r="D68" s="29">
        <v>0</v>
      </c>
      <c r="E68" s="29">
        <v>0</v>
      </c>
      <c r="F68" s="26">
        <f t="shared" si="8"/>
        <v>0</v>
      </c>
      <c r="G68" s="29"/>
      <c r="H68" s="29"/>
      <c r="I68" s="29"/>
      <c r="J68" s="30">
        <f t="shared" si="7"/>
        <v>0</v>
      </c>
    </row>
    <row r="69" spans="1:10" s="3" customFormat="1">
      <c r="A69" s="8"/>
      <c r="B69" s="28" t="s">
        <v>622</v>
      </c>
      <c r="C69" s="29">
        <f>SUM(C65:C68)</f>
        <v>0</v>
      </c>
      <c r="D69" s="29">
        <v>0</v>
      </c>
      <c r="E69" s="29">
        <v>0</v>
      </c>
      <c r="F69" s="29">
        <f>SUM(F65:F68)</f>
        <v>0</v>
      </c>
      <c r="G69" s="29"/>
      <c r="H69" s="29"/>
      <c r="I69" s="29"/>
      <c r="J69" s="30">
        <f t="shared" si="7"/>
        <v>0</v>
      </c>
    </row>
    <row r="70" spans="1:10" s="3" customFormat="1">
      <c r="A70" s="8"/>
      <c r="B70" s="38" t="s">
        <v>623</v>
      </c>
      <c r="C70" s="29">
        <f>C55+C64+C69</f>
        <v>-37992178.194299996</v>
      </c>
      <c r="D70" s="29">
        <v>0</v>
      </c>
      <c r="E70" s="29">
        <v>0</v>
      </c>
      <c r="F70" s="26">
        <f t="shared" si="8"/>
        <v>-37992178.194299996</v>
      </c>
      <c r="G70" s="29">
        <f>G55+G64</f>
        <v>0</v>
      </c>
      <c r="H70" s="29">
        <f>H55+H64</f>
        <v>0</v>
      </c>
      <c r="I70" s="29">
        <f>I55+I64</f>
        <v>0</v>
      </c>
      <c r="J70" s="30">
        <f t="shared" si="7"/>
        <v>0</v>
      </c>
    </row>
    <row r="71" spans="1:10">
      <c r="A71" s="6">
        <v>5010</v>
      </c>
      <c r="B71" s="24" t="s">
        <v>624</v>
      </c>
      <c r="C71" s="25">
        <f>-(SUMIF(KS_TB!$A:$A,A71,KS_TB!$L:$L)+SUMIF(KS_TB!$A:$A,A71,KS_TB!$M:$M))</f>
        <v>-20938.5</v>
      </c>
      <c r="D71" s="26">
        <v>0</v>
      </c>
      <c r="E71" s="26">
        <v>0</v>
      </c>
      <c r="F71" s="26">
        <f>C71-D71+E71</f>
        <v>-20938.5</v>
      </c>
      <c r="G71" s="26"/>
      <c r="H71" s="26"/>
      <c r="I71" s="26"/>
      <c r="J71" s="27">
        <f t="shared" si="7"/>
        <v>0</v>
      </c>
    </row>
    <row r="72" spans="1:10" s="3" customFormat="1" ht="15">
      <c r="A72" s="8"/>
      <c r="B72" s="31" t="s">
        <v>642</v>
      </c>
      <c r="C72" s="284">
        <f>C70+C71</f>
        <v>-38013116.694299996</v>
      </c>
      <c r="D72" s="32">
        <v>0</v>
      </c>
      <c r="E72" s="32">
        <v>0</v>
      </c>
      <c r="F72" s="284">
        <f>F70+F71</f>
        <v>-38013116.694299996</v>
      </c>
      <c r="G72" s="284">
        <f>G70+G71</f>
        <v>0</v>
      </c>
      <c r="H72" s="284">
        <f>H70+H71</f>
        <v>0</v>
      </c>
      <c r="I72" s="284">
        <f>I70+I71</f>
        <v>0</v>
      </c>
      <c r="J72" s="285">
        <f t="shared" si="7"/>
        <v>0</v>
      </c>
    </row>
    <row r="73" spans="1:10" s="3" customFormat="1">
      <c r="A73" s="8"/>
      <c r="C73" s="10">
        <f>C72+KS_TB!M444</f>
        <v>0</v>
      </c>
      <c r="D73" s="10"/>
      <c r="E73" s="10"/>
      <c r="F73" s="10">
        <f>F72-C72</f>
        <v>0</v>
      </c>
      <c r="G73" s="10"/>
      <c r="H73" s="10"/>
      <c r="I73" s="10"/>
      <c r="J73" s="10"/>
    </row>
    <row r="74" spans="1:10" s="3" customFormat="1">
      <c r="A74" s="8"/>
      <c r="C74" s="10"/>
      <c r="D74" s="10"/>
      <c r="E74" s="10"/>
      <c r="F74" s="10"/>
      <c r="G74" s="10"/>
      <c r="H74" s="10"/>
      <c r="I74" s="10"/>
      <c r="J74" s="10"/>
    </row>
    <row r="75" spans="1:10">
      <c r="B75" s="3"/>
      <c r="C75" s="10"/>
      <c r="D75" s="9"/>
      <c r="E75" s="9"/>
      <c r="F75" s="9"/>
      <c r="G75" s="10"/>
      <c r="H75" s="9"/>
      <c r="I75" s="9"/>
      <c r="J75" s="9"/>
    </row>
    <row r="76" spans="1:10">
      <c r="C76" s="9"/>
      <c r="D76" s="9"/>
      <c r="E76" s="9"/>
      <c r="F76" s="9"/>
      <c r="G76" s="9"/>
      <c r="H76" s="9"/>
      <c r="I76" s="9"/>
      <c r="J76" s="9"/>
    </row>
    <row r="77" spans="1:10">
      <c r="A77" s="104"/>
      <c r="B77" s="105" t="s">
        <v>643</v>
      </c>
      <c r="C77" s="106" t="s">
        <v>37</v>
      </c>
      <c r="D77" s="106" t="s">
        <v>38</v>
      </c>
      <c r="E77" s="106" t="s">
        <v>13</v>
      </c>
      <c r="F77" s="106" t="s">
        <v>14</v>
      </c>
      <c r="G77" s="106" t="s">
        <v>15</v>
      </c>
      <c r="H77" s="9"/>
      <c r="I77" s="9"/>
      <c r="J77" s="9"/>
    </row>
    <row r="78" spans="1:10">
      <c r="A78" s="104" t="s">
        <v>30</v>
      </c>
      <c r="B78" s="107" t="s">
        <v>28</v>
      </c>
      <c r="C78" s="57"/>
      <c r="D78" s="57"/>
      <c r="E78" s="57"/>
      <c r="F78" s="57">
        <f>IF(E78&gt;0,E78,0)</f>
        <v>0</v>
      </c>
      <c r="G78" s="57">
        <f>IF(E78&lt;0,-E78,0)</f>
        <v>0</v>
      </c>
      <c r="H78" s="9"/>
      <c r="I78" s="9"/>
      <c r="J78" s="9"/>
    </row>
    <row r="79" spans="1:10">
      <c r="A79" s="104" t="s">
        <v>31</v>
      </c>
      <c r="B79" s="107" t="s">
        <v>28</v>
      </c>
      <c r="C79" s="57"/>
      <c r="D79" s="57"/>
      <c r="E79" s="57"/>
      <c r="F79" s="57">
        <f>IF(E79&gt;0,E79,0)</f>
        <v>0</v>
      </c>
      <c r="G79" s="57">
        <f>IF(E79&lt;0,-E79,0)</f>
        <v>0</v>
      </c>
      <c r="H79" s="9"/>
      <c r="I79" s="9"/>
      <c r="J79" s="9"/>
    </row>
    <row r="80" spans="1:10">
      <c r="A80" s="104" t="s">
        <v>32</v>
      </c>
      <c r="B80" s="107" t="s">
        <v>28</v>
      </c>
      <c r="C80" s="57"/>
      <c r="D80" s="57"/>
      <c r="E80" s="57"/>
      <c r="F80" s="57">
        <f>IF(E80&gt;0,E80,0)</f>
        <v>0</v>
      </c>
      <c r="G80" s="57">
        <f>IF(E80&lt;0,-E80,0)</f>
        <v>0</v>
      </c>
      <c r="H80" s="9"/>
      <c r="I80" s="9"/>
      <c r="J80" s="9"/>
    </row>
    <row r="81" spans="1:7">
      <c r="A81" s="104"/>
      <c r="B81" s="108" t="s">
        <v>25</v>
      </c>
      <c r="C81" s="57"/>
      <c r="D81" s="57"/>
      <c r="E81" s="57">
        <f>+C81+D81</f>
        <v>0</v>
      </c>
      <c r="F81" s="58">
        <f>SUM(F78:F80)</f>
        <v>0</v>
      </c>
      <c r="G81" s="58">
        <f>SUM(G78:G80)</f>
        <v>0</v>
      </c>
    </row>
    <row r="82" spans="1:7">
      <c r="A82" s="104"/>
      <c r="B82" s="108" t="s">
        <v>39</v>
      </c>
      <c r="C82" s="57"/>
      <c r="D82" s="57"/>
      <c r="E82" s="57"/>
      <c r="F82" s="55">
        <f>+F6-F81</f>
        <v>0</v>
      </c>
      <c r="G82" s="55">
        <f>+F29-G81</f>
        <v>0</v>
      </c>
    </row>
    <row r="83" spans="1:7">
      <c r="A83" s="104"/>
      <c r="B83" s="108"/>
      <c r="C83" s="57"/>
      <c r="D83" s="57"/>
      <c r="E83" s="57"/>
      <c r="F83" s="55"/>
      <c r="G83" s="55"/>
    </row>
    <row r="84" spans="1:7">
      <c r="A84" s="104"/>
      <c r="B84" s="105" t="s">
        <v>644</v>
      </c>
      <c r="C84" s="57"/>
      <c r="D84" s="57"/>
      <c r="E84" s="57"/>
      <c r="F84" s="55"/>
      <c r="G84" s="55"/>
    </row>
    <row r="85" spans="1:7">
      <c r="A85" s="59">
        <v>1</v>
      </c>
      <c r="B85" s="107" t="s">
        <v>625</v>
      </c>
      <c r="C85" s="57"/>
      <c r="D85" s="57"/>
      <c r="E85" s="57"/>
      <c r="F85" s="57"/>
      <c r="G85" s="57"/>
    </row>
    <row r="86" spans="1:7">
      <c r="A86" s="59">
        <v>2</v>
      </c>
      <c r="B86" s="107" t="s">
        <v>626</v>
      </c>
      <c r="C86" s="57"/>
      <c r="D86" s="57"/>
      <c r="E86" s="57"/>
      <c r="F86" s="57"/>
      <c r="G86" s="57"/>
    </row>
    <row r="87" spans="1:7">
      <c r="A87" s="104"/>
      <c r="B87" s="108" t="s">
        <v>25</v>
      </c>
      <c r="C87" s="55"/>
      <c r="D87" s="55"/>
      <c r="E87" s="55"/>
      <c r="F87" s="56">
        <f>SUM(F85:F86)</f>
        <v>0</v>
      </c>
      <c r="G87" s="56">
        <f>SUM(G85:G86)</f>
        <v>0</v>
      </c>
    </row>
    <row r="88" spans="1:7">
      <c r="A88" s="104"/>
      <c r="B88" s="108" t="s">
        <v>39</v>
      </c>
      <c r="C88" s="55"/>
      <c r="D88" s="55"/>
      <c r="E88" s="55"/>
      <c r="F88" s="55">
        <f>+F5-F87</f>
        <v>0</v>
      </c>
      <c r="G88" s="55">
        <f>+G5-F28</f>
        <v>-39195247.172399998</v>
      </c>
    </row>
  </sheetData>
  <sheetCalcPr fullCalcOnLoad="1"/>
  <mergeCells count="4">
    <mergeCell ref="D1:E1"/>
    <mergeCell ref="H1:I1"/>
    <mergeCell ref="D51:E51"/>
    <mergeCell ref="H51:I51"/>
  </mergeCells>
  <hyperlinks>
    <hyperlink ref="K1" location="INDEX!A1" display="Index"/>
  </hyperlinks>
  <printOptions horizontalCentered="1" verticalCentered="1"/>
  <pageMargins left="0.74803149606299202" right="0.74803149606299202" top="0.234251969" bottom="0.25" header="0.511811023622047" footer="0.511811023622047"/>
  <pageSetup paperSize="9" scale="50" fitToHeight="0" orientation="portrait" verticalDpi="300" r:id="rId1"/>
  <headerFooter scaleWithDoc="0" alignWithMargins="0">
    <oddHeader>&amp;C&amp;"Arial,Bold"&amp;12SUMMARY OF BALANCE-SHEET AND INCOME STATEMENT  (IN ALBANIAN LEKE) &amp;R&amp;D  &amp;T</oddHeader>
    <oddFooter>&amp;L&amp;F  &amp;A&amp;C&amp;P/&amp;N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A1:K88"/>
  <sheetViews>
    <sheetView view="pageBreakPreview" topLeftCell="A39" zoomScale="90" zoomScaleSheetLayoutView="90" zoomScalePageLayoutView="70" workbookViewId="0">
      <selection activeCell="B65" sqref="B65"/>
    </sheetView>
  </sheetViews>
  <sheetFormatPr defaultRowHeight="12.75"/>
  <cols>
    <col min="1" max="1" width="5.140625" style="6" bestFit="1" customWidth="1"/>
    <col min="2" max="2" width="34" style="1" bestFit="1" customWidth="1"/>
    <col min="3" max="3" width="19.140625" style="1" bestFit="1" customWidth="1"/>
    <col min="4" max="4" width="12.85546875" style="1" bestFit="1" customWidth="1"/>
    <col min="5" max="5" width="12.85546875" style="1" customWidth="1"/>
    <col min="6" max="6" width="19.140625" style="1" bestFit="1" customWidth="1"/>
    <col min="7" max="7" width="18" style="1" bestFit="1" customWidth="1"/>
    <col min="8" max="9" width="13.5703125" style="1" bestFit="1" customWidth="1"/>
    <col min="10" max="10" width="14.140625" style="1" bestFit="1" customWidth="1"/>
    <col min="11" max="11" width="14.140625" style="1" customWidth="1"/>
    <col min="12" max="16384" width="9.140625" style="1"/>
  </cols>
  <sheetData>
    <row r="1" spans="1:11">
      <c r="B1" s="16"/>
      <c r="C1" s="13" t="s">
        <v>0</v>
      </c>
      <c r="D1" s="732" t="s">
        <v>1</v>
      </c>
      <c r="E1" s="733"/>
      <c r="F1" s="14" t="s">
        <v>13</v>
      </c>
      <c r="G1" s="13" t="s">
        <v>0</v>
      </c>
      <c r="H1" s="732" t="s">
        <v>1</v>
      </c>
      <c r="I1" s="733"/>
      <c r="J1" s="15" t="s">
        <v>13</v>
      </c>
      <c r="K1" s="100" t="s">
        <v>36</v>
      </c>
    </row>
    <row r="2" spans="1:11" s="2" customFormat="1">
      <c r="A2" s="7" t="s">
        <v>4</v>
      </c>
      <c r="B2" s="33" t="s">
        <v>628</v>
      </c>
      <c r="C2" s="18">
        <v>41274</v>
      </c>
      <c r="D2" s="19" t="s">
        <v>7</v>
      </c>
      <c r="E2" s="40" t="s">
        <v>8</v>
      </c>
      <c r="F2" s="18">
        <f>C2</f>
        <v>41274</v>
      </c>
      <c r="G2" s="18">
        <f>C2-365</f>
        <v>40909</v>
      </c>
      <c r="H2" s="19" t="s">
        <v>7</v>
      </c>
      <c r="I2" s="40" t="s">
        <v>8</v>
      </c>
      <c r="J2" s="20">
        <f>G2</f>
        <v>40909</v>
      </c>
    </row>
    <row r="3" spans="1:11" s="2" customFormat="1">
      <c r="A3" s="7"/>
      <c r="B3" s="34" t="s">
        <v>629</v>
      </c>
      <c r="C3" s="35"/>
      <c r="D3" s="36"/>
      <c r="E3" s="36"/>
      <c r="F3" s="35"/>
      <c r="G3" s="35"/>
      <c r="H3" s="36"/>
      <c r="I3" s="36"/>
      <c r="J3" s="37"/>
    </row>
    <row r="4" spans="1:11">
      <c r="A4" s="6">
        <v>1001</v>
      </c>
      <c r="B4" s="24" t="s">
        <v>579</v>
      </c>
      <c r="C4" s="25">
        <f>SUMIF(MK_TB!$A:$A,A4,MK_TB!$M:$M)</f>
        <v>2239699.2155999998</v>
      </c>
      <c r="D4" s="26">
        <v>0</v>
      </c>
      <c r="E4" s="26">
        <v>0</v>
      </c>
      <c r="F4" s="26">
        <f>+C4+D4-E4</f>
        <v>2239699.2155999998</v>
      </c>
      <c r="G4" s="26">
        <v>724819</v>
      </c>
      <c r="H4" s="26">
        <v>0</v>
      </c>
      <c r="I4" s="26">
        <v>0</v>
      </c>
      <c r="J4" s="27">
        <f>+G4+H4-I4</f>
        <v>724819</v>
      </c>
    </row>
    <row r="5" spans="1:11">
      <c r="B5" s="24" t="s">
        <v>606</v>
      </c>
      <c r="C5" s="25">
        <f>SUMIF(MK_TB!$A:$A,A5,MK_TB!$M:$M)</f>
        <v>0</v>
      </c>
      <c r="D5" s="26"/>
      <c r="E5" s="26"/>
      <c r="F5" s="26">
        <f t="shared" ref="F5:F24" si="0">+C5+D5-E5</f>
        <v>0</v>
      </c>
      <c r="G5" s="26"/>
      <c r="H5" s="26"/>
      <c r="I5" s="26"/>
      <c r="J5" s="27"/>
    </row>
    <row r="6" spans="1:11">
      <c r="B6" s="24" t="s">
        <v>607</v>
      </c>
      <c r="C6" s="25">
        <f>SUMIF(MK_TB!$A:$A,A6,MK_TB!$M:$M)</f>
        <v>0</v>
      </c>
      <c r="D6" s="26">
        <v>0</v>
      </c>
      <c r="E6" s="26">
        <v>0</v>
      </c>
      <c r="F6" s="26">
        <f t="shared" si="0"/>
        <v>0</v>
      </c>
      <c r="G6" s="26"/>
      <c r="H6" s="26"/>
      <c r="I6" s="26"/>
      <c r="J6" s="27"/>
    </row>
    <row r="7" spans="1:11">
      <c r="A7" s="6">
        <v>1004</v>
      </c>
      <c r="B7" s="24" t="s">
        <v>580</v>
      </c>
      <c r="C7" s="25">
        <f>SUMIF(MK_TB!$A:$A,A7,MK_TB!$M:$M)</f>
        <v>0</v>
      </c>
      <c r="D7" s="26">
        <v>0</v>
      </c>
      <c r="E7" s="26">
        <v>0</v>
      </c>
      <c r="F7" s="26">
        <f t="shared" si="0"/>
        <v>0</v>
      </c>
      <c r="G7" s="26"/>
      <c r="H7" s="26">
        <v>0</v>
      </c>
      <c r="I7" s="26"/>
      <c r="J7" s="27">
        <f t="shared" ref="J7:J24" si="1">+G7+H7-I7</f>
        <v>0</v>
      </c>
    </row>
    <row r="8" spans="1:11">
      <c r="A8" s="6">
        <v>1005</v>
      </c>
      <c r="B8" s="24" t="s">
        <v>581</v>
      </c>
      <c r="C8" s="25">
        <f>SUMIF(MK_TB!$A:$A,A8,MK_TB!$M:$M)</f>
        <v>59611.909500000002</v>
      </c>
      <c r="D8" s="26">
        <v>0</v>
      </c>
      <c r="E8" s="26">
        <v>0</v>
      </c>
      <c r="F8" s="26">
        <f t="shared" si="0"/>
        <v>59611.909500000002</v>
      </c>
      <c r="G8" s="26"/>
      <c r="H8" s="26">
        <v>0</v>
      </c>
      <c r="I8" s="26">
        <v>0</v>
      </c>
      <c r="J8" s="27">
        <f t="shared" si="1"/>
        <v>0</v>
      </c>
    </row>
    <row r="9" spans="1:11">
      <c r="A9" s="6">
        <v>1007</v>
      </c>
      <c r="B9" s="24" t="s">
        <v>582</v>
      </c>
      <c r="C9" s="25">
        <f>SUMIF(MK_TB!$A:$A,A9,MK_TB!$M:$M)</f>
        <v>0</v>
      </c>
      <c r="D9" s="26">
        <v>0</v>
      </c>
      <c r="E9" s="26">
        <v>0</v>
      </c>
      <c r="F9" s="26">
        <f t="shared" si="0"/>
        <v>0</v>
      </c>
      <c r="G9" s="26"/>
      <c r="H9" s="26">
        <v>0</v>
      </c>
      <c r="I9" s="26">
        <v>0</v>
      </c>
      <c r="J9" s="27">
        <f t="shared" si="1"/>
        <v>0</v>
      </c>
    </row>
    <row r="10" spans="1:11">
      <c r="A10" s="6">
        <v>1012</v>
      </c>
      <c r="B10" s="24" t="s">
        <v>627</v>
      </c>
      <c r="C10" s="25">
        <f>SUMIF(MK_TB!$A:$A,A10,MK_TB!$M:$M)</f>
        <v>0</v>
      </c>
      <c r="D10" s="26">
        <v>0</v>
      </c>
      <c r="E10" s="26">
        <v>0</v>
      </c>
      <c r="F10" s="26">
        <f t="shared" si="0"/>
        <v>0</v>
      </c>
      <c r="G10" s="26"/>
      <c r="H10" s="26">
        <v>0</v>
      </c>
      <c r="I10" s="26">
        <v>0</v>
      </c>
      <c r="J10" s="27">
        <f t="shared" si="1"/>
        <v>0</v>
      </c>
    </row>
    <row r="11" spans="1:11">
      <c r="A11" s="6">
        <v>1015</v>
      </c>
      <c r="B11" s="24" t="s">
        <v>583</v>
      </c>
      <c r="C11" s="25">
        <f>SUMIF(MK_TB!$A:$A,A11,MK_TB!$M:$M)</f>
        <v>0</v>
      </c>
      <c r="D11" s="26">
        <v>0</v>
      </c>
      <c r="E11" s="26">
        <v>0</v>
      </c>
      <c r="F11" s="26">
        <f t="shared" si="0"/>
        <v>0</v>
      </c>
      <c r="G11" s="26"/>
      <c r="H11" s="26"/>
      <c r="I11" s="26"/>
      <c r="J11" s="27">
        <f t="shared" si="1"/>
        <v>0</v>
      </c>
    </row>
    <row r="12" spans="1:11" s="3" customFormat="1" ht="15">
      <c r="A12" s="8"/>
      <c r="B12" s="38" t="s">
        <v>630</v>
      </c>
      <c r="C12" s="29">
        <f>SUM(C4:C11)</f>
        <v>2299311.1250999998</v>
      </c>
      <c r="D12" s="45">
        <v>0</v>
      </c>
      <c r="E12" s="45">
        <v>0</v>
      </c>
      <c r="F12" s="29">
        <f>SUM(F4:F11)</f>
        <v>2299311.1250999998</v>
      </c>
      <c r="G12" s="29">
        <f>SUM(G4:G11)</f>
        <v>724819</v>
      </c>
      <c r="H12" s="53">
        <f>SUM(H4:H11)</f>
        <v>0</v>
      </c>
      <c r="I12" s="53">
        <f>SUM(I4:I11)</f>
        <v>0</v>
      </c>
      <c r="J12" s="30">
        <f>SUM(J4:J11)</f>
        <v>724819</v>
      </c>
    </row>
    <row r="13" spans="1:11">
      <c r="A13" s="6">
        <v>1020</v>
      </c>
      <c r="B13" s="24" t="s">
        <v>162</v>
      </c>
      <c r="C13" s="25">
        <f>SUMIF(MK_TB!$A:$A,A13,MK_TB!$M:$M)</f>
        <v>0</v>
      </c>
      <c r="D13" s="26">
        <v>0</v>
      </c>
      <c r="E13" s="26">
        <v>0</v>
      </c>
      <c r="F13" s="26">
        <f t="shared" si="0"/>
        <v>0</v>
      </c>
      <c r="G13" s="26"/>
      <c r="H13" s="26">
        <v>0</v>
      </c>
      <c r="I13" s="26"/>
      <c r="J13" s="27">
        <f t="shared" si="1"/>
        <v>0</v>
      </c>
    </row>
    <row r="14" spans="1:11">
      <c r="A14" s="6">
        <v>1021</v>
      </c>
      <c r="B14" s="24" t="s">
        <v>584</v>
      </c>
      <c r="C14" s="25">
        <f>SUMIF(MK_TB!$A:$A,A14,MK_TB!$M:$M)</f>
        <v>0</v>
      </c>
      <c r="D14" s="26">
        <v>0</v>
      </c>
      <c r="E14" s="26">
        <v>0</v>
      </c>
      <c r="F14" s="26">
        <f t="shared" si="0"/>
        <v>0</v>
      </c>
      <c r="G14" s="26"/>
      <c r="H14" s="26"/>
      <c r="I14" s="26"/>
      <c r="J14" s="27">
        <f t="shared" si="1"/>
        <v>0</v>
      </c>
    </row>
    <row r="15" spans="1:11">
      <c r="A15" s="6">
        <v>1022</v>
      </c>
      <c r="B15" s="24" t="s">
        <v>585</v>
      </c>
      <c r="C15" s="25">
        <f>SUMIF(MK_TB!$A:$A,A15,MK_TB!$M:$M)</f>
        <v>0</v>
      </c>
      <c r="D15" s="26">
        <v>0</v>
      </c>
      <c r="E15" s="26">
        <v>0</v>
      </c>
      <c r="F15" s="26">
        <f t="shared" si="0"/>
        <v>0</v>
      </c>
      <c r="G15" s="26"/>
      <c r="H15" s="26"/>
      <c r="I15" s="26"/>
      <c r="J15" s="27">
        <f t="shared" si="1"/>
        <v>0</v>
      </c>
    </row>
    <row r="16" spans="1:11">
      <c r="A16" s="6">
        <v>1023</v>
      </c>
      <c r="B16" s="24" t="s">
        <v>586</v>
      </c>
      <c r="C16" s="25">
        <f>SUMIF(MK_TB!$A:$A,A16,MK_TB!$M:$M)</f>
        <v>0</v>
      </c>
      <c r="D16" s="26">
        <v>0</v>
      </c>
      <c r="E16" s="26">
        <v>0</v>
      </c>
      <c r="F16" s="26">
        <f t="shared" si="0"/>
        <v>0</v>
      </c>
      <c r="G16" s="26"/>
      <c r="H16" s="26"/>
      <c r="I16" s="26"/>
      <c r="J16" s="27">
        <f t="shared" si="1"/>
        <v>0</v>
      </c>
    </row>
    <row r="17" spans="1:10">
      <c r="A17" s="6">
        <v>1031</v>
      </c>
      <c r="B17" s="24" t="s">
        <v>645</v>
      </c>
      <c r="C17" s="25">
        <f>SUMIF(MK_TB!$A:$A,A17,MK_TB!$M:$M)</f>
        <v>0</v>
      </c>
      <c r="D17" s="26">
        <v>0</v>
      </c>
      <c r="E17" s="26">
        <v>0</v>
      </c>
      <c r="F17" s="26">
        <f t="shared" si="0"/>
        <v>0</v>
      </c>
      <c r="G17" s="26"/>
      <c r="H17" s="26"/>
      <c r="I17" s="26"/>
      <c r="J17" s="27">
        <f t="shared" si="1"/>
        <v>0</v>
      </c>
    </row>
    <row r="18" spans="1:10">
      <c r="A18" s="6">
        <v>1032</v>
      </c>
      <c r="B18" s="24" t="s">
        <v>646</v>
      </c>
      <c r="C18" s="25">
        <f>SUMIF(MK_TB!$A:$A,A18,MK_TB!$M:$M)</f>
        <v>0</v>
      </c>
      <c r="D18" s="26">
        <v>0</v>
      </c>
      <c r="E18" s="26">
        <v>0</v>
      </c>
      <c r="F18" s="26">
        <f t="shared" si="0"/>
        <v>0</v>
      </c>
      <c r="G18" s="26"/>
      <c r="H18" s="26"/>
      <c r="I18" s="26"/>
      <c r="J18" s="27">
        <f t="shared" si="1"/>
        <v>0</v>
      </c>
    </row>
    <row r="19" spans="1:10">
      <c r="A19" s="6">
        <v>1033</v>
      </c>
      <c r="B19" s="24" t="s">
        <v>647</v>
      </c>
      <c r="C19" s="25">
        <f>SUMIF(MK_TB!$A:$A,A19,MK_TB!$M:$M)</f>
        <v>0</v>
      </c>
      <c r="D19" s="26">
        <v>0</v>
      </c>
      <c r="E19" s="26">
        <v>0</v>
      </c>
      <c r="F19" s="26">
        <f t="shared" si="0"/>
        <v>0</v>
      </c>
      <c r="G19" s="26"/>
      <c r="H19" s="26"/>
      <c r="I19" s="26"/>
      <c r="J19" s="27">
        <f t="shared" si="1"/>
        <v>0</v>
      </c>
    </row>
    <row r="20" spans="1:10" ht="15">
      <c r="B20" s="38" t="s">
        <v>631</v>
      </c>
      <c r="C20" s="29">
        <f>SUM(C13:C19)</f>
        <v>0</v>
      </c>
      <c r="D20" s="45">
        <v>0</v>
      </c>
      <c r="E20" s="45">
        <v>0</v>
      </c>
      <c r="F20" s="29">
        <f>SUM(F13:F19)</f>
        <v>0</v>
      </c>
      <c r="G20" s="29">
        <f>SUM(G13:G19)</f>
        <v>0</v>
      </c>
      <c r="H20" s="53">
        <f>SUM(H13:H19)</f>
        <v>0</v>
      </c>
      <c r="I20" s="53">
        <f>SUM(I13:I19)</f>
        <v>0</v>
      </c>
      <c r="J20" s="30">
        <f>SUM(J13:J19)</f>
        <v>0</v>
      </c>
    </row>
    <row r="21" spans="1:10">
      <c r="A21" s="6">
        <v>1026</v>
      </c>
      <c r="B21" s="24" t="s">
        <v>587</v>
      </c>
      <c r="C21" s="25">
        <f>SUMIF(MK_TB!$A:$A,A21,MK_TB!$M:$M)</f>
        <v>0</v>
      </c>
      <c r="D21" s="26">
        <v>0</v>
      </c>
      <c r="E21" s="26">
        <v>0</v>
      </c>
      <c r="F21" s="26">
        <f t="shared" si="0"/>
        <v>0</v>
      </c>
      <c r="G21" s="26"/>
      <c r="H21" s="26"/>
      <c r="I21" s="26"/>
      <c r="J21" s="27">
        <f t="shared" si="1"/>
        <v>0</v>
      </c>
    </row>
    <row r="22" spans="1:10">
      <c r="A22" s="6">
        <v>1016</v>
      </c>
      <c r="B22" s="24" t="s">
        <v>588</v>
      </c>
      <c r="C22" s="25">
        <f>SUMIF(MK_TB!$A:$A,A22,MK_TB!$M:$M)</f>
        <v>0</v>
      </c>
      <c r="D22" s="26">
        <v>0</v>
      </c>
      <c r="E22" s="26">
        <v>0</v>
      </c>
      <c r="F22" s="26">
        <f t="shared" si="0"/>
        <v>0</v>
      </c>
      <c r="G22" s="26"/>
      <c r="H22" s="26"/>
      <c r="I22" s="26"/>
      <c r="J22" s="27">
        <f t="shared" si="1"/>
        <v>0</v>
      </c>
    </row>
    <row r="23" spans="1:10">
      <c r="A23" s="6">
        <v>1006</v>
      </c>
      <c r="B23" s="24" t="s">
        <v>589</v>
      </c>
      <c r="C23" s="25">
        <f>SUMIF(MK_TB!$A:$A,A23,MK_TB!$M:$M)</f>
        <v>0</v>
      </c>
      <c r="D23" s="26">
        <v>0</v>
      </c>
      <c r="E23" s="26">
        <v>0</v>
      </c>
      <c r="F23" s="26">
        <f t="shared" si="0"/>
        <v>0</v>
      </c>
      <c r="G23" s="26"/>
      <c r="H23" s="26"/>
      <c r="I23" s="26"/>
      <c r="J23" s="27">
        <f t="shared" si="1"/>
        <v>0</v>
      </c>
    </row>
    <row r="24" spans="1:10">
      <c r="A24" s="6">
        <v>1028</v>
      </c>
      <c r="B24" s="24" t="s">
        <v>590</v>
      </c>
      <c r="C24" s="25">
        <f>SUMIF(MK_TB!$A:$A,A24,MK_TB!$M:$M)</f>
        <v>0</v>
      </c>
      <c r="D24" s="26">
        <v>0</v>
      </c>
      <c r="E24" s="26">
        <v>0</v>
      </c>
      <c r="F24" s="26">
        <f t="shared" si="0"/>
        <v>0</v>
      </c>
      <c r="G24" s="26"/>
      <c r="H24" s="26"/>
      <c r="I24" s="26"/>
      <c r="J24" s="27">
        <f t="shared" si="1"/>
        <v>0</v>
      </c>
    </row>
    <row r="25" spans="1:10" s="3" customFormat="1" ht="15">
      <c r="A25" s="8"/>
      <c r="B25" s="38" t="s">
        <v>632</v>
      </c>
      <c r="C25" s="29">
        <f>SUM(C20:C24)</f>
        <v>0</v>
      </c>
      <c r="D25" s="46">
        <v>0</v>
      </c>
      <c r="E25" s="46">
        <v>0</v>
      </c>
      <c r="F25" s="29">
        <f>SUM(F20:F24)</f>
        <v>0</v>
      </c>
      <c r="G25" s="29">
        <f>SUM(G20:G24)</f>
        <v>0</v>
      </c>
      <c r="H25" s="53">
        <f>SUM(H20:H24)</f>
        <v>0</v>
      </c>
      <c r="I25" s="53">
        <f>SUM(I20:I24)</f>
        <v>0</v>
      </c>
      <c r="J25" s="30">
        <f>SUM(J20:J24)</f>
        <v>0</v>
      </c>
    </row>
    <row r="26" spans="1:10" s="3" customFormat="1">
      <c r="A26" s="8"/>
      <c r="B26" s="47" t="s">
        <v>638</v>
      </c>
      <c r="C26" s="48">
        <f>C12+C25</f>
        <v>2299311.1250999998</v>
      </c>
      <c r="D26" s="48">
        <f>D12+D25</f>
        <v>0</v>
      </c>
      <c r="E26" s="48">
        <f>E12+E25</f>
        <v>0</v>
      </c>
      <c r="F26" s="48">
        <f>IF(ABS((F12+F25)-(C26+D26-E26))&lt;1,F12+F25,FALSE)</f>
        <v>2299311.1250999998</v>
      </c>
      <c r="G26" s="48">
        <f>G12+G25</f>
        <v>724819</v>
      </c>
      <c r="H26" s="48">
        <f>H12+H25</f>
        <v>0</v>
      </c>
      <c r="I26" s="48">
        <f>I12+I25</f>
        <v>0</v>
      </c>
      <c r="J26" s="49">
        <f>IF(ABS((J12+J25)-(G26+H26-I26))&lt;1,J12+J25,FALSE)</f>
        <v>724819</v>
      </c>
    </row>
    <row r="27" spans="1:10">
      <c r="A27" s="6">
        <v>2002</v>
      </c>
      <c r="B27" s="24" t="s">
        <v>591</v>
      </c>
      <c r="C27" s="25">
        <f>-SUMIF(MK_TB!$A:$A,A27,MK_TB!$M:$M)</f>
        <v>0</v>
      </c>
      <c r="D27" s="26">
        <v>0</v>
      </c>
      <c r="E27" s="26">
        <v>0</v>
      </c>
      <c r="F27" s="26">
        <f>C27-D27+E27</f>
        <v>0</v>
      </c>
      <c r="G27" s="39"/>
      <c r="H27" s="26"/>
      <c r="I27" s="26"/>
      <c r="J27" s="27">
        <f t="shared" ref="J27:J33" si="2">+G27+H27-I27</f>
        <v>0</v>
      </c>
    </row>
    <row r="28" spans="1:10">
      <c r="A28" s="6">
        <v>2044</v>
      </c>
      <c r="B28" s="24" t="s">
        <v>604</v>
      </c>
      <c r="C28" s="25">
        <f>-SUMIF(MK_TB!$A:$A,A28,MK_TB!$M:$M)</f>
        <v>11443709.643299999</v>
      </c>
      <c r="D28" s="26">
        <v>0</v>
      </c>
      <c r="E28" s="26">
        <v>0</v>
      </c>
      <c r="F28" s="26">
        <f t="shared" ref="F28:F34" si="3">C28-D28+E28</f>
        <v>11443709.643299999</v>
      </c>
      <c r="G28" s="26">
        <v>9242126</v>
      </c>
      <c r="H28" s="26"/>
      <c r="I28" s="26"/>
      <c r="J28" s="27">
        <f t="shared" si="2"/>
        <v>9242126</v>
      </c>
    </row>
    <row r="29" spans="1:10">
      <c r="B29" s="24" t="s">
        <v>605</v>
      </c>
      <c r="C29" s="25">
        <f>-SUMIF(MK_TB!$A:$A,A29,MK_TB!$M:$M)</f>
        <v>0</v>
      </c>
      <c r="D29" s="26">
        <v>0</v>
      </c>
      <c r="E29" s="26">
        <v>0</v>
      </c>
      <c r="F29" s="26">
        <f t="shared" si="3"/>
        <v>0</v>
      </c>
      <c r="G29" s="26"/>
      <c r="H29" s="26"/>
      <c r="I29" s="26"/>
      <c r="J29" s="27">
        <f t="shared" si="2"/>
        <v>0</v>
      </c>
    </row>
    <row r="30" spans="1:10">
      <c r="A30" s="6">
        <v>2005</v>
      </c>
      <c r="B30" s="24" t="s">
        <v>592</v>
      </c>
      <c r="C30" s="25">
        <f>-SUMIF(MK_TB!$A:$A,A30,MK_TB!$M:$M)</f>
        <v>36412.051500000001</v>
      </c>
      <c r="D30" s="26">
        <v>0</v>
      </c>
      <c r="E30" s="26">
        <v>0</v>
      </c>
      <c r="F30" s="26">
        <f t="shared" si="3"/>
        <v>36412.051500000001</v>
      </c>
      <c r="G30" s="26">
        <v>56533</v>
      </c>
      <c r="H30" s="26"/>
      <c r="I30" s="26"/>
      <c r="J30" s="27">
        <f t="shared" si="2"/>
        <v>56533</v>
      </c>
    </row>
    <row r="31" spans="1:10">
      <c r="A31" s="6">
        <v>2006</v>
      </c>
      <c r="B31" s="24" t="s">
        <v>593</v>
      </c>
      <c r="C31" s="25">
        <f>-SUMIF(MK_TB!$A:$A,A31,MK_TB!$M:$M)</f>
        <v>0</v>
      </c>
      <c r="D31" s="26">
        <v>0</v>
      </c>
      <c r="E31" s="26">
        <v>0</v>
      </c>
      <c r="F31" s="26">
        <f t="shared" si="3"/>
        <v>0</v>
      </c>
      <c r="G31" s="26"/>
      <c r="H31" s="26"/>
      <c r="I31" s="26"/>
      <c r="J31" s="27"/>
    </row>
    <row r="32" spans="1:10">
      <c r="A32" s="6">
        <v>2007</v>
      </c>
      <c r="B32" s="24" t="s">
        <v>594</v>
      </c>
      <c r="C32" s="25">
        <f>-SUMIF(MK_TB!$A:$A,A32,MK_TB!$M:$M)</f>
        <v>0</v>
      </c>
      <c r="D32" s="26">
        <v>0</v>
      </c>
      <c r="E32" s="26">
        <v>0</v>
      </c>
      <c r="F32" s="26">
        <f t="shared" si="3"/>
        <v>0</v>
      </c>
      <c r="G32" s="26"/>
      <c r="H32" s="26"/>
      <c r="I32" s="26"/>
      <c r="J32" s="27"/>
    </row>
    <row r="33" spans="1:11">
      <c r="A33" s="6">
        <v>2009</v>
      </c>
      <c r="B33" s="24" t="s">
        <v>595</v>
      </c>
      <c r="C33" s="25">
        <f>-SUMIF(MK_TB!$A:$A,A33,MK_TB!$M:$M)</f>
        <v>0</v>
      </c>
      <c r="D33" s="26">
        <v>0</v>
      </c>
      <c r="E33" s="26">
        <v>0</v>
      </c>
      <c r="F33" s="26">
        <f t="shared" si="3"/>
        <v>0</v>
      </c>
      <c r="G33" s="26"/>
      <c r="H33" s="26"/>
      <c r="I33" s="26"/>
      <c r="J33" s="27">
        <f t="shared" si="2"/>
        <v>0</v>
      </c>
    </row>
    <row r="34" spans="1:11">
      <c r="A34" s="6">
        <v>2010</v>
      </c>
      <c r="B34" s="24" t="s">
        <v>596</v>
      </c>
      <c r="C34" s="25">
        <f>-SUMIF(MK_TB!$A:$A,A34,MK_TB!$M:$M)</f>
        <v>0</v>
      </c>
      <c r="D34" s="26">
        <v>0</v>
      </c>
      <c r="E34" s="26">
        <v>0</v>
      </c>
      <c r="F34" s="26">
        <f t="shared" si="3"/>
        <v>0</v>
      </c>
      <c r="G34" s="26"/>
      <c r="H34" s="26"/>
      <c r="I34" s="26"/>
      <c r="J34" s="27"/>
    </row>
    <row r="35" spans="1:11" s="3" customFormat="1" ht="15">
      <c r="A35" s="8"/>
      <c r="B35" s="28" t="s">
        <v>633</v>
      </c>
      <c r="C35" s="29">
        <f>SUM(C27:C34)</f>
        <v>11480121.694799999</v>
      </c>
      <c r="D35" s="45">
        <v>0</v>
      </c>
      <c r="E35" s="45">
        <v>0</v>
      </c>
      <c r="F35" s="29">
        <f>SUM(F27:F34)</f>
        <v>11480121.694799999</v>
      </c>
      <c r="G35" s="29">
        <f>SUM(G27:G33)</f>
        <v>9298659</v>
      </c>
      <c r="H35" s="53">
        <f>SUM(H27:H33)</f>
        <v>0</v>
      </c>
      <c r="I35" s="53">
        <f>SUM(I27:I33)</f>
        <v>0</v>
      </c>
      <c r="J35" s="30">
        <f>SUM(J27:J33)</f>
        <v>9298659</v>
      </c>
    </row>
    <row r="36" spans="1:11">
      <c r="A36" s="6">
        <v>2021</v>
      </c>
      <c r="B36" s="24" t="s">
        <v>597</v>
      </c>
      <c r="C36" s="25">
        <f>-SUMIF(MK_TB!$A:$A,A36,MK_TB!$M:$M)</f>
        <v>0</v>
      </c>
      <c r="D36" s="26">
        <v>0</v>
      </c>
      <c r="E36" s="26">
        <v>0</v>
      </c>
      <c r="F36" s="26">
        <f>C36-D36+E36</f>
        <v>0</v>
      </c>
      <c r="G36" s="26">
        <v>0</v>
      </c>
      <c r="H36" s="26">
        <v>0</v>
      </c>
      <c r="I36" s="26">
        <v>0</v>
      </c>
      <c r="J36" s="27">
        <f>+G36+H36-I36</f>
        <v>0</v>
      </c>
    </row>
    <row r="37" spans="1:11">
      <c r="A37" s="6">
        <v>2023</v>
      </c>
      <c r="B37" s="24" t="s">
        <v>598</v>
      </c>
      <c r="C37" s="25">
        <f>-SUMIF(MK_TB!$A:$A,A37,MK_TB!$M:$M)</f>
        <v>0</v>
      </c>
      <c r="D37" s="26">
        <v>0</v>
      </c>
      <c r="E37" s="26">
        <v>0</v>
      </c>
      <c r="F37" s="26">
        <f>C37-D37+E37</f>
        <v>0</v>
      </c>
      <c r="G37" s="26">
        <v>0</v>
      </c>
      <c r="H37" s="26">
        <v>0</v>
      </c>
      <c r="I37" s="26"/>
      <c r="J37" s="27">
        <f>+G37+H37-I37</f>
        <v>0</v>
      </c>
    </row>
    <row r="38" spans="1:11">
      <c r="A38" s="6">
        <v>2024</v>
      </c>
      <c r="B38" s="24" t="s">
        <v>599</v>
      </c>
      <c r="C38" s="25">
        <f>-SUMIF(MK_TB!$A:$A,A38,MK_TB!$M:$M)</f>
        <v>0</v>
      </c>
      <c r="D38" s="26">
        <v>0</v>
      </c>
      <c r="E38" s="26">
        <v>0</v>
      </c>
      <c r="F38" s="26">
        <f>C38-D38+E38</f>
        <v>0</v>
      </c>
      <c r="G38" s="26">
        <v>0</v>
      </c>
      <c r="H38" s="26">
        <v>0</v>
      </c>
      <c r="I38" s="26">
        <v>0</v>
      </c>
      <c r="J38" s="27">
        <f>+G38+H38-I38</f>
        <v>0</v>
      </c>
    </row>
    <row r="39" spans="1:11">
      <c r="A39" s="6">
        <v>2025</v>
      </c>
      <c r="B39" s="24" t="s">
        <v>600</v>
      </c>
      <c r="C39" s="25">
        <f>-SUMIF(MK_TB!$A:$A,A39,MK_TB!$M:$M)</f>
        <v>0</v>
      </c>
      <c r="D39" s="26">
        <v>0</v>
      </c>
      <c r="E39" s="26">
        <v>0</v>
      </c>
      <c r="F39" s="26">
        <f>C39-D39+E39</f>
        <v>0</v>
      </c>
      <c r="G39" s="26">
        <v>0</v>
      </c>
      <c r="H39" s="26">
        <v>0</v>
      </c>
      <c r="I39" s="26">
        <v>0</v>
      </c>
      <c r="J39" s="27">
        <f>+G39+H39-I39</f>
        <v>0</v>
      </c>
    </row>
    <row r="40" spans="1:11" s="3" customFormat="1" ht="15">
      <c r="A40" s="8"/>
      <c r="B40" s="28" t="s">
        <v>634</v>
      </c>
      <c r="C40" s="29">
        <f>SUM(C36:C39)</f>
        <v>0</v>
      </c>
      <c r="D40" s="45">
        <v>0</v>
      </c>
      <c r="E40" s="45">
        <v>0</v>
      </c>
      <c r="F40" s="29">
        <f>SUM(F36:F39)</f>
        <v>0</v>
      </c>
      <c r="G40" s="29">
        <f>SUM(G36:G39)</f>
        <v>0</v>
      </c>
      <c r="H40" s="53">
        <f>SUM(H36:H39)</f>
        <v>0</v>
      </c>
      <c r="I40" s="53">
        <f>SUM(I36:I39)</f>
        <v>0</v>
      </c>
      <c r="J40" s="30">
        <f>SUM(J36:J39)</f>
        <v>0</v>
      </c>
    </row>
    <row r="41" spans="1:11" s="3" customFormat="1" ht="15">
      <c r="A41" s="8"/>
      <c r="B41" s="28" t="s">
        <v>635</v>
      </c>
      <c r="C41" s="29">
        <f>C35+C40</f>
        <v>11480121.694799999</v>
      </c>
      <c r="D41" s="45">
        <v>0</v>
      </c>
      <c r="E41" s="45">
        <v>0</v>
      </c>
      <c r="F41" s="29">
        <f>F35+F40</f>
        <v>11480121.694799999</v>
      </c>
      <c r="G41" s="29">
        <f>G35+G40</f>
        <v>9298659</v>
      </c>
      <c r="H41" s="53">
        <f>H35+H40</f>
        <v>0</v>
      </c>
      <c r="I41" s="53">
        <f>I35+I40</f>
        <v>0</v>
      </c>
      <c r="J41" s="30">
        <f>J35+J40</f>
        <v>9298659</v>
      </c>
    </row>
    <row r="42" spans="1:11">
      <c r="A42" s="6">
        <v>2028</v>
      </c>
      <c r="B42" s="24" t="s">
        <v>601</v>
      </c>
      <c r="C42" s="25">
        <f>-SUMIF(MK_TB!$A:$A,A42,MK_TB!$M:$M)</f>
        <v>0</v>
      </c>
      <c r="D42" s="26">
        <v>0</v>
      </c>
      <c r="E42" s="26">
        <v>0</v>
      </c>
      <c r="F42" s="26">
        <f t="shared" ref="F42:F47" si="4">C42-D42+E42</f>
        <v>0</v>
      </c>
      <c r="G42" s="26"/>
      <c r="H42" s="26"/>
      <c r="I42" s="26"/>
      <c r="J42" s="27">
        <f t="shared" ref="J42:J47" si="5">+G42+H42-I42</f>
        <v>0</v>
      </c>
      <c r="K42" s="4"/>
    </row>
    <row r="43" spans="1:11">
      <c r="A43" s="6">
        <v>2031</v>
      </c>
      <c r="B43" s="24" t="s">
        <v>158</v>
      </c>
      <c r="C43" s="25">
        <f>-SUMIF(MK_TB!$A:$A,A43,MK_TB!$M:$M)</f>
        <v>0</v>
      </c>
      <c r="D43" s="26">
        <v>0</v>
      </c>
      <c r="E43" s="26">
        <v>0</v>
      </c>
      <c r="F43" s="26">
        <f t="shared" si="4"/>
        <v>0</v>
      </c>
      <c r="G43" s="26"/>
      <c r="H43" s="26"/>
      <c r="I43" s="26"/>
      <c r="J43" s="27"/>
      <c r="K43" s="4"/>
    </row>
    <row r="44" spans="1:11">
      <c r="A44" s="6">
        <v>2032</v>
      </c>
      <c r="B44" s="24" t="s">
        <v>20</v>
      </c>
      <c r="C44" s="25">
        <f>-SUMIF(MK_TB!$A:$A,A44,MK_TB!$M:$M)</f>
        <v>0</v>
      </c>
      <c r="D44" s="26">
        <v>0</v>
      </c>
      <c r="E44" s="26">
        <v>0</v>
      </c>
      <c r="F44" s="26">
        <f t="shared" si="4"/>
        <v>0</v>
      </c>
      <c r="G44" s="26"/>
      <c r="H44" s="26"/>
      <c r="I44" s="26"/>
      <c r="J44" s="27"/>
      <c r="K44" s="4"/>
    </row>
    <row r="45" spans="1:11">
      <c r="A45" s="6">
        <v>2033</v>
      </c>
      <c r="B45" s="24" t="s">
        <v>76</v>
      </c>
      <c r="C45" s="25">
        <f>-SUMIF(MK_TB!$A:$A,A45,MK_TB!$M:$M)</f>
        <v>0</v>
      </c>
      <c r="D45" s="26">
        <v>0</v>
      </c>
      <c r="E45" s="26">
        <v>0</v>
      </c>
      <c r="F45" s="26">
        <f t="shared" si="4"/>
        <v>0</v>
      </c>
      <c r="G45" s="26"/>
      <c r="H45" s="26"/>
      <c r="I45" s="26"/>
      <c r="J45" s="27"/>
      <c r="K45" s="4"/>
    </row>
    <row r="46" spans="1:11">
      <c r="A46" s="6">
        <v>2034</v>
      </c>
      <c r="B46" s="24" t="s">
        <v>602</v>
      </c>
      <c r="C46" s="25">
        <f>-SUMIF(MK_TB!$A:$A,A46,MK_TB!$M:$M)</f>
        <v>0</v>
      </c>
      <c r="D46" s="26">
        <v>0</v>
      </c>
      <c r="E46" s="26">
        <v>0</v>
      </c>
      <c r="F46" s="26">
        <f t="shared" si="4"/>
        <v>0</v>
      </c>
      <c r="G46" s="26"/>
      <c r="H46" s="26"/>
      <c r="I46" s="26"/>
      <c r="J46" s="27">
        <f t="shared" si="5"/>
        <v>0</v>
      </c>
      <c r="K46" s="5"/>
    </row>
    <row r="47" spans="1:11">
      <c r="B47" s="24" t="s">
        <v>603</v>
      </c>
      <c r="C47" s="26">
        <f>C72</f>
        <v>-9180810.5697000008</v>
      </c>
      <c r="D47" s="26">
        <v>0</v>
      </c>
      <c r="E47" s="26">
        <v>0</v>
      </c>
      <c r="F47" s="26">
        <f t="shared" si="4"/>
        <v>-9180810.5697000008</v>
      </c>
      <c r="G47" s="26">
        <f>-8573839</f>
        <v>-8573839</v>
      </c>
      <c r="H47" s="26"/>
      <c r="I47" s="26"/>
      <c r="J47" s="27">
        <f t="shared" si="5"/>
        <v>-8573839</v>
      </c>
    </row>
    <row r="48" spans="1:11" s="3" customFormat="1" ht="15">
      <c r="A48" s="8"/>
      <c r="B48" s="28" t="s">
        <v>636</v>
      </c>
      <c r="C48" s="29">
        <f>SUM(C42:C47)</f>
        <v>-9180810.5697000008</v>
      </c>
      <c r="D48" s="45">
        <v>0</v>
      </c>
      <c r="E48" s="45">
        <v>0</v>
      </c>
      <c r="F48" s="29">
        <f>SUM(F42:F47)</f>
        <v>-9180810.5697000008</v>
      </c>
      <c r="G48" s="29">
        <f>SUM(G42:G47)</f>
        <v>-8573839</v>
      </c>
      <c r="H48" s="53">
        <f>SUM(H42:H47)</f>
        <v>0</v>
      </c>
      <c r="I48" s="53">
        <f>SUM(I42:I47)</f>
        <v>0</v>
      </c>
      <c r="J48" s="30">
        <f>SUM(J42:J47)</f>
        <v>-8573839</v>
      </c>
    </row>
    <row r="49" spans="1:10" s="3" customFormat="1">
      <c r="A49" s="8"/>
      <c r="B49" s="50" t="s">
        <v>637</v>
      </c>
      <c r="C49" s="51">
        <f>IF(ABS(C41+C48-C26)&lt;6,C26,FALSE)</f>
        <v>2299311.1250999998</v>
      </c>
      <c r="D49" s="51">
        <f>+D48+D41+D26</f>
        <v>0</v>
      </c>
      <c r="E49" s="51">
        <f>+E48+E41+E26</f>
        <v>0</v>
      </c>
      <c r="F49" s="51">
        <f>IF(ABS(F41+F48-F26)&lt;6,F26,FALSE)</f>
        <v>2299311.1250999998</v>
      </c>
      <c r="G49" s="51">
        <f>IF(ABS(G41+G48-G26)&lt;6,G26,FALSE)</f>
        <v>724819</v>
      </c>
      <c r="H49" s="51">
        <f>+H48+H41+H26</f>
        <v>0</v>
      </c>
      <c r="I49" s="51">
        <f>+I48+I41+I26</f>
        <v>0</v>
      </c>
      <c r="J49" s="52">
        <f>IF(ABS(J41+J48-J26)&lt;6,J26,FALSE)</f>
        <v>724819</v>
      </c>
    </row>
    <row r="50" spans="1:10" s="3" customFormat="1">
      <c r="A50" s="8"/>
      <c r="B50" s="11"/>
      <c r="C50" s="44">
        <f>C35+C48-C26</f>
        <v>0</v>
      </c>
      <c r="D50" s="44"/>
      <c r="E50" s="44"/>
      <c r="F50" s="44"/>
      <c r="G50" s="44"/>
      <c r="H50" s="44"/>
      <c r="I50" s="44"/>
      <c r="J50" s="44"/>
    </row>
    <row r="51" spans="1:10" s="3" customFormat="1">
      <c r="A51" s="8"/>
      <c r="B51" s="12"/>
      <c r="C51" s="41" t="s">
        <v>0</v>
      </c>
      <c r="D51" s="732" t="s">
        <v>1</v>
      </c>
      <c r="E51" s="733"/>
      <c r="F51" s="42" t="s">
        <v>13</v>
      </c>
      <c r="G51" s="41" t="s">
        <v>0</v>
      </c>
      <c r="H51" s="732" t="s">
        <v>1</v>
      </c>
      <c r="I51" s="733"/>
      <c r="J51" s="43" t="s">
        <v>13</v>
      </c>
    </row>
    <row r="52" spans="1:10" s="3" customFormat="1">
      <c r="A52" s="8"/>
      <c r="B52" s="17" t="s">
        <v>639</v>
      </c>
      <c r="C52" s="286">
        <f>+C2</f>
        <v>41274</v>
      </c>
      <c r="D52" s="54" t="s">
        <v>7</v>
      </c>
      <c r="E52" s="54" t="s">
        <v>8</v>
      </c>
      <c r="F52" s="286">
        <f>C52</f>
        <v>41274</v>
      </c>
      <c r="G52" s="18">
        <f>G2</f>
        <v>40909</v>
      </c>
      <c r="H52" s="19" t="s">
        <v>7</v>
      </c>
      <c r="I52" s="40" t="s">
        <v>8</v>
      </c>
      <c r="J52" s="20">
        <f>G52</f>
        <v>40909</v>
      </c>
    </row>
    <row r="53" spans="1:10">
      <c r="A53" s="6">
        <v>4001</v>
      </c>
      <c r="B53" s="21" t="s">
        <v>608</v>
      </c>
      <c r="C53" s="25">
        <f>-SUMIF(MK_TB!$A:$A,A53,MK_TB!$I:$I)</f>
        <v>0</v>
      </c>
      <c r="D53" s="26">
        <v>0</v>
      </c>
      <c r="E53" s="26">
        <v>0</v>
      </c>
      <c r="F53" s="26">
        <f>C53-D53+E53</f>
        <v>0</v>
      </c>
      <c r="G53" s="22"/>
      <c r="H53" s="22">
        <v>0</v>
      </c>
      <c r="I53" s="22">
        <v>0</v>
      </c>
      <c r="J53" s="23"/>
    </row>
    <row r="54" spans="1:10">
      <c r="A54" s="6">
        <v>4002</v>
      </c>
      <c r="B54" s="24" t="s">
        <v>609</v>
      </c>
      <c r="C54" s="25">
        <f>-SUMIF(MK_TB!$A:$A,A54,MK_TB!$I:$I)</f>
        <v>0</v>
      </c>
      <c r="D54" s="26">
        <v>0</v>
      </c>
      <c r="E54" s="26">
        <v>0</v>
      </c>
      <c r="F54" s="26">
        <f>C54-D54+E54</f>
        <v>0</v>
      </c>
      <c r="G54" s="26"/>
      <c r="H54" s="26">
        <v>0</v>
      </c>
      <c r="I54" s="26">
        <v>0</v>
      </c>
      <c r="J54" s="27"/>
    </row>
    <row r="55" spans="1:10" s="3" customFormat="1">
      <c r="A55" s="8"/>
      <c r="B55" s="28" t="s">
        <v>640</v>
      </c>
      <c r="C55" s="29">
        <f>SUM(C53:C54)</f>
        <v>0</v>
      </c>
      <c r="D55" s="29">
        <v>0</v>
      </c>
      <c r="E55" s="29">
        <v>0</v>
      </c>
      <c r="F55" s="29">
        <f>SUM(F53:F54)</f>
        <v>0</v>
      </c>
      <c r="G55" s="29">
        <f>SUM(G53:G54)</f>
        <v>0</v>
      </c>
      <c r="H55" s="29">
        <f>SUM(H53:H54)</f>
        <v>0</v>
      </c>
      <c r="I55" s="29">
        <f>SUM(I53:I54)</f>
        <v>0</v>
      </c>
      <c r="J55" s="30">
        <f>SUM(J53:J54)</f>
        <v>0</v>
      </c>
    </row>
    <row r="56" spans="1:10">
      <c r="A56" s="6">
        <v>3001</v>
      </c>
      <c r="B56" s="24" t="s">
        <v>610</v>
      </c>
      <c r="C56" s="25">
        <f>-(SUMIF(MK_TB!$A:$A,A56,MK_TB!$L:$L)+SUMIF(MK_TB!$A:$A,A56,MK_TB!$M:$M))</f>
        <v>-9028495.5452999994</v>
      </c>
      <c r="D56" s="26">
        <v>0</v>
      </c>
      <c r="E56" s="26">
        <v>0</v>
      </c>
      <c r="F56" s="26">
        <f>C56-D56+E56</f>
        <v>-9028495.5452999994</v>
      </c>
      <c r="G56" s="26">
        <f>-8573839</f>
        <v>-8573839</v>
      </c>
      <c r="H56" s="26"/>
      <c r="I56" s="26"/>
      <c r="J56" s="27">
        <f>G56+H56-I56</f>
        <v>-8573839</v>
      </c>
    </row>
    <row r="57" spans="1:10">
      <c r="B57" s="24" t="s">
        <v>611</v>
      </c>
      <c r="C57" s="25">
        <f>-SUMIF(MK_TB!$A:$A,A57,MK_TB!$I:$I)</f>
        <v>0</v>
      </c>
      <c r="D57" s="26">
        <v>0</v>
      </c>
      <c r="E57" s="26">
        <v>0</v>
      </c>
      <c r="F57" s="26">
        <f>C57-D57+E57</f>
        <v>0</v>
      </c>
      <c r="G57" s="26"/>
      <c r="H57" s="26"/>
      <c r="I57" s="26"/>
      <c r="J57" s="27"/>
    </row>
    <row r="58" spans="1:10" ht="15">
      <c r="B58" s="201" t="s">
        <v>615</v>
      </c>
      <c r="C58" s="283">
        <f>SUM(C59:C60)</f>
        <v>0</v>
      </c>
      <c r="D58" s="283">
        <v>0</v>
      </c>
      <c r="E58" s="283">
        <v>0</v>
      </c>
      <c r="F58" s="283">
        <f>SUM(F59:F60)</f>
        <v>0</v>
      </c>
      <c r="G58" s="202"/>
      <c r="H58" s="202"/>
      <c r="I58" s="202"/>
      <c r="J58" s="203"/>
    </row>
    <row r="59" spans="1:10">
      <c r="A59" s="6">
        <v>3003</v>
      </c>
      <c r="B59" s="24" t="s">
        <v>612</v>
      </c>
      <c r="C59" s="25">
        <f>-(SUMIF(MK_TB!$A:$A,A59,MK_TB!$L:$L)+SUMIF(MK_TB!$A:$A,A59,MK_TB!$M:$M))</f>
        <v>0</v>
      </c>
      <c r="D59" s="26">
        <v>0</v>
      </c>
      <c r="E59" s="26">
        <v>0</v>
      </c>
      <c r="F59" s="26">
        <f>C59-D59+E59</f>
        <v>0</v>
      </c>
      <c r="G59" s="26"/>
      <c r="H59" s="26"/>
      <c r="I59" s="26"/>
      <c r="J59" s="27"/>
    </row>
    <row r="60" spans="1:10">
      <c r="A60" s="6">
        <v>3004</v>
      </c>
      <c r="B60" s="24" t="s">
        <v>613</v>
      </c>
      <c r="C60" s="25">
        <f>-(SUMIF(MK_TB!$A:$A,A60,MK_TB!$L:$L)+SUMIF(MK_TB!$A:$A,A60,MK_TB!$M:$M))</f>
        <v>0</v>
      </c>
      <c r="D60" s="26">
        <v>0</v>
      </c>
      <c r="E60" s="26">
        <v>0</v>
      </c>
      <c r="F60" s="26">
        <f>C60-D60+E60</f>
        <v>0</v>
      </c>
      <c r="G60" s="26"/>
      <c r="H60" s="26"/>
      <c r="I60" s="26"/>
      <c r="J60" s="27"/>
    </row>
    <row r="61" spans="1:10">
      <c r="A61" s="6">
        <v>3005</v>
      </c>
      <c r="B61" s="24" t="s">
        <v>614</v>
      </c>
      <c r="C61" s="25">
        <f>-(SUMIF(MK_TB!$A:$A,A61,MK_TB!$L:$L)+SUMIF(MK_TB!$A:$A,A61,MK_TB!$M:$M))</f>
        <v>0</v>
      </c>
      <c r="D61" s="26">
        <v>0</v>
      </c>
      <c r="E61" s="26">
        <v>0</v>
      </c>
      <c r="F61" s="26">
        <f>C61-D61+E61</f>
        <v>0</v>
      </c>
      <c r="G61" s="26"/>
      <c r="H61" s="26"/>
      <c r="I61" s="26"/>
      <c r="J61" s="27"/>
    </row>
    <row r="62" spans="1:10">
      <c r="A62" s="6">
        <v>3006</v>
      </c>
      <c r="B62" s="24" t="s">
        <v>616</v>
      </c>
      <c r="C62" s="25">
        <f>-(SUMIF(MK_TB!$A:$A,A62,MK_TB!$L:$L)+SUMIF(MK_TB!$A:$A,A62,MK_TB!$M:$M))</f>
        <v>0</v>
      </c>
      <c r="D62" s="26">
        <v>0</v>
      </c>
      <c r="E62" s="26">
        <v>0</v>
      </c>
      <c r="F62" s="26">
        <f>C62-D62+E62</f>
        <v>0</v>
      </c>
      <c r="G62" s="26"/>
      <c r="H62" s="26"/>
      <c r="I62" s="26"/>
      <c r="J62" s="27"/>
    </row>
    <row r="63" spans="1:10">
      <c r="A63" s="6">
        <v>3009</v>
      </c>
      <c r="B63" s="24" t="s">
        <v>617</v>
      </c>
      <c r="C63" s="25">
        <f>-(SUMIF(MK_TB!$A:$A,A63,MK_TB!$L:$L)+SUMIF(MK_TB!$A:$A,A63,MK_TB!$M:$M))+MK_TB!K433</f>
        <v>-85808.764800000004</v>
      </c>
      <c r="D63" s="26">
        <v>0</v>
      </c>
      <c r="E63" s="26">
        <v>0</v>
      </c>
      <c r="F63" s="26">
        <f>C63-D63+E63</f>
        <v>-85808.764800000004</v>
      </c>
      <c r="G63" s="26"/>
      <c r="H63" s="26"/>
      <c r="I63" s="26"/>
      <c r="J63" s="27"/>
    </row>
    <row r="64" spans="1:10" s="3" customFormat="1">
      <c r="A64" s="8"/>
      <c r="B64" s="38" t="s">
        <v>641</v>
      </c>
      <c r="C64" s="29">
        <f>SUM(C59:C63)+C56</f>
        <v>-9114304.3101000004</v>
      </c>
      <c r="D64" s="29">
        <v>0</v>
      </c>
      <c r="E64" s="29">
        <v>0</v>
      </c>
      <c r="F64" s="29">
        <f>SUM(F59:F63)+F56</f>
        <v>-9114304.3101000004</v>
      </c>
      <c r="G64" s="29">
        <f>SUM(G56:G62)</f>
        <v>-8573839</v>
      </c>
      <c r="H64" s="29">
        <f>SUM(H56:H62)</f>
        <v>0</v>
      </c>
      <c r="I64" s="29">
        <f>SUM(I56:I62)</f>
        <v>0</v>
      </c>
      <c r="J64" s="30">
        <f>SUM(J56:J62)</f>
        <v>-8573839</v>
      </c>
    </row>
    <row r="65" spans="1:10" s="3" customFormat="1">
      <c r="A65" s="6">
        <v>3010</v>
      </c>
      <c r="B65" s="24" t="s">
        <v>618</v>
      </c>
      <c r="C65" s="25">
        <f>-SUMIF(MK_TB!$A:$A,A65,MK_TB!$I:$I)</f>
        <v>0</v>
      </c>
      <c r="D65" s="29">
        <v>0</v>
      </c>
      <c r="E65" s="29">
        <v>0</v>
      </c>
      <c r="F65" s="26">
        <f t="shared" ref="F65:F70" si="6">C65-D65+E65</f>
        <v>0</v>
      </c>
      <c r="G65" s="29"/>
      <c r="H65" s="29"/>
      <c r="I65" s="29"/>
      <c r="J65" s="30"/>
    </row>
    <row r="66" spans="1:10" s="3" customFormat="1">
      <c r="A66" s="6">
        <v>3007</v>
      </c>
      <c r="B66" s="24" t="s">
        <v>619</v>
      </c>
      <c r="C66" s="25">
        <f>-(SUMIF(MK_TB!$A:$A,A66,MK_TB!$L:$L)+SUMIF(MK_TB!$A:$A,A66,MK_TB!$M:$M))</f>
        <v>0</v>
      </c>
      <c r="D66" s="29">
        <v>0</v>
      </c>
      <c r="E66" s="29">
        <v>0</v>
      </c>
      <c r="F66" s="26">
        <f t="shared" si="6"/>
        <v>0</v>
      </c>
      <c r="G66" s="29"/>
      <c r="H66" s="29"/>
      <c r="I66" s="29"/>
      <c r="J66" s="30"/>
    </row>
    <row r="67" spans="1:10" s="3" customFormat="1">
      <c r="A67" s="6">
        <v>3008</v>
      </c>
      <c r="B67" s="24" t="s">
        <v>620</v>
      </c>
      <c r="C67" s="25">
        <f>-(SUMIF(MK_TB!$A:$A,A67,MK_TB!$L:$L)+SUMIF(MK_TB!$A:$A,A67,MK_TB!$M:$M))+MK_TB!K435</f>
        <v>-21051.567899999998</v>
      </c>
      <c r="D67" s="29">
        <v>0</v>
      </c>
      <c r="E67" s="29">
        <v>0</v>
      </c>
      <c r="F67" s="26">
        <f t="shared" si="6"/>
        <v>-21051.567899999998</v>
      </c>
      <c r="G67" s="29"/>
      <c r="H67" s="29"/>
      <c r="I67" s="29"/>
      <c r="J67" s="30"/>
    </row>
    <row r="68" spans="1:10" s="3" customFormat="1">
      <c r="A68" s="6">
        <v>4003</v>
      </c>
      <c r="B68" s="24" t="s">
        <v>621</v>
      </c>
      <c r="C68" s="25"/>
      <c r="D68" s="29">
        <v>0</v>
      </c>
      <c r="E68" s="29">
        <v>0</v>
      </c>
      <c r="F68" s="26">
        <f t="shared" si="6"/>
        <v>0</v>
      </c>
      <c r="G68" s="29"/>
      <c r="H68" s="29"/>
      <c r="I68" s="29"/>
      <c r="J68" s="30"/>
    </row>
    <row r="69" spans="1:10" s="3" customFormat="1">
      <c r="A69" s="8"/>
      <c r="B69" s="28" t="s">
        <v>622</v>
      </c>
      <c r="C69" s="29">
        <f>SUM(C65:C68)</f>
        <v>-21051.567899999998</v>
      </c>
      <c r="D69" s="29">
        <v>0</v>
      </c>
      <c r="E69" s="29">
        <v>0</v>
      </c>
      <c r="F69" s="29">
        <f>SUM(F65:F68)</f>
        <v>-21051.567899999998</v>
      </c>
      <c r="G69" s="29"/>
      <c r="H69" s="29"/>
      <c r="I69" s="29"/>
      <c r="J69" s="30"/>
    </row>
    <row r="70" spans="1:10" s="3" customFormat="1">
      <c r="A70" s="8"/>
      <c r="B70" s="38" t="s">
        <v>623</v>
      </c>
      <c r="C70" s="29">
        <f>C55+C64+C69</f>
        <v>-9135355.8780000005</v>
      </c>
      <c r="D70" s="29">
        <v>0</v>
      </c>
      <c r="E70" s="29">
        <v>0</v>
      </c>
      <c r="F70" s="26">
        <f t="shared" si="6"/>
        <v>-9135355.8780000005</v>
      </c>
      <c r="G70" s="29">
        <f>G55+G64</f>
        <v>-8573839</v>
      </c>
      <c r="H70" s="29">
        <f>H55+H64</f>
        <v>0</v>
      </c>
      <c r="I70" s="29">
        <f>I55+I64</f>
        <v>0</v>
      </c>
      <c r="J70" s="30">
        <f>J55+J64</f>
        <v>-8573839</v>
      </c>
    </row>
    <row r="71" spans="1:10">
      <c r="A71" s="6">
        <v>5010</v>
      </c>
      <c r="B71" s="24" t="s">
        <v>624</v>
      </c>
      <c r="C71" s="25">
        <f>-(SUMIF(MK_TB!$A:$A,A71,MK_TB!$L:$L)+SUMIF(MK_TB!$A:$A,A71,MK_TB!$M:$M))</f>
        <v>-45454.691700000003</v>
      </c>
      <c r="D71" s="26">
        <v>0</v>
      </c>
      <c r="E71" s="26">
        <v>0</v>
      </c>
      <c r="F71" s="26">
        <f>C71-D71+E71</f>
        <v>-45454.691700000003</v>
      </c>
      <c r="G71" s="26"/>
      <c r="H71" s="26"/>
      <c r="I71" s="26"/>
      <c r="J71" s="27"/>
    </row>
    <row r="72" spans="1:10" s="3" customFormat="1" ht="15">
      <c r="A72" s="8"/>
      <c r="B72" s="31" t="s">
        <v>642</v>
      </c>
      <c r="C72" s="284">
        <f>C70+C71</f>
        <v>-9180810.5697000008</v>
      </c>
      <c r="D72" s="32">
        <v>0</v>
      </c>
      <c r="E72" s="32">
        <v>0</v>
      </c>
      <c r="F72" s="284">
        <f>F70+F71</f>
        <v>-9180810.5697000008</v>
      </c>
      <c r="G72" s="284">
        <f>G70+G71</f>
        <v>-8573839</v>
      </c>
      <c r="H72" s="284">
        <f>H70+H71</f>
        <v>0</v>
      </c>
      <c r="I72" s="284">
        <f>I70+I71</f>
        <v>0</v>
      </c>
      <c r="J72" s="285">
        <f>J70+J71</f>
        <v>-8573839</v>
      </c>
    </row>
    <row r="73" spans="1:10" s="3" customFormat="1">
      <c r="A73" s="8"/>
      <c r="C73" s="10">
        <f>C72+MK_TB!M444</f>
        <v>0</v>
      </c>
      <c r="D73" s="10"/>
      <c r="E73" s="10"/>
      <c r="F73" s="10">
        <f>F72-C72</f>
        <v>0</v>
      </c>
      <c r="G73" s="10"/>
      <c r="H73" s="10"/>
      <c r="I73" s="10"/>
      <c r="J73" s="10"/>
    </row>
    <row r="74" spans="1:10" s="3" customFormat="1">
      <c r="A74" s="8"/>
      <c r="C74" s="10">
        <f>C73/138.59</f>
        <v>0</v>
      </c>
      <c r="D74" s="10"/>
      <c r="E74" s="10"/>
      <c r="F74" s="10"/>
      <c r="G74" s="10"/>
      <c r="H74" s="10"/>
      <c r="I74" s="10"/>
      <c r="J74" s="10"/>
    </row>
    <row r="75" spans="1:10">
      <c r="B75" s="3"/>
      <c r="C75" s="10"/>
      <c r="D75" s="9"/>
      <c r="E75" s="9"/>
      <c r="F75" s="9"/>
      <c r="G75" s="10"/>
      <c r="H75" s="9"/>
      <c r="I75" s="9"/>
      <c r="J75" s="9"/>
    </row>
    <row r="76" spans="1:10">
      <c r="C76" s="9"/>
      <c r="D76" s="9"/>
      <c r="E76" s="9"/>
      <c r="F76" s="9"/>
      <c r="G76" s="9"/>
      <c r="H76" s="9"/>
      <c r="I76" s="9"/>
      <c r="J76" s="9"/>
    </row>
    <row r="77" spans="1:10">
      <c r="A77" s="104"/>
      <c r="B77" s="105" t="s">
        <v>643</v>
      </c>
      <c r="C77" s="106" t="s">
        <v>37</v>
      </c>
      <c r="D77" s="106" t="s">
        <v>38</v>
      </c>
      <c r="E77" s="106" t="s">
        <v>13</v>
      </c>
      <c r="F77" s="106" t="s">
        <v>14</v>
      </c>
      <c r="G77" s="106" t="s">
        <v>15</v>
      </c>
      <c r="H77" s="9"/>
      <c r="I77" s="9"/>
      <c r="J77" s="9"/>
    </row>
    <row r="78" spans="1:10">
      <c r="A78" s="104" t="s">
        <v>30</v>
      </c>
      <c r="B78" s="107" t="s">
        <v>28</v>
      </c>
      <c r="C78" s="57"/>
      <c r="D78" s="57"/>
      <c r="E78" s="57"/>
      <c r="F78" s="57">
        <f>IF(E78&gt;0,E78,0)</f>
        <v>0</v>
      </c>
      <c r="G78" s="57">
        <f>IF(E78&lt;0,-E78,0)</f>
        <v>0</v>
      </c>
      <c r="H78" s="9"/>
      <c r="I78" s="9"/>
      <c r="J78" s="9"/>
    </row>
    <row r="79" spans="1:10">
      <c r="A79" s="104" t="s">
        <v>31</v>
      </c>
      <c r="B79" s="107" t="s">
        <v>28</v>
      </c>
      <c r="C79" s="57"/>
      <c r="D79" s="57"/>
      <c r="E79" s="57"/>
      <c r="F79" s="57">
        <f>IF(E79&gt;0,E79,0)</f>
        <v>0</v>
      </c>
      <c r="G79" s="57">
        <f>IF(E79&lt;0,-E79,0)</f>
        <v>0</v>
      </c>
      <c r="H79" s="9"/>
      <c r="I79" s="9"/>
      <c r="J79" s="9"/>
    </row>
    <row r="80" spans="1:10">
      <c r="A80" s="104" t="s">
        <v>32</v>
      </c>
      <c r="B80" s="107" t="s">
        <v>28</v>
      </c>
      <c r="C80" s="57"/>
      <c r="D80" s="57"/>
      <c r="E80" s="57"/>
      <c r="F80" s="57">
        <f>IF(E80&gt;0,E80,0)</f>
        <v>0</v>
      </c>
      <c r="G80" s="57">
        <f>IF(E80&lt;0,-E80,0)</f>
        <v>0</v>
      </c>
      <c r="H80" s="9"/>
      <c r="I80" s="9"/>
      <c r="J80" s="9"/>
    </row>
    <row r="81" spans="1:7">
      <c r="A81" s="104"/>
      <c r="B81" s="108" t="s">
        <v>25</v>
      </c>
      <c r="C81" s="57"/>
      <c r="D81" s="57"/>
      <c r="E81" s="57">
        <f>+C81+D81</f>
        <v>0</v>
      </c>
      <c r="F81" s="58">
        <f>SUM(F78:F80)</f>
        <v>0</v>
      </c>
      <c r="G81" s="58">
        <f>SUM(G78:G80)</f>
        <v>0</v>
      </c>
    </row>
    <row r="82" spans="1:7">
      <c r="A82" s="104"/>
      <c r="B82" s="108" t="s">
        <v>39</v>
      </c>
      <c r="C82" s="57"/>
      <c r="D82" s="57"/>
      <c r="E82" s="57"/>
      <c r="F82" s="55">
        <f>+F6-F81</f>
        <v>0</v>
      </c>
      <c r="G82" s="55">
        <f>+F29-G81</f>
        <v>0</v>
      </c>
    </row>
    <row r="83" spans="1:7">
      <c r="A83" s="104"/>
      <c r="B83" s="108"/>
      <c r="C83" s="57"/>
      <c r="D83" s="57"/>
      <c r="E83" s="57"/>
      <c r="F83" s="55"/>
      <c r="G83" s="55"/>
    </row>
    <row r="84" spans="1:7">
      <c r="A84" s="104"/>
      <c r="B84" s="105" t="s">
        <v>644</v>
      </c>
      <c r="C84" s="57"/>
      <c r="D84" s="57"/>
      <c r="E84" s="57"/>
      <c r="F84" s="55"/>
      <c r="G84" s="55"/>
    </row>
    <row r="85" spans="1:7">
      <c r="A85" s="59">
        <v>1</v>
      </c>
      <c r="B85" s="107" t="s">
        <v>625</v>
      </c>
      <c r="C85" s="57"/>
      <c r="D85" s="57"/>
      <c r="E85" s="57"/>
      <c r="F85" s="57"/>
      <c r="G85" s="57"/>
    </row>
    <row r="86" spans="1:7">
      <c r="A86" s="59">
        <v>2</v>
      </c>
      <c r="B86" s="107" t="s">
        <v>626</v>
      </c>
      <c r="C86" s="57"/>
      <c r="D86" s="57"/>
      <c r="E86" s="57"/>
      <c r="F86" s="57"/>
      <c r="G86" s="57"/>
    </row>
    <row r="87" spans="1:7">
      <c r="A87" s="104"/>
      <c r="B87" s="108" t="s">
        <v>25</v>
      </c>
      <c r="C87" s="55"/>
      <c r="D87" s="55"/>
      <c r="E87" s="55"/>
      <c r="F87" s="56">
        <f>SUM(F85:F86)</f>
        <v>0</v>
      </c>
      <c r="G87" s="56">
        <f>SUM(G85:G86)</f>
        <v>0</v>
      </c>
    </row>
    <row r="88" spans="1:7">
      <c r="A88" s="104"/>
      <c r="B88" s="108" t="s">
        <v>39</v>
      </c>
      <c r="C88" s="55"/>
      <c r="D88" s="55"/>
      <c r="E88" s="55"/>
      <c r="F88" s="55">
        <f>+F5-F87</f>
        <v>0</v>
      </c>
      <c r="G88" s="55">
        <f>+G5-F28</f>
        <v>-11443709.643299999</v>
      </c>
    </row>
  </sheetData>
  <sheetCalcPr fullCalcOnLoad="1"/>
  <mergeCells count="4">
    <mergeCell ref="D1:E1"/>
    <mergeCell ref="H1:I1"/>
    <mergeCell ref="D51:E51"/>
    <mergeCell ref="H51:I51"/>
  </mergeCells>
  <hyperlinks>
    <hyperlink ref="K1" location="INDEX!A1" display="Index"/>
  </hyperlinks>
  <printOptions horizontalCentered="1" verticalCentered="1"/>
  <pageMargins left="0.74803149606299202" right="0.74803149606299202" top="0.98425196850393704" bottom="0.98425196850393704" header="0.511811023622047" footer="0.511811023622047"/>
  <pageSetup paperSize="9" scale="50" fitToHeight="0" orientation="portrait" verticalDpi="300" r:id="rId1"/>
  <headerFooter alignWithMargins="0">
    <oddHeader>&amp;L&amp;"Arial,Bold"&amp;12UNITED QUARRIES SH. P.K.&amp;C&amp;"Arial,Bold"&amp;12SUMMARY OF BALANCE-SHEET AND INCOME STATEMENT  (IN ALBANIAN LEKE) &amp;R&amp;D  &amp;T</oddHeader>
    <oddFooter>&amp;L&amp;F  &amp;A&amp;C&amp;P/&amp;N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 enableFormatConditionsCalculation="0">
    <tabColor theme="9" tint="0.59999389629810485"/>
  </sheetPr>
  <dimension ref="A1:X1033"/>
  <sheetViews>
    <sheetView zoomScale="90" zoomScaleNormal="90" workbookViewId="0">
      <pane xSplit="3" ySplit="4" topLeftCell="H41" activePane="bottomRight" state="frozen"/>
      <selection pane="topRight" activeCell="D1" sqref="D1"/>
      <selection pane="bottomLeft" activeCell="A5" sqref="A5"/>
      <selection pane="bottomRight" activeCell="N61" sqref="N61:N62"/>
    </sheetView>
  </sheetViews>
  <sheetFormatPr defaultRowHeight="12.75" outlineLevelCol="1"/>
  <cols>
    <col min="1" max="1" width="7.42578125" style="259" customWidth="1"/>
    <col min="2" max="2" width="10.7109375" style="250" customWidth="1"/>
    <col min="3" max="3" width="38.42578125" style="250" bestFit="1" customWidth="1"/>
    <col min="4" max="4" width="6.5703125" style="250" customWidth="1"/>
    <col min="5" max="5" width="22.7109375" style="250" customWidth="1" outlineLevel="1"/>
    <col min="6" max="6" width="16" style="250" customWidth="1" outlineLevel="1"/>
    <col min="7" max="7" width="17.7109375" style="250" customWidth="1" outlineLevel="1"/>
    <col min="8" max="8" width="17.28515625" style="250" customWidth="1" outlineLevel="1"/>
    <col min="9" max="10" width="19.140625" style="656" customWidth="1"/>
    <col min="11" max="11" width="17.7109375" style="718" customWidth="1"/>
    <col min="12" max="12" width="9.140625" style="250"/>
    <col min="13" max="13" width="13.5703125" style="250" bestFit="1" customWidth="1"/>
    <col min="14" max="14" width="16.28515625" style="250" bestFit="1" customWidth="1"/>
    <col min="15" max="15" width="13.42578125" style="250" bestFit="1" customWidth="1"/>
    <col min="16" max="16" width="12.28515625" style="250" bestFit="1" customWidth="1"/>
    <col min="17" max="16384" width="9.140625" style="250"/>
  </cols>
  <sheetData>
    <row r="1" spans="1:16">
      <c r="A1" s="260"/>
      <c r="B1" s="261" t="s">
        <v>154</v>
      </c>
      <c r="C1" s="262"/>
      <c r="D1" s="262"/>
      <c r="E1" s="249" t="s">
        <v>36</v>
      </c>
      <c r="F1" s="535"/>
      <c r="G1" s="535"/>
      <c r="H1" s="263"/>
      <c r="I1" s="652"/>
      <c r="J1" s="539"/>
      <c r="K1" s="713"/>
      <c r="L1" s="264"/>
    </row>
    <row r="2" spans="1:16">
      <c r="A2" s="260"/>
      <c r="B2" s="265">
        <v>41274</v>
      </c>
      <c r="C2" s="266" t="s">
        <v>12</v>
      </c>
      <c r="D2" s="266"/>
      <c r="E2" s="263"/>
      <c r="F2" s="535"/>
      <c r="G2" s="535"/>
      <c r="H2" s="263"/>
      <c r="I2" s="539"/>
      <c r="J2" s="539"/>
      <c r="K2" s="713"/>
      <c r="L2" s="264"/>
    </row>
    <row r="3" spans="1:16">
      <c r="A3" s="260"/>
      <c r="B3" s="267"/>
      <c r="C3" s="268"/>
      <c r="D3" s="269" t="s">
        <v>516</v>
      </c>
      <c r="E3" s="734" t="s">
        <v>6</v>
      </c>
      <c r="F3" s="735"/>
      <c r="G3" s="734" t="s">
        <v>10</v>
      </c>
      <c r="H3" s="735"/>
      <c r="I3" s="736" t="s">
        <v>9</v>
      </c>
      <c r="J3" s="736"/>
      <c r="K3" s="714" t="s">
        <v>663</v>
      </c>
      <c r="L3" s="251" t="s">
        <v>16</v>
      </c>
    </row>
    <row r="4" spans="1:16">
      <c r="A4" s="260" t="s">
        <v>156</v>
      </c>
      <c r="B4" s="267" t="s">
        <v>11</v>
      </c>
      <c r="C4" s="268" t="s">
        <v>5</v>
      </c>
      <c r="D4" s="268"/>
      <c r="E4" s="270" t="s">
        <v>7</v>
      </c>
      <c r="F4" s="530" t="s">
        <v>8</v>
      </c>
      <c r="G4" s="533" t="s">
        <v>7</v>
      </c>
      <c r="H4" s="530" t="s">
        <v>8</v>
      </c>
      <c r="I4" s="653" t="s">
        <v>7</v>
      </c>
      <c r="J4" s="653" t="s">
        <v>8</v>
      </c>
      <c r="K4" s="714" t="s">
        <v>37</v>
      </c>
      <c r="L4" s="251" t="s">
        <v>4</v>
      </c>
    </row>
    <row r="5" spans="1:16">
      <c r="A5" s="260">
        <v>2028</v>
      </c>
      <c r="B5" s="252">
        <v>101</v>
      </c>
      <c r="C5" s="253" t="s">
        <v>157</v>
      </c>
      <c r="D5" s="254" t="s">
        <v>511</v>
      </c>
      <c r="E5" s="255">
        <v>0</v>
      </c>
      <c r="F5" s="255">
        <v>525400000</v>
      </c>
      <c r="G5" s="255">
        <v>0</v>
      </c>
      <c r="H5" s="403">
        <v>0</v>
      </c>
      <c r="I5" s="654">
        <v>0</v>
      </c>
      <c r="J5" s="654">
        <v>525400000</v>
      </c>
      <c r="K5" s="434">
        <f>I5-J5</f>
        <v>-525400000</v>
      </c>
      <c r="L5" s="256"/>
      <c r="N5" s="257"/>
      <c r="O5" s="9"/>
      <c r="P5" s="9"/>
    </row>
    <row r="6" spans="1:16">
      <c r="A6" s="260">
        <v>2032</v>
      </c>
      <c r="B6" s="252">
        <v>1071</v>
      </c>
      <c r="C6" s="253" t="s">
        <v>20</v>
      </c>
      <c r="D6" s="254" t="s">
        <v>511</v>
      </c>
      <c r="E6" s="255">
        <v>0</v>
      </c>
      <c r="F6" s="255">
        <v>3335938</v>
      </c>
      <c r="G6" s="255">
        <v>0</v>
      </c>
      <c r="H6" s="403">
        <v>878272.05</v>
      </c>
      <c r="I6" s="654">
        <v>0</v>
      </c>
      <c r="J6" s="654">
        <v>4214210.05</v>
      </c>
      <c r="K6" s="434">
        <f t="shared" ref="K6:K69" si="0">I6-J6</f>
        <v>-4214210.05</v>
      </c>
      <c r="L6" s="256"/>
      <c r="N6" s="257"/>
      <c r="O6" s="9"/>
      <c r="P6" s="9"/>
    </row>
    <row r="7" spans="1:16">
      <c r="A7" s="260">
        <v>2031</v>
      </c>
      <c r="B7" s="252">
        <v>1073</v>
      </c>
      <c r="C7" s="253" t="s">
        <v>158</v>
      </c>
      <c r="D7" s="254" t="s">
        <v>511</v>
      </c>
      <c r="E7" s="255">
        <v>0</v>
      </c>
      <c r="F7" s="255">
        <v>23985438</v>
      </c>
      <c r="G7" s="255">
        <v>0</v>
      </c>
      <c r="H7" s="403">
        <v>0</v>
      </c>
      <c r="I7" s="654">
        <v>0</v>
      </c>
      <c r="J7" s="654">
        <v>23985438</v>
      </c>
      <c r="K7" s="434">
        <f t="shared" si="0"/>
        <v>-23985438</v>
      </c>
      <c r="L7" s="256"/>
      <c r="N7" s="257"/>
      <c r="O7" s="9"/>
      <c r="P7" s="9"/>
    </row>
    <row r="8" spans="1:16">
      <c r="A8" s="260">
        <v>2033</v>
      </c>
      <c r="B8" s="252">
        <v>1078</v>
      </c>
      <c r="C8" s="253" t="s">
        <v>76</v>
      </c>
      <c r="D8" s="254" t="s">
        <v>511</v>
      </c>
      <c r="E8" s="255">
        <v>0</v>
      </c>
      <c r="F8" s="255">
        <v>48597397</v>
      </c>
      <c r="G8" s="255">
        <v>0</v>
      </c>
      <c r="H8" s="403">
        <v>16687168.949999999</v>
      </c>
      <c r="I8" s="654">
        <v>0</v>
      </c>
      <c r="J8" s="654">
        <v>65284565.950000003</v>
      </c>
      <c r="K8" s="434">
        <f t="shared" si="0"/>
        <v>-65284565.950000003</v>
      </c>
      <c r="L8" s="256"/>
      <c r="N8" s="257"/>
      <c r="O8" s="9"/>
      <c r="P8" s="9"/>
    </row>
    <row r="9" spans="1:16">
      <c r="A9" s="260">
        <v>2034</v>
      </c>
      <c r="B9" s="252">
        <v>108</v>
      </c>
      <c r="C9" s="253" t="s">
        <v>159</v>
      </c>
      <c r="D9" s="254" t="s">
        <v>511</v>
      </c>
      <c r="E9" s="255">
        <v>0</v>
      </c>
      <c r="F9" s="255">
        <v>201240934.99000001</v>
      </c>
      <c r="G9" s="255">
        <v>0</v>
      </c>
      <c r="H9" s="403">
        <v>0</v>
      </c>
      <c r="I9" s="654">
        <v>0</v>
      </c>
      <c r="J9" s="654">
        <v>201240934.99000001</v>
      </c>
      <c r="K9" s="434">
        <f t="shared" si="0"/>
        <v>-201240934.99000001</v>
      </c>
      <c r="L9" s="256"/>
      <c r="N9" s="257"/>
      <c r="O9" s="9"/>
      <c r="P9" s="9"/>
    </row>
    <row r="10" spans="1:16">
      <c r="A10" s="260">
        <v>2034</v>
      </c>
      <c r="B10" s="252">
        <v>1081</v>
      </c>
      <c r="C10" s="253" t="s">
        <v>160</v>
      </c>
      <c r="D10" s="254" t="s">
        <v>511</v>
      </c>
      <c r="E10" s="255">
        <v>4.000000000000001E-3</v>
      </c>
      <c r="F10" s="255">
        <v>0</v>
      </c>
      <c r="G10" s="255">
        <v>0</v>
      </c>
      <c r="H10" s="403">
        <v>0</v>
      </c>
      <c r="I10" s="654">
        <v>4.000000000000001E-3</v>
      </c>
      <c r="J10" s="654">
        <v>0</v>
      </c>
      <c r="K10" s="434">
        <f t="shared" si="0"/>
        <v>4.000000000000001E-3</v>
      </c>
      <c r="L10" s="256"/>
      <c r="N10" s="257"/>
      <c r="O10" s="9"/>
      <c r="P10" s="9"/>
    </row>
    <row r="11" spans="1:16">
      <c r="A11" s="260">
        <v>2034</v>
      </c>
      <c r="B11" s="252">
        <v>109</v>
      </c>
      <c r="C11" s="253" t="s">
        <v>161</v>
      </c>
      <c r="D11" s="254" t="s">
        <v>511</v>
      </c>
      <c r="E11" s="255">
        <v>0</v>
      </c>
      <c r="F11" s="255">
        <v>17565618.990899999</v>
      </c>
      <c r="G11" s="255">
        <v>17565619</v>
      </c>
      <c r="H11" s="403">
        <v>0</v>
      </c>
      <c r="I11" s="654">
        <v>9.1000008583068843E-3</v>
      </c>
      <c r="J11" s="654">
        <v>0</v>
      </c>
      <c r="K11" s="434">
        <f t="shared" si="0"/>
        <v>9.1000008583068843E-3</v>
      </c>
      <c r="L11" s="256"/>
      <c r="N11" s="257"/>
      <c r="O11" s="9"/>
      <c r="P11" s="9"/>
    </row>
    <row r="12" spans="1:16">
      <c r="A12" s="260">
        <v>1020</v>
      </c>
      <c r="B12" s="252">
        <v>2110</v>
      </c>
      <c r="C12" s="253" t="s">
        <v>162</v>
      </c>
      <c r="D12" s="254" t="s">
        <v>511</v>
      </c>
      <c r="E12" s="255">
        <v>221369378.40000001</v>
      </c>
      <c r="F12" s="255">
        <v>0</v>
      </c>
      <c r="G12" s="255">
        <v>0</v>
      </c>
      <c r="H12" s="403">
        <v>0</v>
      </c>
      <c r="I12" s="654">
        <v>221369378.40000001</v>
      </c>
      <c r="J12" s="654">
        <v>0</v>
      </c>
      <c r="K12" s="434">
        <f t="shared" si="0"/>
        <v>221369378.40000001</v>
      </c>
      <c r="L12" s="256"/>
      <c r="N12" s="257"/>
      <c r="O12" s="9"/>
      <c r="P12" s="9"/>
    </row>
    <row r="13" spans="1:16">
      <c r="A13" s="260">
        <v>1021</v>
      </c>
      <c r="B13" s="252">
        <v>212212</v>
      </c>
      <c r="C13" s="253" t="s">
        <v>163</v>
      </c>
      <c r="D13" s="254" t="s">
        <v>511</v>
      </c>
      <c r="E13" s="255">
        <v>4338443</v>
      </c>
      <c r="F13" s="255">
        <v>0</v>
      </c>
      <c r="G13" s="255">
        <v>0</v>
      </c>
      <c r="H13" s="403">
        <v>0</v>
      </c>
      <c r="I13" s="654">
        <v>4338443</v>
      </c>
      <c r="J13" s="654">
        <v>0</v>
      </c>
      <c r="K13" s="434">
        <f t="shared" si="0"/>
        <v>4338443</v>
      </c>
      <c r="L13" s="256"/>
      <c r="N13" s="257"/>
      <c r="O13" s="9"/>
      <c r="P13" s="9"/>
    </row>
    <row r="14" spans="1:16">
      <c r="A14" s="260">
        <v>1022</v>
      </c>
      <c r="B14" s="252">
        <v>2130</v>
      </c>
      <c r="C14" s="253" t="s">
        <v>164</v>
      </c>
      <c r="D14" s="254" t="s">
        <v>511</v>
      </c>
      <c r="E14" s="255">
        <v>3.7000000000000006E-3</v>
      </c>
      <c r="F14" s="255">
        <v>0</v>
      </c>
      <c r="G14" s="255">
        <v>0</v>
      </c>
      <c r="H14" s="403">
        <v>0</v>
      </c>
      <c r="I14" s="654">
        <v>3.7000000000000006E-3</v>
      </c>
      <c r="J14" s="654">
        <v>0</v>
      </c>
      <c r="K14" s="434">
        <f t="shared" si="0"/>
        <v>3.7000000000000006E-3</v>
      </c>
      <c r="L14" s="256"/>
      <c r="N14" s="257"/>
      <c r="O14" s="9"/>
      <c r="P14" s="9"/>
    </row>
    <row r="15" spans="1:16">
      <c r="A15" s="260">
        <v>1022</v>
      </c>
      <c r="B15" s="252">
        <v>21330</v>
      </c>
      <c r="C15" s="253" t="s">
        <v>164</v>
      </c>
      <c r="D15" s="254" t="s">
        <v>511</v>
      </c>
      <c r="E15" s="255">
        <v>1091603598.082</v>
      </c>
      <c r="F15" s="255">
        <v>0</v>
      </c>
      <c r="G15" s="255">
        <v>21320745</v>
      </c>
      <c r="H15" s="403">
        <v>1353224</v>
      </c>
      <c r="I15" s="654">
        <v>1111571119.082</v>
      </c>
      <c r="J15" s="654">
        <v>0</v>
      </c>
      <c r="K15" s="434">
        <f t="shared" si="0"/>
        <v>1111571119.082</v>
      </c>
      <c r="L15" s="256"/>
      <c r="N15" s="257"/>
      <c r="O15" s="9"/>
      <c r="P15" s="9"/>
    </row>
    <row r="16" spans="1:16">
      <c r="A16" s="260">
        <v>1023</v>
      </c>
      <c r="B16" s="252">
        <v>2150</v>
      </c>
      <c r="C16" s="253" t="s">
        <v>165</v>
      </c>
      <c r="D16" s="254" t="s">
        <v>511</v>
      </c>
      <c r="E16" s="255">
        <v>131976706.53989998</v>
      </c>
      <c r="F16" s="255">
        <v>0</v>
      </c>
      <c r="G16" s="255">
        <v>5334487.7865999993</v>
      </c>
      <c r="H16" s="403">
        <v>0</v>
      </c>
      <c r="I16" s="654">
        <v>137311194.3265</v>
      </c>
      <c r="J16" s="654">
        <v>0</v>
      </c>
      <c r="K16" s="434">
        <f t="shared" si="0"/>
        <v>137311194.3265</v>
      </c>
      <c r="L16" s="256"/>
      <c r="N16" s="257"/>
      <c r="O16" s="9"/>
      <c r="P16" s="9"/>
    </row>
    <row r="17" spans="1:16">
      <c r="A17" s="260">
        <v>1023</v>
      </c>
      <c r="B17" s="252">
        <v>21810</v>
      </c>
      <c r="C17" s="253" t="s">
        <v>166</v>
      </c>
      <c r="D17" s="254" t="s">
        <v>511</v>
      </c>
      <c r="E17" s="255">
        <v>37306690.103800006</v>
      </c>
      <c r="F17" s="255">
        <v>0</v>
      </c>
      <c r="G17" s="255">
        <v>3140167.99</v>
      </c>
      <c r="H17" s="403">
        <v>0</v>
      </c>
      <c r="I17" s="654">
        <v>40446858.093800008</v>
      </c>
      <c r="J17" s="654">
        <v>0</v>
      </c>
      <c r="K17" s="434">
        <f t="shared" si="0"/>
        <v>40446858.093800008</v>
      </c>
      <c r="L17" s="256"/>
      <c r="N17" s="257"/>
      <c r="O17" s="9"/>
      <c r="P17" s="9"/>
    </row>
    <row r="18" spans="1:16">
      <c r="A18" s="260">
        <v>1023</v>
      </c>
      <c r="B18" s="252">
        <v>21820</v>
      </c>
      <c r="C18" s="253" t="s">
        <v>167</v>
      </c>
      <c r="D18" s="254" t="s">
        <v>511</v>
      </c>
      <c r="E18" s="255">
        <v>55964681.450299986</v>
      </c>
      <c r="F18" s="255">
        <v>0</v>
      </c>
      <c r="G18" s="255">
        <v>5294466.6405999996</v>
      </c>
      <c r="H18" s="403">
        <v>0</v>
      </c>
      <c r="I18" s="654">
        <v>61259148.090899989</v>
      </c>
      <c r="J18" s="654">
        <v>0</v>
      </c>
      <c r="K18" s="434">
        <f t="shared" si="0"/>
        <v>61259148.090899989</v>
      </c>
      <c r="L18" s="256"/>
      <c r="N18" s="257"/>
      <c r="O18" s="9"/>
      <c r="P18" s="9"/>
    </row>
    <row r="19" spans="1:16">
      <c r="A19" s="260">
        <v>1023</v>
      </c>
      <c r="B19" s="252">
        <v>2188</v>
      </c>
      <c r="C19" s="253" t="s">
        <v>168</v>
      </c>
      <c r="D19" s="254" t="s">
        <v>511</v>
      </c>
      <c r="E19" s="255">
        <v>5108689</v>
      </c>
      <c r="F19" s="255">
        <v>0</v>
      </c>
      <c r="G19" s="255">
        <v>2013696</v>
      </c>
      <c r="H19" s="403">
        <v>0</v>
      </c>
      <c r="I19" s="654">
        <v>7122385</v>
      </c>
      <c r="J19" s="654">
        <v>0</v>
      </c>
      <c r="K19" s="434">
        <f t="shared" si="0"/>
        <v>7122385</v>
      </c>
      <c r="L19" s="256"/>
      <c r="N19" s="257"/>
      <c r="O19" s="9"/>
      <c r="P19" s="9"/>
    </row>
    <row r="20" spans="1:16">
      <c r="A20" s="260">
        <v>1026</v>
      </c>
      <c r="B20" s="252">
        <v>21880</v>
      </c>
      <c r="C20" s="253" t="s">
        <v>169</v>
      </c>
      <c r="D20" s="254" t="s">
        <v>511</v>
      </c>
      <c r="E20" s="255">
        <v>48782</v>
      </c>
      <c r="F20" s="255">
        <v>0</v>
      </c>
      <c r="G20" s="255">
        <v>0</v>
      </c>
      <c r="H20" s="403">
        <v>0</v>
      </c>
      <c r="I20" s="654">
        <v>48782</v>
      </c>
      <c r="J20" s="654">
        <v>0</v>
      </c>
      <c r="K20" s="434">
        <f t="shared" si="0"/>
        <v>48782</v>
      </c>
      <c r="L20" s="256"/>
      <c r="N20" s="257"/>
      <c r="O20" s="9"/>
      <c r="P20" s="9"/>
    </row>
    <row r="21" spans="1:16">
      <c r="A21" s="260">
        <v>1023</v>
      </c>
      <c r="B21" s="252">
        <v>21881</v>
      </c>
      <c r="C21" s="253" t="s">
        <v>170</v>
      </c>
      <c r="D21" s="254" t="s">
        <v>511</v>
      </c>
      <c r="E21" s="255">
        <v>14451254</v>
      </c>
      <c r="F21" s="255">
        <v>0</v>
      </c>
      <c r="G21" s="255">
        <v>0</v>
      </c>
      <c r="H21" s="403">
        <v>0</v>
      </c>
      <c r="I21" s="654">
        <v>14451254</v>
      </c>
      <c r="J21" s="654">
        <v>0</v>
      </c>
      <c r="K21" s="434">
        <f t="shared" si="0"/>
        <v>14451254</v>
      </c>
      <c r="L21" s="256"/>
      <c r="N21" s="257"/>
      <c r="O21" s="9"/>
      <c r="P21" s="9"/>
    </row>
    <row r="22" spans="1:16">
      <c r="A22" s="260">
        <v>1028</v>
      </c>
      <c r="B22" s="252">
        <v>231</v>
      </c>
      <c r="C22" s="253" t="s">
        <v>171</v>
      </c>
      <c r="D22" s="254" t="s">
        <v>511</v>
      </c>
      <c r="E22" s="255">
        <v>429067743.1031</v>
      </c>
      <c r="F22" s="255">
        <v>0</v>
      </c>
      <c r="G22" s="255">
        <v>414491911.3114</v>
      </c>
      <c r="H22" s="403">
        <v>38536984.969799995</v>
      </c>
      <c r="I22" s="654">
        <v>805022669.44470012</v>
      </c>
      <c r="J22" s="654">
        <v>0</v>
      </c>
      <c r="K22" s="434">
        <f t="shared" si="0"/>
        <v>805022669.44470012</v>
      </c>
      <c r="L22" s="256"/>
      <c r="N22" s="257"/>
      <c r="O22" s="9"/>
      <c r="P22" s="9"/>
    </row>
    <row r="23" spans="1:16">
      <c r="A23" s="260">
        <v>1028</v>
      </c>
      <c r="B23" s="252">
        <v>2310</v>
      </c>
      <c r="C23" s="253" t="s">
        <v>1007</v>
      </c>
      <c r="D23" s="254"/>
      <c r="E23" s="255">
        <v>0</v>
      </c>
      <c r="F23" s="255">
        <v>0</v>
      </c>
      <c r="G23" s="255">
        <v>57234912.781599998</v>
      </c>
      <c r="H23" s="403">
        <v>0</v>
      </c>
      <c r="I23" s="654">
        <v>57234912.781599998</v>
      </c>
      <c r="J23" s="654">
        <v>0</v>
      </c>
      <c r="K23" s="434">
        <f t="shared" si="0"/>
        <v>57234912.781599998</v>
      </c>
      <c r="L23" s="256"/>
      <c r="N23" s="257"/>
      <c r="O23" s="9"/>
      <c r="P23" s="9"/>
    </row>
    <row r="24" spans="1:16">
      <c r="A24" s="260">
        <v>1028</v>
      </c>
      <c r="B24" s="252">
        <v>232</v>
      </c>
      <c r="C24" s="253" t="s">
        <v>172</v>
      </c>
      <c r="D24" s="254" t="s">
        <v>511</v>
      </c>
      <c r="E24" s="255">
        <v>0</v>
      </c>
      <c r="F24" s="255">
        <v>2.0000000000000005E-3</v>
      </c>
      <c r="G24" s="255">
        <v>0</v>
      </c>
      <c r="H24" s="403">
        <v>0</v>
      </c>
      <c r="I24" s="654">
        <v>0</v>
      </c>
      <c r="J24" s="654">
        <v>2.0000000000000005E-3</v>
      </c>
      <c r="K24" s="434">
        <f t="shared" si="0"/>
        <v>-2.0000000000000005E-3</v>
      </c>
      <c r="L24" s="256"/>
      <c r="N24" s="257"/>
      <c r="O24" s="9"/>
      <c r="P24" s="9"/>
    </row>
    <row r="25" spans="1:16">
      <c r="A25" s="260">
        <v>1005</v>
      </c>
      <c r="B25" s="252">
        <v>265</v>
      </c>
      <c r="C25" s="253" t="s">
        <v>180</v>
      </c>
      <c r="D25" s="254" t="s">
        <v>511</v>
      </c>
      <c r="E25" s="255">
        <v>3360480</v>
      </c>
      <c r="F25" s="255">
        <v>0</v>
      </c>
      <c r="G25" s="255">
        <v>0</v>
      </c>
      <c r="H25" s="403">
        <v>0</v>
      </c>
      <c r="I25" s="654">
        <v>3360480</v>
      </c>
      <c r="J25" s="654">
        <v>0</v>
      </c>
      <c r="K25" s="434">
        <f t="shared" si="0"/>
        <v>3360480</v>
      </c>
      <c r="L25" s="256">
        <v>2025</v>
      </c>
      <c r="N25" s="257"/>
      <c r="O25" s="9"/>
      <c r="P25" s="9"/>
    </row>
    <row r="26" spans="1:16">
      <c r="A26" s="260">
        <v>1026</v>
      </c>
      <c r="B26" s="252">
        <v>2808</v>
      </c>
      <c r="C26" s="253" t="s">
        <v>876</v>
      </c>
      <c r="D26" s="254" t="s">
        <v>511</v>
      </c>
      <c r="E26" s="255">
        <v>0</v>
      </c>
      <c r="F26" s="255">
        <v>1220</v>
      </c>
      <c r="G26" s="255">
        <v>0</v>
      </c>
      <c r="H26" s="403">
        <v>7134</v>
      </c>
      <c r="I26" s="654">
        <v>0</v>
      </c>
      <c r="J26" s="654">
        <v>8354</v>
      </c>
      <c r="K26" s="434">
        <f t="shared" si="0"/>
        <v>-8354</v>
      </c>
      <c r="L26" s="256"/>
      <c r="N26" s="257"/>
      <c r="O26" s="9"/>
      <c r="P26" s="9"/>
    </row>
    <row r="27" spans="1:16">
      <c r="A27" s="260">
        <v>1031</v>
      </c>
      <c r="B27" s="252">
        <v>2812125</v>
      </c>
      <c r="C27" s="253" t="s">
        <v>173</v>
      </c>
      <c r="D27" s="254" t="s">
        <v>511</v>
      </c>
      <c r="E27" s="255">
        <v>0</v>
      </c>
      <c r="F27" s="255">
        <v>1324542.1100000001</v>
      </c>
      <c r="G27" s="255">
        <v>0</v>
      </c>
      <c r="H27" s="403">
        <v>150693</v>
      </c>
      <c r="I27" s="654">
        <v>0</v>
      </c>
      <c r="J27" s="654">
        <v>1475235.11</v>
      </c>
      <c r="K27" s="434">
        <f t="shared" si="0"/>
        <v>-1475235.11</v>
      </c>
      <c r="L27" s="256"/>
      <c r="N27" s="257"/>
      <c r="O27" s="9"/>
      <c r="P27" s="9"/>
    </row>
    <row r="28" spans="1:16">
      <c r="A28" s="260">
        <v>1032</v>
      </c>
      <c r="B28" s="252">
        <v>281213</v>
      </c>
      <c r="C28" s="253" t="s">
        <v>174</v>
      </c>
      <c r="D28" s="254" t="s">
        <v>511</v>
      </c>
      <c r="E28" s="255">
        <v>0</v>
      </c>
      <c r="F28" s="255">
        <v>618027537.71000004</v>
      </c>
      <c r="G28" s="255">
        <v>1217004</v>
      </c>
      <c r="H28" s="403">
        <v>97995245</v>
      </c>
      <c r="I28" s="654">
        <v>0</v>
      </c>
      <c r="J28" s="654">
        <v>714805778.71000004</v>
      </c>
      <c r="K28" s="434">
        <f t="shared" si="0"/>
        <v>-714805778.71000004</v>
      </c>
      <c r="L28" s="256"/>
      <c r="N28" s="257"/>
      <c r="O28" s="9"/>
      <c r="P28" s="9"/>
    </row>
    <row r="29" spans="1:16">
      <c r="A29" s="260">
        <v>1032</v>
      </c>
      <c r="B29" s="252">
        <v>281330</v>
      </c>
      <c r="C29" s="253" t="s">
        <v>517</v>
      </c>
      <c r="D29" s="254"/>
      <c r="E29" s="255">
        <v>4.000000000000001E-3</v>
      </c>
      <c r="F29" s="255">
        <v>0</v>
      </c>
      <c r="G29" s="255">
        <v>0</v>
      </c>
      <c r="H29" s="403">
        <v>0</v>
      </c>
      <c r="I29" s="654">
        <v>4.000000000000001E-3</v>
      </c>
      <c r="J29" s="654">
        <v>0</v>
      </c>
      <c r="K29" s="434">
        <f t="shared" si="0"/>
        <v>4.000000000000001E-3</v>
      </c>
      <c r="L29" s="256"/>
      <c r="N29" s="257"/>
      <c r="O29" s="9"/>
      <c r="P29" s="9"/>
    </row>
    <row r="30" spans="1:16">
      <c r="A30" s="260">
        <v>1033</v>
      </c>
      <c r="B30" s="252">
        <v>281215</v>
      </c>
      <c r="C30" s="253" t="s">
        <v>175</v>
      </c>
      <c r="D30" s="254" t="s">
        <v>511</v>
      </c>
      <c r="E30" s="255">
        <v>0</v>
      </c>
      <c r="F30" s="255">
        <v>75836162.400000006</v>
      </c>
      <c r="G30" s="255">
        <v>0</v>
      </c>
      <c r="H30" s="403">
        <v>12128015</v>
      </c>
      <c r="I30" s="654">
        <v>0</v>
      </c>
      <c r="J30" s="654">
        <v>87964177.400000006</v>
      </c>
      <c r="K30" s="434">
        <f t="shared" si="0"/>
        <v>-87964177.400000006</v>
      </c>
      <c r="L30" s="256"/>
      <c r="N30" s="257"/>
      <c r="O30" s="9"/>
      <c r="P30" s="9"/>
    </row>
    <row r="31" spans="1:16">
      <c r="A31" s="260">
        <v>1033</v>
      </c>
      <c r="B31" s="252">
        <v>2812181</v>
      </c>
      <c r="C31" s="253" t="s">
        <v>176</v>
      </c>
      <c r="D31" s="254" t="s">
        <v>511</v>
      </c>
      <c r="E31" s="255">
        <v>0</v>
      </c>
      <c r="F31" s="255">
        <v>23017594.940000001</v>
      </c>
      <c r="G31" s="255">
        <v>0</v>
      </c>
      <c r="H31" s="403">
        <v>3114397</v>
      </c>
      <c r="I31" s="654">
        <v>0</v>
      </c>
      <c r="J31" s="654">
        <v>26131991.940000001</v>
      </c>
      <c r="K31" s="434">
        <f t="shared" si="0"/>
        <v>-26131991.940000001</v>
      </c>
      <c r="L31" s="256"/>
      <c r="N31" s="257"/>
      <c r="O31" s="9"/>
      <c r="P31" s="9"/>
    </row>
    <row r="32" spans="1:16">
      <c r="A32" s="260">
        <v>1033</v>
      </c>
      <c r="B32" s="252">
        <v>2812182</v>
      </c>
      <c r="C32" s="253" t="s">
        <v>177</v>
      </c>
      <c r="D32" s="254" t="s">
        <v>511</v>
      </c>
      <c r="E32" s="255">
        <v>0</v>
      </c>
      <c r="F32" s="255">
        <v>37087502.719999999</v>
      </c>
      <c r="G32" s="255">
        <v>0</v>
      </c>
      <c r="H32" s="403">
        <v>5393973</v>
      </c>
      <c r="I32" s="654">
        <v>0</v>
      </c>
      <c r="J32" s="654">
        <v>42481475.719999999</v>
      </c>
      <c r="K32" s="434">
        <f t="shared" si="0"/>
        <v>-42481475.719999999</v>
      </c>
      <c r="L32" s="256"/>
      <c r="N32" s="257"/>
      <c r="O32" s="9"/>
      <c r="P32" s="9"/>
    </row>
    <row r="33" spans="1:16">
      <c r="A33" s="260">
        <v>1033</v>
      </c>
      <c r="B33" s="252">
        <v>281820</v>
      </c>
      <c r="C33" s="253" t="s">
        <v>167</v>
      </c>
      <c r="D33" s="254"/>
      <c r="E33" s="255">
        <v>0</v>
      </c>
      <c r="F33" s="255">
        <v>0</v>
      </c>
      <c r="G33" s="255">
        <v>0</v>
      </c>
      <c r="H33" s="403">
        <v>0</v>
      </c>
      <c r="I33" s="654">
        <v>0</v>
      </c>
      <c r="J33" s="654">
        <v>0</v>
      </c>
      <c r="K33" s="434">
        <f t="shared" si="0"/>
        <v>0</v>
      </c>
      <c r="L33" s="256"/>
      <c r="N33" s="257"/>
      <c r="O33" s="9"/>
      <c r="P33" s="9"/>
    </row>
    <row r="34" spans="1:16">
      <c r="A34" s="260">
        <v>1033</v>
      </c>
      <c r="B34" s="252">
        <v>2818</v>
      </c>
      <c r="C34" s="253" t="s">
        <v>178</v>
      </c>
      <c r="D34" s="254" t="s">
        <v>511</v>
      </c>
      <c r="E34" s="255">
        <v>0</v>
      </c>
      <c r="F34" s="255">
        <v>15208927.83</v>
      </c>
      <c r="G34" s="255">
        <v>0</v>
      </c>
      <c r="H34" s="403">
        <v>937318</v>
      </c>
      <c r="I34" s="654">
        <v>0</v>
      </c>
      <c r="J34" s="654">
        <v>16146245.83</v>
      </c>
      <c r="K34" s="434">
        <f t="shared" si="0"/>
        <v>-16146245.83</v>
      </c>
      <c r="L34" s="256"/>
      <c r="N34" s="257"/>
      <c r="O34" s="9"/>
      <c r="P34" s="9"/>
    </row>
    <row r="35" spans="1:16">
      <c r="A35" s="260">
        <v>1033</v>
      </c>
      <c r="B35" s="252">
        <v>281880</v>
      </c>
      <c r="C35" s="253" t="s">
        <v>179</v>
      </c>
      <c r="D35" s="254" t="s">
        <v>511</v>
      </c>
      <c r="E35" s="255">
        <v>0</v>
      </c>
      <c r="F35" s="255">
        <v>0</v>
      </c>
      <c r="G35" s="255">
        <v>0</v>
      </c>
      <c r="H35" s="403">
        <v>0</v>
      </c>
      <c r="I35" s="654">
        <v>0</v>
      </c>
      <c r="J35" s="654">
        <v>0</v>
      </c>
      <c r="K35" s="434">
        <f t="shared" si="0"/>
        <v>0</v>
      </c>
      <c r="L35" s="256"/>
      <c r="N35" s="257"/>
      <c r="O35" s="9"/>
      <c r="P35" s="9"/>
    </row>
    <row r="36" spans="1:16">
      <c r="A36" s="260">
        <v>1005</v>
      </c>
      <c r="B36" s="252">
        <v>2660</v>
      </c>
      <c r="C36" s="253" t="s">
        <v>181</v>
      </c>
      <c r="D36" s="254" t="s">
        <v>511</v>
      </c>
      <c r="E36" s="255">
        <v>0</v>
      </c>
      <c r="F36" s="255">
        <v>0</v>
      </c>
      <c r="G36" s="255">
        <v>0</v>
      </c>
      <c r="H36" s="403">
        <v>0</v>
      </c>
      <c r="I36" s="654">
        <v>0</v>
      </c>
      <c r="J36" s="654">
        <v>0</v>
      </c>
      <c r="K36" s="434">
        <f t="shared" si="0"/>
        <v>0</v>
      </c>
      <c r="L36" s="256"/>
      <c r="N36" s="257"/>
      <c r="O36" s="9"/>
      <c r="P36" s="9"/>
    </row>
    <row r="37" spans="1:16">
      <c r="A37" s="260">
        <v>1007</v>
      </c>
      <c r="B37" s="252">
        <v>3123</v>
      </c>
      <c r="C37" s="253" t="s">
        <v>182</v>
      </c>
      <c r="D37" s="254" t="s">
        <v>511</v>
      </c>
      <c r="E37" s="255">
        <v>0</v>
      </c>
      <c r="F37" s="255">
        <v>4.3999999999999994E-3</v>
      </c>
      <c r="G37" s="255">
        <v>0</v>
      </c>
      <c r="H37" s="403">
        <v>0</v>
      </c>
      <c r="I37" s="654">
        <v>0</v>
      </c>
      <c r="J37" s="654">
        <v>4.3999999999999994E-3</v>
      </c>
      <c r="K37" s="434">
        <f t="shared" si="0"/>
        <v>-4.3999999999999994E-3</v>
      </c>
      <c r="L37" s="256"/>
      <c r="N37" s="257"/>
      <c r="O37" s="9"/>
      <c r="P37" s="9"/>
    </row>
    <row r="38" spans="1:16">
      <c r="A38" s="260">
        <v>1007</v>
      </c>
      <c r="B38" s="252">
        <v>327</v>
      </c>
      <c r="C38" s="253" t="s">
        <v>183</v>
      </c>
      <c r="D38" s="254" t="s">
        <v>511</v>
      </c>
      <c r="E38" s="255">
        <v>0</v>
      </c>
      <c r="F38" s="255">
        <v>1.5E-3</v>
      </c>
      <c r="G38" s="255">
        <v>0</v>
      </c>
      <c r="H38" s="403">
        <v>0</v>
      </c>
      <c r="I38" s="654">
        <v>0</v>
      </c>
      <c r="J38" s="654">
        <v>1.5E-3</v>
      </c>
      <c r="K38" s="434">
        <f t="shared" si="0"/>
        <v>-1.5E-3</v>
      </c>
      <c r="L38" s="256"/>
      <c r="N38" s="257"/>
      <c r="O38" s="9"/>
      <c r="P38" s="9"/>
    </row>
    <row r="39" spans="1:16">
      <c r="A39" s="260">
        <v>1007</v>
      </c>
      <c r="B39" s="252">
        <v>35</v>
      </c>
      <c r="C39" s="253" t="s">
        <v>184</v>
      </c>
      <c r="D39" s="254" t="s">
        <v>511</v>
      </c>
      <c r="E39" s="255">
        <v>1029177.4564999997</v>
      </c>
      <c r="F39" s="255">
        <v>0</v>
      </c>
      <c r="G39" s="255">
        <v>1189772.8</v>
      </c>
      <c r="H39" s="403">
        <v>308968.91149999999</v>
      </c>
      <c r="I39" s="654">
        <v>1909981.3449999997</v>
      </c>
      <c r="J39" s="654">
        <v>0</v>
      </c>
      <c r="K39" s="434">
        <f t="shared" si="0"/>
        <v>1909981.3449999997</v>
      </c>
      <c r="L39" s="256">
        <v>2032</v>
      </c>
      <c r="N39" s="257"/>
      <c r="O39" s="9"/>
      <c r="P39" s="9"/>
    </row>
    <row r="40" spans="1:16">
      <c r="A40" s="260">
        <v>1007</v>
      </c>
      <c r="B40" s="252">
        <v>375</v>
      </c>
      <c r="C40" s="253" t="s">
        <v>1008</v>
      </c>
      <c r="D40" s="254" t="s">
        <v>511</v>
      </c>
      <c r="E40" s="255">
        <v>0</v>
      </c>
      <c r="F40" s="255">
        <v>0</v>
      </c>
      <c r="G40" s="255">
        <v>1077940.3700000001</v>
      </c>
      <c r="H40" s="403">
        <v>1077940.3700000001</v>
      </c>
      <c r="I40" s="654">
        <v>0</v>
      </c>
      <c r="J40" s="654">
        <v>0</v>
      </c>
      <c r="K40" s="434">
        <f t="shared" si="0"/>
        <v>0</v>
      </c>
      <c r="L40" s="256"/>
      <c r="N40" s="257"/>
      <c r="O40" s="9"/>
      <c r="P40" s="9"/>
    </row>
    <row r="41" spans="1:16">
      <c r="A41" s="260">
        <v>2005</v>
      </c>
      <c r="B41" s="252">
        <v>40111</v>
      </c>
      <c r="C41" s="253" t="s">
        <v>185</v>
      </c>
      <c r="D41" s="254" t="s">
        <v>511</v>
      </c>
      <c r="E41" s="255">
        <v>0</v>
      </c>
      <c r="F41" s="255">
        <v>0</v>
      </c>
      <c r="G41" s="255">
        <v>0</v>
      </c>
      <c r="H41" s="403">
        <v>0</v>
      </c>
      <c r="I41" s="654">
        <v>0</v>
      </c>
      <c r="J41" s="654">
        <v>0</v>
      </c>
      <c r="K41" s="434">
        <f t="shared" si="0"/>
        <v>0</v>
      </c>
      <c r="L41" s="256">
        <v>3001</v>
      </c>
      <c r="N41" s="257"/>
      <c r="O41" s="9"/>
      <c r="P41" s="9"/>
    </row>
    <row r="42" spans="1:16">
      <c r="A42" s="260">
        <v>2005</v>
      </c>
      <c r="B42" s="252">
        <v>40112</v>
      </c>
      <c r="C42" s="253" t="s">
        <v>186</v>
      </c>
      <c r="D42" s="254" t="s">
        <v>512</v>
      </c>
      <c r="E42" s="255">
        <v>0</v>
      </c>
      <c r="F42" s="255">
        <v>4401544.2215999998</v>
      </c>
      <c r="G42" s="255">
        <v>34331905.950800002</v>
      </c>
      <c r="H42" s="403">
        <v>35808404.587700002</v>
      </c>
      <c r="I42" s="654">
        <v>0</v>
      </c>
      <c r="J42" s="654">
        <v>5878042.8585000038</v>
      </c>
      <c r="K42" s="434">
        <f t="shared" si="0"/>
        <v>-5878042.8585000038</v>
      </c>
      <c r="L42" s="256">
        <v>3001</v>
      </c>
      <c r="N42" s="257"/>
      <c r="O42" s="9"/>
      <c r="P42" s="9"/>
    </row>
    <row r="43" spans="1:16">
      <c r="A43" s="260">
        <v>2005</v>
      </c>
      <c r="B43" s="252">
        <v>40113</v>
      </c>
      <c r="C43" s="253" t="s">
        <v>187</v>
      </c>
      <c r="D43" s="254" t="s">
        <v>513</v>
      </c>
      <c r="E43" s="255">
        <v>0</v>
      </c>
      <c r="F43" s="255">
        <v>9194914.3309000004</v>
      </c>
      <c r="G43" s="255">
        <v>23759824.417999998</v>
      </c>
      <c r="H43" s="403">
        <v>18779340.7608</v>
      </c>
      <c r="I43" s="654">
        <v>0</v>
      </c>
      <c r="J43" s="654">
        <v>4214430.6737000085</v>
      </c>
      <c r="K43" s="434">
        <f t="shared" si="0"/>
        <v>-4214430.6737000085</v>
      </c>
      <c r="L43" s="256">
        <v>3001</v>
      </c>
      <c r="N43" s="257"/>
      <c r="O43" s="9"/>
      <c r="P43" s="9"/>
    </row>
    <row r="44" spans="1:16">
      <c r="A44" s="260">
        <v>2005</v>
      </c>
      <c r="B44" s="252">
        <v>40114</v>
      </c>
      <c r="C44" s="253" t="s">
        <v>188</v>
      </c>
      <c r="D44" s="254" t="s">
        <v>514</v>
      </c>
      <c r="E44" s="255">
        <v>1.5499999999999998E-2</v>
      </c>
      <c r="F44" s="255">
        <v>0</v>
      </c>
      <c r="G44" s="255">
        <v>0</v>
      </c>
      <c r="H44" s="403">
        <v>0</v>
      </c>
      <c r="I44" s="654">
        <v>1.5499999999999998E-2</v>
      </c>
      <c r="J44" s="654">
        <v>0</v>
      </c>
      <c r="K44" s="434">
        <f t="shared" si="0"/>
        <v>1.5499999999999998E-2</v>
      </c>
      <c r="L44" s="256">
        <v>3001</v>
      </c>
      <c r="N44" s="257"/>
      <c r="O44" s="9"/>
      <c r="P44" s="9"/>
    </row>
    <row r="45" spans="1:16">
      <c r="A45" s="260">
        <v>2005</v>
      </c>
      <c r="B45" s="252">
        <v>40121</v>
      </c>
      <c r="C45" s="253" t="s">
        <v>189</v>
      </c>
      <c r="D45" s="254" t="s">
        <v>511</v>
      </c>
      <c r="E45" s="255">
        <v>0</v>
      </c>
      <c r="F45" s="255">
        <v>90608161.354800016</v>
      </c>
      <c r="G45" s="255">
        <v>226211414.56</v>
      </c>
      <c r="H45" s="403">
        <v>289630832.32630002</v>
      </c>
      <c r="I45" s="654">
        <v>0</v>
      </c>
      <c r="J45" s="654">
        <v>154027579.12110007</v>
      </c>
      <c r="K45" s="434">
        <f t="shared" si="0"/>
        <v>-154027579.12110007</v>
      </c>
      <c r="L45" s="256">
        <v>3001</v>
      </c>
      <c r="N45" s="257"/>
      <c r="O45" s="9"/>
      <c r="P45" s="9"/>
    </row>
    <row r="46" spans="1:16">
      <c r="A46" s="260">
        <v>2005</v>
      </c>
      <c r="B46" s="252">
        <v>401210</v>
      </c>
      <c r="C46" s="253" t="s">
        <v>190</v>
      </c>
      <c r="D46" s="254" t="s">
        <v>511</v>
      </c>
      <c r="E46" s="255">
        <v>0</v>
      </c>
      <c r="F46" s="255">
        <v>376942.3</v>
      </c>
      <c r="G46" s="255">
        <v>14108413.49</v>
      </c>
      <c r="H46" s="403">
        <v>14095890.789999999</v>
      </c>
      <c r="I46" s="654">
        <v>0</v>
      </c>
      <c r="J46" s="654">
        <v>364419.6</v>
      </c>
      <c r="K46" s="434">
        <f t="shared" si="0"/>
        <v>-364419.6</v>
      </c>
      <c r="L46" s="256">
        <v>3001</v>
      </c>
      <c r="N46" s="257"/>
      <c r="O46" s="9"/>
      <c r="P46" s="9"/>
    </row>
    <row r="47" spans="1:16">
      <c r="A47" s="260">
        <v>2005</v>
      </c>
      <c r="B47" s="252">
        <v>40122</v>
      </c>
      <c r="C47" s="253" t="s">
        <v>191</v>
      </c>
      <c r="D47" s="254" t="s">
        <v>512</v>
      </c>
      <c r="E47" s="255">
        <v>0</v>
      </c>
      <c r="F47" s="255">
        <v>96937191.61239998</v>
      </c>
      <c r="G47" s="255">
        <v>300204858.2938</v>
      </c>
      <c r="H47" s="403">
        <v>298340297.35160005</v>
      </c>
      <c r="I47" s="654">
        <v>0</v>
      </c>
      <c r="J47" s="654">
        <v>95072630.670199931</v>
      </c>
      <c r="K47" s="434">
        <f t="shared" si="0"/>
        <v>-95072630.670199931</v>
      </c>
      <c r="L47" s="256">
        <v>3001</v>
      </c>
      <c r="N47" s="257"/>
      <c r="O47" s="9"/>
      <c r="P47" s="9"/>
    </row>
    <row r="48" spans="1:16">
      <c r="A48" s="260">
        <v>2005</v>
      </c>
      <c r="B48" s="252">
        <v>401220</v>
      </c>
      <c r="C48" s="253" t="s">
        <v>192</v>
      </c>
      <c r="D48" s="254" t="s">
        <v>512</v>
      </c>
      <c r="E48" s="255">
        <v>0</v>
      </c>
      <c r="F48" s="255">
        <v>549250.78009999986</v>
      </c>
      <c r="G48" s="255">
        <v>24489498.934799995</v>
      </c>
      <c r="H48" s="403">
        <v>24115199.841000006</v>
      </c>
      <c r="I48" s="654">
        <v>0</v>
      </c>
      <c r="J48" s="654">
        <v>174951.68630001068</v>
      </c>
      <c r="K48" s="434">
        <f t="shared" si="0"/>
        <v>-174951.68630001068</v>
      </c>
      <c r="L48" s="256">
        <v>3001</v>
      </c>
      <c r="N48" s="257"/>
      <c r="O48" s="9"/>
      <c r="P48" s="9"/>
    </row>
    <row r="49" spans="1:16">
      <c r="A49" s="260">
        <v>2005</v>
      </c>
      <c r="B49" s="252">
        <v>40123</v>
      </c>
      <c r="C49" s="253" t="s">
        <v>193</v>
      </c>
      <c r="D49" s="254" t="s">
        <v>513</v>
      </c>
      <c r="E49" s="255">
        <v>0</v>
      </c>
      <c r="F49" s="255">
        <v>9898782.6761999987</v>
      </c>
      <c r="G49" s="255">
        <v>39305566.028099991</v>
      </c>
      <c r="H49" s="403">
        <v>29406783.260600001</v>
      </c>
      <c r="I49" s="654">
        <v>9.1299996376037598E-2</v>
      </c>
      <c r="J49" s="654">
        <v>0</v>
      </c>
      <c r="K49" s="434">
        <f t="shared" si="0"/>
        <v>9.1299996376037598E-2</v>
      </c>
      <c r="L49" s="256">
        <v>3001</v>
      </c>
      <c r="N49" s="257"/>
      <c r="O49" s="9"/>
      <c r="P49" s="9"/>
    </row>
    <row r="50" spans="1:16">
      <c r="A50" s="260">
        <v>2005</v>
      </c>
      <c r="B50" s="252">
        <v>40131</v>
      </c>
      <c r="C50" s="253" t="s">
        <v>194</v>
      </c>
      <c r="D50" s="254" t="s">
        <v>511</v>
      </c>
      <c r="E50" s="255">
        <v>0</v>
      </c>
      <c r="F50" s="255">
        <v>65721593.093599997</v>
      </c>
      <c r="G50" s="255">
        <v>42907504.75</v>
      </c>
      <c r="H50" s="403">
        <v>89037719.559500009</v>
      </c>
      <c r="I50" s="654">
        <v>0</v>
      </c>
      <c r="J50" s="654">
        <v>111851807.90310003</v>
      </c>
      <c r="K50" s="434">
        <f t="shared" si="0"/>
        <v>-111851807.90310003</v>
      </c>
      <c r="L50" s="256">
        <v>3001</v>
      </c>
      <c r="N50" s="257"/>
      <c r="O50" s="9"/>
      <c r="P50" s="9"/>
    </row>
    <row r="51" spans="1:16">
      <c r="A51" s="260">
        <v>2005</v>
      </c>
      <c r="B51" s="252">
        <v>40132</v>
      </c>
      <c r="C51" s="253" t="s">
        <v>195</v>
      </c>
      <c r="D51" s="254" t="s">
        <v>512</v>
      </c>
      <c r="E51" s="255">
        <v>0</v>
      </c>
      <c r="F51" s="255">
        <v>1695943.9759</v>
      </c>
      <c r="G51" s="255">
        <v>7675214.6771999989</v>
      </c>
      <c r="H51" s="403">
        <v>7332447.8157000002</v>
      </c>
      <c r="I51" s="654">
        <v>0</v>
      </c>
      <c r="J51" s="654">
        <v>1353177.114400004</v>
      </c>
      <c r="K51" s="434">
        <f t="shared" si="0"/>
        <v>-1353177.114400004</v>
      </c>
      <c r="L51" s="256">
        <v>3001</v>
      </c>
      <c r="N51" s="257"/>
      <c r="O51" s="9"/>
      <c r="P51" s="9"/>
    </row>
    <row r="52" spans="1:16">
      <c r="A52" s="260">
        <v>2005</v>
      </c>
      <c r="B52" s="252">
        <v>40133</v>
      </c>
      <c r="C52" s="253" t="s">
        <v>196</v>
      </c>
      <c r="D52" s="254" t="s">
        <v>513</v>
      </c>
      <c r="E52" s="255">
        <v>0</v>
      </c>
      <c r="F52" s="255">
        <v>86355.25450000001</v>
      </c>
      <c r="G52" s="255">
        <v>1290675.4405</v>
      </c>
      <c r="H52" s="403">
        <v>1289318.3699999999</v>
      </c>
      <c r="I52" s="654">
        <v>0</v>
      </c>
      <c r="J52" s="654">
        <v>84998.184000000067</v>
      </c>
      <c r="K52" s="434">
        <f t="shared" si="0"/>
        <v>-84998.184000000067</v>
      </c>
      <c r="L52" s="256">
        <v>3001</v>
      </c>
      <c r="N52" s="257"/>
      <c r="O52" s="9"/>
      <c r="P52" s="9"/>
    </row>
    <row r="53" spans="1:16">
      <c r="A53" s="260">
        <v>2005</v>
      </c>
      <c r="B53" s="252">
        <v>40134</v>
      </c>
      <c r="C53" s="253" t="s">
        <v>1035</v>
      </c>
      <c r="D53" s="254" t="s">
        <v>514</v>
      </c>
      <c r="E53" s="255">
        <v>0</v>
      </c>
      <c r="F53" s="255">
        <v>0</v>
      </c>
      <c r="G53" s="255">
        <v>22920.878400000001</v>
      </c>
      <c r="H53" s="403">
        <v>22920.878400000001</v>
      </c>
      <c r="I53" s="654">
        <v>0</v>
      </c>
      <c r="J53" s="654">
        <v>0</v>
      </c>
      <c r="K53" s="434">
        <f t="shared" si="0"/>
        <v>0</v>
      </c>
      <c r="L53" s="256"/>
      <c r="N53" s="257"/>
      <c r="O53" s="9"/>
      <c r="P53" s="9"/>
    </row>
    <row r="54" spans="1:16">
      <c r="A54" s="260">
        <v>2005</v>
      </c>
      <c r="B54" s="252">
        <v>40151</v>
      </c>
      <c r="C54" s="253" t="s">
        <v>197</v>
      </c>
      <c r="D54" s="254" t="s">
        <v>511</v>
      </c>
      <c r="E54" s="255">
        <v>0</v>
      </c>
      <c r="F54" s="255">
        <v>1847151.05</v>
      </c>
      <c r="G54" s="255">
        <v>7786921.2800000003</v>
      </c>
      <c r="H54" s="403">
        <v>8314907.4400000004</v>
      </c>
      <c r="I54" s="654">
        <v>0</v>
      </c>
      <c r="J54" s="654">
        <v>2375137.21</v>
      </c>
      <c r="K54" s="434">
        <f t="shared" si="0"/>
        <v>-2375137.21</v>
      </c>
      <c r="L54" s="256">
        <v>3001</v>
      </c>
      <c r="N54" s="257">
        <v>24466152</v>
      </c>
      <c r="O54" s="9" t="s">
        <v>1377</v>
      </c>
      <c r="P54" s="9"/>
    </row>
    <row r="55" spans="1:16">
      <c r="A55" s="260">
        <v>2005</v>
      </c>
      <c r="B55" s="252">
        <v>40152</v>
      </c>
      <c r="C55" s="253" t="s">
        <v>198</v>
      </c>
      <c r="D55" s="254" t="s">
        <v>512</v>
      </c>
      <c r="E55" s="255">
        <v>0</v>
      </c>
      <c r="F55" s="255">
        <v>11365534.146999998</v>
      </c>
      <c r="G55" s="255">
        <v>34957975.688000001</v>
      </c>
      <c r="H55" s="403">
        <v>34066588.8574</v>
      </c>
      <c r="I55" s="654">
        <v>0</v>
      </c>
      <c r="J55" s="654">
        <v>10474147.31639998</v>
      </c>
      <c r="K55" s="434">
        <f t="shared" si="0"/>
        <v>-10474147.31639998</v>
      </c>
      <c r="L55" s="256">
        <v>3001</v>
      </c>
      <c r="N55" s="257">
        <v>20461399</v>
      </c>
      <c r="O55" s="9" t="s">
        <v>1378</v>
      </c>
      <c r="P55" s="9"/>
    </row>
    <row r="56" spans="1:16">
      <c r="A56" s="260">
        <v>2005</v>
      </c>
      <c r="B56" s="252">
        <v>40153</v>
      </c>
      <c r="C56" s="253" t="s">
        <v>199</v>
      </c>
      <c r="D56" s="254" t="s">
        <v>513</v>
      </c>
      <c r="E56" s="255">
        <v>0</v>
      </c>
      <c r="F56" s="255">
        <v>91193.919999999998</v>
      </c>
      <c r="G56" s="255">
        <v>9819.84</v>
      </c>
      <c r="H56" s="403">
        <v>8386.7199999999993</v>
      </c>
      <c r="I56" s="654">
        <v>0</v>
      </c>
      <c r="J56" s="654">
        <v>89760.8</v>
      </c>
      <c r="K56" s="434">
        <f t="shared" si="0"/>
        <v>-89760.8</v>
      </c>
      <c r="L56" s="256">
        <v>3001</v>
      </c>
      <c r="N56" s="257">
        <v>8348542</v>
      </c>
      <c r="O56" s="9" t="s">
        <v>1379</v>
      </c>
      <c r="P56" s="9"/>
    </row>
    <row r="57" spans="1:16">
      <c r="A57" s="260">
        <v>2005</v>
      </c>
      <c r="B57" s="252">
        <v>40154</v>
      </c>
      <c r="C57" s="253" t="s">
        <v>200</v>
      </c>
      <c r="D57" s="254" t="s">
        <v>511</v>
      </c>
      <c r="E57" s="255">
        <v>0</v>
      </c>
      <c r="F57" s="255">
        <v>113568.9238</v>
      </c>
      <c r="G57" s="255">
        <v>4038.43</v>
      </c>
      <c r="H57" s="403">
        <v>7638.8</v>
      </c>
      <c r="I57" s="654">
        <v>0</v>
      </c>
      <c r="J57" s="654">
        <v>117169.29380000001</v>
      </c>
      <c r="K57" s="434">
        <f t="shared" si="0"/>
        <v>-117169.29380000001</v>
      </c>
      <c r="L57" s="256">
        <v>3001</v>
      </c>
      <c r="N57" s="257">
        <v>4117905</v>
      </c>
      <c r="O57" s="9" t="s">
        <v>1381</v>
      </c>
      <c r="P57" s="9"/>
    </row>
    <row r="58" spans="1:16">
      <c r="A58" s="260">
        <v>2005</v>
      </c>
      <c r="B58" s="252">
        <v>40161</v>
      </c>
      <c r="C58" s="253" t="s">
        <v>201</v>
      </c>
      <c r="D58" s="254" t="s">
        <v>511</v>
      </c>
      <c r="E58" s="255">
        <v>0</v>
      </c>
      <c r="F58" s="255">
        <v>886882.5</v>
      </c>
      <c r="G58" s="255">
        <v>15099331</v>
      </c>
      <c r="H58" s="403">
        <v>15811454.74</v>
      </c>
      <c r="I58" s="654">
        <v>0</v>
      </c>
      <c r="J58" s="654">
        <v>1599006.24</v>
      </c>
      <c r="K58" s="434">
        <f t="shared" si="0"/>
        <v>-1599006.24</v>
      </c>
      <c r="L58" s="256">
        <v>3001</v>
      </c>
      <c r="N58" s="257">
        <v>167508</v>
      </c>
      <c r="O58" s="9" t="s">
        <v>1380</v>
      </c>
      <c r="P58" s="9"/>
    </row>
    <row r="59" spans="1:16">
      <c r="A59" s="260">
        <v>2005</v>
      </c>
      <c r="B59" s="252">
        <v>40162</v>
      </c>
      <c r="C59" s="253" t="s">
        <v>202</v>
      </c>
      <c r="D59" s="254" t="s">
        <v>512</v>
      </c>
      <c r="E59" s="255">
        <v>0</v>
      </c>
      <c r="F59" s="255">
        <v>541827.35890000011</v>
      </c>
      <c r="G59" s="255">
        <v>546031.38</v>
      </c>
      <c r="H59" s="403">
        <v>321632.03999999998</v>
      </c>
      <c r="I59" s="654">
        <v>0</v>
      </c>
      <c r="J59" s="654">
        <v>317428.01890000032</v>
      </c>
      <c r="K59" s="434">
        <f t="shared" si="0"/>
        <v>-317428.01890000032</v>
      </c>
      <c r="L59" s="256">
        <v>3001</v>
      </c>
      <c r="N59" s="257"/>
      <c r="O59" s="9"/>
      <c r="P59" s="9"/>
    </row>
    <row r="60" spans="1:16">
      <c r="A60" s="260">
        <v>2005</v>
      </c>
      <c r="B60" s="252">
        <v>40163</v>
      </c>
      <c r="C60" s="253" t="s">
        <v>203</v>
      </c>
      <c r="D60" s="254" t="s">
        <v>513</v>
      </c>
      <c r="E60" s="255">
        <v>0</v>
      </c>
      <c r="F60" s="255">
        <v>84013.513200000001</v>
      </c>
      <c r="G60" s="255">
        <v>9046.6299999999992</v>
      </c>
      <c r="H60" s="403">
        <v>7726.36</v>
      </c>
      <c r="I60" s="654">
        <v>0</v>
      </c>
      <c r="J60" s="654">
        <v>82693.243199999997</v>
      </c>
      <c r="K60" s="434">
        <f t="shared" si="0"/>
        <v>-82693.243199999997</v>
      </c>
      <c r="L60" s="256">
        <v>3001</v>
      </c>
      <c r="N60" s="257"/>
      <c r="O60" s="9"/>
      <c r="P60" s="9"/>
    </row>
    <row r="61" spans="1:16">
      <c r="A61" s="260">
        <v>2005</v>
      </c>
      <c r="B61" s="252">
        <v>40171</v>
      </c>
      <c r="C61" s="253" t="s">
        <v>204</v>
      </c>
      <c r="D61" s="254" t="s">
        <v>512</v>
      </c>
      <c r="E61" s="255">
        <v>0</v>
      </c>
      <c r="F61" s="255">
        <v>0.56559999999999999</v>
      </c>
      <c r="G61" s="255">
        <v>0</v>
      </c>
      <c r="H61" s="403">
        <v>0</v>
      </c>
      <c r="I61" s="654">
        <v>0</v>
      </c>
      <c r="J61" s="654">
        <v>0.56559999999999999</v>
      </c>
      <c r="K61" s="434">
        <f t="shared" si="0"/>
        <v>-0.56559999999999999</v>
      </c>
      <c r="L61" s="256">
        <v>3001</v>
      </c>
      <c r="N61" s="257">
        <f>SUM(N54:N60)</f>
        <v>57561506</v>
      </c>
      <c r="O61" s="9"/>
      <c r="P61" s="9"/>
    </row>
    <row r="62" spans="1:16">
      <c r="A62" s="260">
        <v>2005</v>
      </c>
      <c r="B62" s="252">
        <v>40441</v>
      </c>
      <c r="C62" s="253" t="s">
        <v>205</v>
      </c>
      <c r="D62" s="254" t="s">
        <v>511</v>
      </c>
      <c r="E62" s="255">
        <v>0</v>
      </c>
      <c r="F62" s="255">
        <v>13384307.738199998</v>
      </c>
      <c r="G62" s="255">
        <v>36011487.079999998</v>
      </c>
      <c r="H62" s="403">
        <v>36518518.880000003</v>
      </c>
      <c r="I62" s="654">
        <v>0</v>
      </c>
      <c r="J62" s="654">
        <v>13891339.538199997</v>
      </c>
      <c r="K62" s="434">
        <f t="shared" si="0"/>
        <v>-13891339.538199997</v>
      </c>
      <c r="L62" s="256">
        <v>3001</v>
      </c>
      <c r="N62" s="257"/>
      <c r="O62" s="9"/>
      <c r="P62" s="9"/>
    </row>
    <row r="63" spans="1:16">
      <c r="A63" s="260">
        <v>2005</v>
      </c>
      <c r="B63" s="252">
        <v>40442</v>
      </c>
      <c r="C63" s="253" t="s">
        <v>206</v>
      </c>
      <c r="D63" s="254" t="s">
        <v>512</v>
      </c>
      <c r="E63" s="255">
        <v>0</v>
      </c>
      <c r="F63" s="255">
        <v>914686.36150000023</v>
      </c>
      <c r="G63" s="255">
        <v>122477320.6389</v>
      </c>
      <c r="H63" s="403">
        <v>140895524.63159996</v>
      </c>
      <c r="I63" s="654">
        <v>0</v>
      </c>
      <c r="J63" s="654">
        <v>19332890.354199961</v>
      </c>
      <c r="K63" s="434">
        <f t="shared" si="0"/>
        <v>-19332890.354199961</v>
      </c>
      <c r="L63" s="256">
        <v>3001</v>
      </c>
      <c r="N63" s="257"/>
      <c r="O63" s="9"/>
      <c r="P63" s="9"/>
    </row>
    <row r="64" spans="1:16">
      <c r="A64" s="260">
        <v>2005</v>
      </c>
      <c r="B64" s="252">
        <v>40443</v>
      </c>
      <c r="C64" s="253" t="s">
        <v>207</v>
      </c>
      <c r="D64" s="254" t="s">
        <v>513</v>
      </c>
      <c r="E64" s="255">
        <v>73055.414000000019</v>
      </c>
      <c r="F64" s="255">
        <v>0</v>
      </c>
      <c r="G64" s="255">
        <v>15456702.5033</v>
      </c>
      <c r="H64" s="403">
        <v>15783291.687999999</v>
      </c>
      <c r="I64" s="654">
        <v>0</v>
      </c>
      <c r="J64" s="654">
        <v>253533.77069999694</v>
      </c>
      <c r="K64" s="434">
        <f t="shared" si="0"/>
        <v>-253533.77069999694</v>
      </c>
      <c r="L64" s="256">
        <v>3001</v>
      </c>
      <c r="N64" s="257"/>
      <c r="O64" s="9"/>
      <c r="P64" s="9"/>
    </row>
    <row r="65" spans="1:16">
      <c r="A65" s="260">
        <v>2005</v>
      </c>
      <c r="B65" s="252">
        <v>40444</v>
      </c>
      <c r="C65" s="253" t="s">
        <v>208</v>
      </c>
      <c r="D65" s="254" t="s">
        <v>514</v>
      </c>
      <c r="E65" s="255">
        <v>0.64710000000000023</v>
      </c>
      <c r="F65" s="255">
        <v>0</v>
      </c>
      <c r="G65" s="255">
        <v>198455.5</v>
      </c>
      <c r="H65" s="403">
        <v>198455.5</v>
      </c>
      <c r="I65" s="654">
        <v>0.64710000004619361</v>
      </c>
      <c r="J65" s="654">
        <v>0</v>
      </c>
      <c r="K65" s="434">
        <f t="shared" si="0"/>
        <v>0.64710000004619361</v>
      </c>
      <c r="L65" s="256">
        <v>3001</v>
      </c>
      <c r="N65" s="257"/>
      <c r="O65" s="9"/>
      <c r="P65" s="9"/>
    </row>
    <row r="66" spans="1:16">
      <c r="A66" s="260">
        <v>1004</v>
      </c>
      <c r="B66" s="252">
        <v>41111</v>
      </c>
      <c r="C66" s="253" t="s">
        <v>209</v>
      </c>
      <c r="D66" s="254" t="s">
        <v>511</v>
      </c>
      <c r="E66" s="255">
        <v>296551601.61879998</v>
      </c>
      <c r="F66" s="255">
        <v>0</v>
      </c>
      <c r="G66" s="255">
        <v>687507525.24000001</v>
      </c>
      <c r="H66" s="403">
        <v>673004092.91750002</v>
      </c>
      <c r="I66" s="654">
        <v>311055033.94130003</v>
      </c>
      <c r="J66" s="654">
        <v>0</v>
      </c>
      <c r="K66" s="434">
        <f t="shared" si="0"/>
        <v>311055033.94130003</v>
      </c>
      <c r="L66" s="256">
        <v>2020</v>
      </c>
      <c r="N66" s="257"/>
      <c r="O66" s="9"/>
      <c r="P66" s="9"/>
    </row>
    <row r="67" spans="1:16">
      <c r="A67" s="260">
        <v>1004</v>
      </c>
      <c r="B67" s="252">
        <v>41112</v>
      </c>
      <c r="C67" s="253" t="s">
        <v>210</v>
      </c>
      <c r="D67" s="254" t="s">
        <v>512</v>
      </c>
      <c r="E67" s="255">
        <v>80523725.914199978</v>
      </c>
      <c r="F67" s="255">
        <v>0</v>
      </c>
      <c r="G67" s="255">
        <v>408419374.71849996</v>
      </c>
      <c r="H67" s="403">
        <v>372217051.61089998</v>
      </c>
      <c r="I67" s="654">
        <v>116726049.02179992</v>
      </c>
      <c r="J67" s="654">
        <v>0</v>
      </c>
      <c r="K67" s="434">
        <f t="shared" si="0"/>
        <v>116726049.02179992</v>
      </c>
      <c r="L67" s="256">
        <v>2020</v>
      </c>
      <c r="N67" s="257"/>
      <c r="O67" s="9"/>
      <c r="P67" s="9"/>
    </row>
    <row r="68" spans="1:16">
      <c r="A68" s="260">
        <v>1004</v>
      </c>
      <c r="B68" s="252">
        <v>41113</v>
      </c>
      <c r="C68" s="253" t="s">
        <v>211</v>
      </c>
      <c r="D68" s="254" t="s">
        <v>513</v>
      </c>
      <c r="E68" s="255">
        <v>9408553.6928000003</v>
      </c>
      <c r="F68" s="255">
        <v>0</v>
      </c>
      <c r="G68" s="255">
        <v>6707957.9679999994</v>
      </c>
      <c r="H68" s="403">
        <v>2618215.2702000001</v>
      </c>
      <c r="I68" s="654">
        <v>13498296.3906</v>
      </c>
      <c r="J68" s="654">
        <v>0</v>
      </c>
      <c r="K68" s="434">
        <f t="shared" si="0"/>
        <v>13498296.3906</v>
      </c>
      <c r="L68" s="256">
        <v>2020</v>
      </c>
      <c r="N68" s="257"/>
      <c r="O68" s="9"/>
      <c r="P68" s="9"/>
    </row>
    <row r="69" spans="1:16">
      <c r="A69" s="260">
        <v>1004</v>
      </c>
      <c r="B69" s="252">
        <v>41122</v>
      </c>
      <c r="C69" s="253" t="s">
        <v>212</v>
      </c>
      <c r="D69" s="254" t="s">
        <v>515</v>
      </c>
      <c r="E69" s="255">
        <v>189923.93579999998</v>
      </c>
      <c r="F69" s="255">
        <v>0</v>
      </c>
      <c r="G69" s="255">
        <v>632413.45769999991</v>
      </c>
      <c r="H69" s="403">
        <v>695508.90299999993</v>
      </c>
      <c r="I69" s="654">
        <v>126828.49050000012</v>
      </c>
      <c r="J69" s="654">
        <v>0</v>
      </c>
      <c r="K69" s="434">
        <f t="shared" si="0"/>
        <v>126828.49050000012</v>
      </c>
      <c r="L69" s="256">
        <v>2020</v>
      </c>
      <c r="N69" s="257"/>
      <c r="O69" s="9"/>
      <c r="P69" s="9"/>
    </row>
    <row r="70" spans="1:16">
      <c r="A70" s="260">
        <v>1004</v>
      </c>
      <c r="B70" s="252">
        <v>41123</v>
      </c>
      <c r="C70" s="253" t="s">
        <v>213</v>
      </c>
      <c r="D70" s="254" t="s">
        <v>512</v>
      </c>
      <c r="E70" s="255">
        <v>0</v>
      </c>
      <c r="F70" s="255">
        <v>1.9000000000000002E-3</v>
      </c>
      <c r="G70" s="255">
        <v>0</v>
      </c>
      <c r="H70" s="403">
        <v>0</v>
      </c>
      <c r="I70" s="654">
        <v>0</v>
      </c>
      <c r="J70" s="654">
        <v>1.9000000000000002E-3</v>
      </c>
      <c r="K70" s="434">
        <f t="shared" ref="K70:K132" si="1">I70-J70</f>
        <v>-1.9000000000000002E-3</v>
      </c>
      <c r="L70" s="256">
        <v>2020</v>
      </c>
      <c r="N70" s="257"/>
      <c r="O70" s="9"/>
      <c r="P70" s="9"/>
    </row>
    <row r="71" spans="1:16">
      <c r="A71" s="260">
        <v>1004</v>
      </c>
      <c r="B71" s="252">
        <v>41124</v>
      </c>
      <c r="C71" s="253" t="s">
        <v>214</v>
      </c>
      <c r="D71" s="254" t="s">
        <v>513</v>
      </c>
      <c r="E71" s="255">
        <v>0</v>
      </c>
      <c r="F71" s="255">
        <v>5.9999999999999995E-4</v>
      </c>
      <c r="G71" s="255">
        <v>272704.73389999999</v>
      </c>
      <c r="H71" s="403">
        <v>13407.16</v>
      </c>
      <c r="I71" s="654">
        <v>259297.57330000002</v>
      </c>
      <c r="J71" s="654">
        <v>0</v>
      </c>
      <c r="K71" s="434">
        <f t="shared" si="1"/>
        <v>259297.57330000002</v>
      </c>
      <c r="L71" s="256">
        <v>2020</v>
      </c>
      <c r="N71" s="257"/>
      <c r="O71" s="9"/>
      <c r="P71" s="9"/>
    </row>
    <row r="72" spans="1:16">
      <c r="A72" s="260">
        <v>1004</v>
      </c>
      <c r="B72" s="252">
        <v>41131</v>
      </c>
      <c r="C72" s="253" t="s">
        <v>215</v>
      </c>
      <c r="D72" s="254" t="s">
        <v>511</v>
      </c>
      <c r="E72" s="255">
        <v>11765199.9101</v>
      </c>
      <c r="F72" s="255">
        <v>0</v>
      </c>
      <c r="G72" s="255">
        <v>45063278.939999998</v>
      </c>
      <c r="H72" s="403">
        <v>51005930.509999998</v>
      </c>
      <c r="I72" s="654">
        <v>5822548.3401000118</v>
      </c>
      <c r="J72" s="654">
        <v>0</v>
      </c>
      <c r="K72" s="434">
        <f t="shared" si="1"/>
        <v>5822548.3401000118</v>
      </c>
      <c r="L72" s="256">
        <v>2020</v>
      </c>
      <c r="N72" s="257"/>
      <c r="O72" s="9"/>
      <c r="P72" s="9"/>
    </row>
    <row r="73" spans="1:16">
      <c r="A73" s="260">
        <v>1004</v>
      </c>
      <c r="B73" s="252">
        <v>41132</v>
      </c>
      <c r="C73" s="253" t="s">
        <v>216</v>
      </c>
      <c r="D73" s="254" t="s">
        <v>512</v>
      </c>
      <c r="E73" s="255">
        <v>3252548.2888000007</v>
      </c>
      <c r="F73" s="255">
        <v>0</v>
      </c>
      <c r="G73" s="255">
        <v>9095963.5949999988</v>
      </c>
      <c r="H73" s="403">
        <v>5788250.5040999996</v>
      </c>
      <c r="I73" s="654">
        <v>6560261.3797000004</v>
      </c>
      <c r="J73" s="654">
        <v>0</v>
      </c>
      <c r="K73" s="434">
        <f t="shared" si="1"/>
        <v>6560261.3797000004</v>
      </c>
      <c r="L73" s="256">
        <v>2020</v>
      </c>
      <c r="N73" s="257"/>
      <c r="O73" s="9"/>
      <c r="P73" s="9"/>
    </row>
    <row r="74" spans="1:16">
      <c r="A74" s="260">
        <v>1004</v>
      </c>
      <c r="B74" s="252">
        <v>41133</v>
      </c>
      <c r="C74" s="253" t="s">
        <v>217</v>
      </c>
      <c r="D74" s="254" t="s">
        <v>513</v>
      </c>
      <c r="E74" s="255">
        <v>2164242.5214999998</v>
      </c>
      <c r="F74" s="255">
        <v>0</v>
      </c>
      <c r="G74" s="255">
        <v>20719661.960700002</v>
      </c>
      <c r="H74" s="403">
        <v>22870673.2423</v>
      </c>
      <c r="I74" s="654">
        <v>13231.239900012017</v>
      </c>
      <c r="J74" s="654">
        <v>0</v>
      </c>
      <c r="K74" s="434">
        <f t="shared" si="1"/>
        <v>13231.239900012017</v>
      </c>
      <c r="L74" s="256">
        <v>2020</v>
      </c>
      <c r="N74" s="257"/>
      <c r="O74" s="9"/>
      <c r="P74" s="9"/>
    </row>
    <row r="75" spans="1:16">
      <c r="A75" s="260">
        <v>1004</v>
      </c>
      <c r="B75" s="252">
        <v>41141</v>
      </c>
      <c r="C75" s="253" t="s">
        <v>520</v>
      </c>
      <c r="D75" s="254" t="s">
        <v>511</v>
      </c>
      <c r="E75" s="255">
        <v>0</v>
      </c>
      <c r="F75" s="255">
        <v>0</v>
      </c>
      <c r="G75" s="255">
        <v>0</v>
      </c>
      <c r="H75" s="403">
        <v>0</v>
      </c>
      <c r="I75" s="654">
        <v>0</v>
      </c>
      <c r="J75" s="654">
        <v>0</v>
      </c>
      <c r="K75" s="434">
        <f t="shared" si="1"/>
        <v>0</v>
      </c>
      <c r="L75" s="256">
        <v>2020</v>
      </c>
      <c r="N75" s="257"/>
      <c r="O75" s="9"/>
      <c r="P75" s="9"/>
    </row>
    <row r="76" spans="1:16">
      <c r="A76" s="260">
        <v>1004</v>
      </c>
      <c r="B76" s="252">
        <v>41142</v>
      </c>
      <c r="C76" s="253" t="s">
        <v>521</v>
      </c>
      <c r="D76" s="254" t="s">
        <v>513</v>
      </c>
      <c r="E76" s="255">
        <v>108292.78</v>
      </c>
      <c r="F76" s="255">
        <v>0</v>
      </c>
      <c r="G76" s="255">
        <v>9959.23</v>
      </c>
      <c r="H76" s="403">
        <v>11661.06</v>
      </c>
      <c r="I76" s="654">
        <v>106590.95</v>
      </c>
      <c r="J76" s="654">
        <v>0</v>
      </c>
      <c r="K76" s="434">
        <f t="shared" si="1"/>
        <v>106590.95</v>
      </c>
      <c r="L76" s="256">
        <v>2020</v>
      </c>
      <c r="N76" s="257"/>
      <c r="O76" s="9"/>
      <c r="P76" s="9"/>
    </row>
    <row r="77" spans="1:16">
      <c r="A77" s="260">
        <v>1004</v>
      </c>
      <c r="B77" s="252">
        <v>41151</v>
      </c>
      <c r="C77" s="253" t="s">
        <v>218</v>
      </c>
      <c r="D77" s="254" t="s">
        <v>511</v>
      </c>
      <c r="E77" s="255">
        <v>142418.53440000003</v>
      </c>
      <c r="F77" s="255">
        <v>0</v>
      </c>
      <c r="G77" s="255">
        <v>2145176</v>
      </c>
      <c r="H77" s="403">
        <v>370723</v>
      </c>
      <c r="I77" s="654">
        <v>1916871.5344000002</v>
      </c>
      <c r="J77" s="654">
        <v>0</v>
      </c>
      <c r="K77" s="434">
        <f>I77-J77</f>
        <v>1916871.5344000002</v>
      </c>
      <c r="L77" s="256">
        <v>2020</v>
      </c>
      <c r="N77" s="257"/>
      <c r="O77" s="9"/>
      <c r="P77" s="9"/>
    </row>
    <row r="78" spans="1:16">
      <c r="A78" s="260">
        <v>1004</v>
      </c>
      <c r="B78" s="252">
        <v>41152</v>
      </c>
      <c r="C78" s="253" t="s">
        <v>219</v>
      </c>
      <c r="D78" s="254" t="s">
        <v>512</v>
      </c>
      <c r="E78" s="255">
        <v>0</v>
      </c>
      <c r="F78" s="255">
        <v>0.79100000000000004</v>
      </c>
      <c r="G78" s="255">
        <v>0</v>
      </c>
      <c r="H78" s="403">
        <v>0</v>
      </c>
      <c r="I78" s="654">
        <v>0</v>
      </c>
      <c r="J78" s="654">
        <v>0.79100000000000004</v>
      </c>
      <c r="K78" s="434">
        <f>I78-J78</f>
        <v>-0.79100000000000004</v>
      </c>
      <c r="L78" s="256">
        <v>2020</v>
      </c>
      <c r="N78" s="257"/>
      <c r="O78" s="9"/>
      <c r="P78" s="9"/>
    </row>
    <row r="79" spans="1:16">
      <c r="A79" s="271">
        <v>1004</v>
      </c>
      <c r="B79" s="252">
        <v>41161</v>
      </c>
      <c r="C79" s="253" t="s">
        <v>220</v>
      </c>
      <c r="D79" s="254" t="s">
        <v>511</v>
      </c>
      <c r="E79" s="255">
        <v>173827715.93540004</v>
      </c>
      <c r="F79" s="255">
        <v>0</v>
      </c>
      <c r="G79" s="255">
        <v>388942445</v>
      </c>
      <c r="H79" s="403">
        <v>497304829.13999999</v>
      </c>
      <c r="I79" s="654">
        <v>65465331.795400083</v>
      </c>
      <c r="J79" s="654">
        <v>0</v>
      </c>
      <c r="K79" s="434">
        <f t="shared" si="1"/>
        <v>65465331.795400083</v>
      </c>
      <c r="L79" s="256">
        <v>2020</v>
      </c>
      <c r="N79" s="257"/>
      <c r="O79" s="9"/>
      <c r="P79" s="9"/>
    </row>
    <row r="80" spans="1:16">
      <c r="A80" s="271">
        <v>1004</v>
      </c>
      <c r="B80" s="252">
        <v>41162</v>
      </c>
      <c r="C80" s="253" t="s">
        <v>221</v>
      </c>
      <c r="D80" s="254" t="s">
        <v>512</v>
      </c>
      <c r="E80" s="255">
        <v>0</v>
      </c>
      <c r="F80" s="255">
        <v>0.1656</v>
      </c>
      <c r="G80" s="255">
        <v>0</v>
      </c>
      <c r="H80" s="403">
        <v>0</v>
      </c>
      <c r="I80" s="654">
        <v>0</v>
      </c>
      <c r="J80" s="654">
        <v>0.1656</v>
      </c>
      <c r="K80" s="434">
        <f t="shared" si="1"/>
        <v>-0.1656</v>
      </c>
      <c r="L80" s="256">
        <v>2020</v>
      </c>
      <c r="N80" s="257"/>
      <c r="O80" s="9"/>
      <c r="P80" s="9"/>
    </row>
    <row r="81" spans="1:16">
      <c r="A81" s="271">
        <v>1004</v>
      </c>
      <c r="B81" s="252">
        <v>463</v>
      </c>
      <c r="C81" s="253" t="s">
        <v>826</v>
      </c>
      <c r="D81" s="254" t="s">
        <v>511</v>
      </c>
      <c r="E81" s="255">
        <v>0</v>
      </c>
      <c r="F81" s="255">
        <v>14444786.460000001</v>
      </c>
      <c r="G81" s="255">
        <v>0</v>
      </c>
      <c r="H81" s="403">
        <v>0</v>
      </c>
      <c r="I81" s="654">
        <v>0</v>
      </c>
      <c r="J81" s="654">
        <v>14444786.460000001</v>
      </c>
      <c r="K81" s="434">
        <f t="shared" si="1"/>
        <v>-14444786.460000001</v>
      </c>
      <c r="L81" s="256">
        <v>2021</v>
      </c>
      <c r="N81" s="257"/>
      <c r="O81" s="9"/>
      <c r="P81" s="9"/>
    </row>
    <row r="82" spans="1:16">
      <c r="A82" s="271">
        <v>2005</v>
      </c>
      <c r="B82" s="252">
        <v>4630</v>
      </c>
      <c r="C82" s="253" t="s">
        <v>825</v>
      </c>
      <c r="D82" s="254" t="s">
        <v>511</v>
      </c>
      <c r="E82" s="255">
        <v>0</v>
      </c>
      <c r="F82" s="255">
        <v>8627390.5199999996</v>
      </c>
      <c r="G82" s="255">
        <v>0</v>
      </c>
      <c r="H82" s="403">
        <v>0</v>
      </c>
      <c r="I82" s="654">
        <v>0</v>
      </c>
      <c r="J82" s="654">
        <v>8627390.5199999996</v>
      </c>
      <c r="K82" s="434">
        <f t="shared" si="1"/>
        <v>-8627390.5199999996</v>
      </c>
      <c r="L82" s="256">
        <v>3001</v>
      </c>
      <c r="N82" s="257"/>
      <c r="O82" s="9"/>
      <c r="P82" s="9"/>
    </row>
    <row r="83" spans="1:16">
      <c r="A83" s="271">
        <v>2009</v>
      </c>
      <c r="B83" s="252">
        <v>41901</v>
      </c>
      <c r="C83" s="253" t="s">
        <v>522</v>
      </c>
      <c r="D83" s="254" t="s">
        <v>512</v>
      </c>
      <c r="E83" s="255">
        <v>0</v>
      </c>
      <c r="F83" s="255">
        <v>28510000</v>
      </c>
      <c r="G83" s="255">
        <v>0</v>
      </c>
      <c r="H83" s="403">
        <v>0</v>
      </c>
      <c r="I83" s="654">
        <v>0</v>
      </c>
      <c r="J83" s="654">
        <v>28510000</v>
      </c>
      <c r="K83" s="434">
        <f t="shared" si="1"/>
        <v>-28510000</v>
      </c>
      <c r="L83" s="256">
        <v>3002</v>
      </c>
      <c r="N83" s="257"/>
      <c r="O83" s="9"/>
      <c r="P83" s="9"/>
    </row>
    <row r="84" spans="1:16">
      <c r="A84" s="271">
        <v>1012</v>
      </c>
      <c r="B84" s="252">
        <v>41902</v>
      </c>
      <c r="C84" s="253" t="s">
        <v>523</v>
      </c>
      <c r="D84" s="254" t="s">
        <v>512</v>
      </c>
      <c r="E84" s="255">
        <v>0.36120000000000002</v>
      </c>
      <c r="F84" s="255">
        <v>0</v>
      </c>
      <c r="G84" s="255">
        <v>3182882.9993000003</v>
      </c>
      <c r="H84" s="403">
        <v>3182883.3592000003</v>
      </c>
      <c r="I84" s="654">
        <v>1.2999993562698364E-3</v>
      </c>
      <c r="J84" s="654">
        <v>0</v>
      </c>
      <c r="K84" s="543">
        <f t="shared" si="1"/>
        <v>1.2999993562698364E-3</v>
      </c>
      <c r="L84" s="256">
        <v>2050</v>
      </c>
      <c r="N84" s="257"/>
      <c r="O84" s="9"/>
      <c r="P84" s="9"/>
    </row>
    <row r="85" spans="1:16">
      <c r="A85" s="271">
        <v>1012</v>
      </c>
      <c r="B85" s="252">
        <v>41903</v>
      </c>
      <c r="C85" s="253" t="s">
        <v>1036</v>
      </c>
      <c r="D85" s="254" t="s">
        <v>511</v>
      </c>
      <c r="E85" s="255">
        <v>0</v>
      </c>
      <c r="F85" s="255">
        <v>0</v>
      </c>
      <c r="G85" s="255">
        <v>8306824</v>
      </c>
      <c r="H85" s="403">
        <v>8306824</v>
      </c>
      <c r="I85" s="654">
        <v>0</v>
      </c>
      <c r="J85" s="654">
        <v>0</v>
      </c>
      <c r="K85" s="543">
        <f t="shared" si="1"/>
        <v>0</v>
      </c>
      <c r="L85" s="256"/>
      <c r="N85" s="257"/>
      <c r="O85" s="9"/>
      <c r="P85" s="9"/>
    </row>
    <row r="86" spans="1:16">
      <c r="A86" s="271">
        <v>2009</v>
      </c>
      <c r="B86" s="252">
        <v>41904</v>
      </c>
      <c r="C86" s="253" t="s">
        <v>1011</v>
      </c>
      <c r="D86" s="254" t="s">
        <v>511</v>
      </c>
      <c r="E86" s="255">
        <v>0</v>
      </c>
      <c r="F86" s="255">
        <v>0</v>
      </c>
      <c r="G86" s="255">
        <v>617500</v>
      </c>
      <c r="H86" s="403">
        <v>617500</v>
      </c>
      <c r="I86" s="654">
        <v>0</v>
      </c>
      <c r="J86" s="654">
        <v>0</v>
      </c>
      <c r="K86" s="434">
        <f t="shared" si="1"/>
        <v>0</v>
      </c>
      <c r="L86" s="256">
        <v>3002</v>
      </c>
      <c r="N86" s="257"/>
      <c r="O86" s="9"/>
      <c r="P86" s="9"/>
    </row>
    <row r="87" spans="1:16">
      <c r="A87" s="271">
        <v>2009</v>
      </c>
      <c r="B87" s="252">
        <v>41905</v>
      </c>
      <c r="C87" s="253" t="s">
        <v>1012</v>
      </c>
      <c r="D87" s="254" t="s">
        <v>512</v>
      </c>
      <c r="E87" s="255">
        <v>0</v>
      </c>
      <c r="F87" s="255">
        <v>0</v>
      </c>
      <c r="G87" s="255">
        <v>0</v>
      </c>
      <c r="H87" s="403">
        <v>4391025.57</v>
      </c>
      <c r="I87" s="654">
        <v>0</v>
      </c>
      <c r="J87" s="654">
        <v>4391025.57</v>
      </c>
      <c r="K87" s="434">
        <f t="shared" si="1"/>
        <v>-4391025.57</v>
      </c>
      <c r="L87" s="256">
        <v>3002</v>
      </c>
      <c r="N87" s="257"/>
      <c r="O87" s="9"/>
      <c r="P87" s="9"/>
    </row>
    <row r="88" spans="1:16">
      <c r="A88" s="271">
        <v>2009</v>
      </c>
      <c r="B88" s="252">
        <v>41906</v>
      </c>
      <c r="C88" s="253" t="s">
        <v>1013</v>
      </c>
      <c r="D88" s="254" t="s">
        <v>512</v>
      </c>
      <c r="E88" s="255">
        <v>0</v>
      </c>
      <c r="F88" s="255">
        <v>0</v>
      </c>
      <c r="G88" s="255">
        <v>8899651.1118000001</v>
      </c>
      <c r="H88" s="403">
        <v>16789600</v>
      </c>
      <c r="I88" s="654">
        <v>0</v>
      </c>
      <c r="J88" s="654">
        <v>7889948.8881999981</v>
      </c>
      <c r="K88" s="434">
        <f t="shared" si="1"/>
        <v>-7889948.8881999981</v>
      </c>
      <c r="L88" s="256">
        <v>3002</v>
      </c>
      <c r="N88" s="257"/>
      <c r="O88" s="9"/>
      <c r="P88" s="9"/>
    </row>
    <row r="89" spans="1:16">
      <c r="A89" s="271">
        <v>1012</v>
      </c>
      <c r="B89" s="252">
        <v>41907</v>
      </c>
      <c r="C89" s="253" t="s">
        <v>1014</v>
      </c>
      <c r="D89" s="254" t="s">
        <v>511</v>
      </c>
      <c r="E89" s="255">
        <v>0</v>
      </c>
      <c r="F89" s="255">
        <v>0</v>
      </c>
      <c r="G89" s="255">
        <v>1398050.4792000002</v>
      </c>
      <c r="H89" s="403">
        <v>1398050.48</v>
      </c>
      <c r="I89" s="654">
        <v>0</v>
      </c>
      <c r="J89" s="654">
        <v>7.9999953508377072E-4</v>
      </c>
      <c r="K89" s="543">
        <f t="shared" si="1"/>
        <v>-7.9999953508377072E-4</v>
      </c>
      <c r="L89" s="256">
        <v>2050</v>
      </c>
      <c r="N89" s="257"/>
      <c r="O89" s="9"/>
      <c r="P89" s="9"/>
    </row>
    <row r="90" spans="1:16">
      <c r="A90" s="271">
        <v>2009</v>
      </c>
      <c r="B90" s="252">
        <v>41908</v>
      </c>
      <c r="C90" s="253" t="s">
        <v>1015</v>
      </c>
      <c r="D90" s="254" t="s">
        <v>511</v>
      </c>
      <c r="E90" s="255">
        <v>0</v>
      </c>
      <c r="F90" s="255">
        <v>0</v>
      </c>
      <c r="G90" s="255">
        <v>28833941.972399998</v>
      </c>
      <c r="H90" s="403">
        <v>37620600</v>
      </c>
      <c r="I90" s="654">
        <v>0</v>
      </c>
      <c r="J90" s="654">
        <v>8786658.0276000015</v>
      </c>
      <c r="K90" s="434">
        <f t="shared" si="1"/>
        <v>-8786658.0276000015</v>
      </c>
      <c r="L90" s="256">
        <v>3002</v>
      </c>
      <c r="N90" s="257"/>
      <c r="O90" s="9"/>
      <c r="P90" s="9"/>
    </row>
    <row r="91" spans="1:16">
      <c r="A91" s="271">
        <v>1012</v>
      </c>
      <c r="B91" s="252">
        <v>41909</v>
      </c>
      <c r="C91" s="253" t="s">
        <v>1016</v>
      </c>
      <c r="D91" s="254" t="s">
        <v>511</v>
      </c>
      <c r="E91" s="255">
        <v>0</v>
      </c>
      <c r="F91" s="255">
        <v>0</v>
      </c>
      <c r="G91" s="255">
        <v>6291149.3613</v>
      </c>
      <c r="H91" s="403">
        <v>6291149.3600000003</v>
      </c>
      <c r="I91" s="654">
        <v>1.2999999523162842E-3</v>
      </c>
      <c r="J91" s="654">
        <v>0</v>
      </c>
      <c r="K91" s="543">
        <f t="shared" si="1"/>
        <v>1.2999999523162842E-3</v>
      </c>
      <c r="L91" s="256">
        <v>2050</v>
      </c>
      <c r="N91" s="257"/>
      <c r="O91" s="9"/>
      <c r="P91" s="9"/>
    </row>
    <row r="92" spans="1:16">
      <c r="A92" s="271">
        <v>2009</v>
      </c>
      <c r="B92" s="252">
        <v>41910</v>
      </c>
      <c r="C92" s="253" t="s">
        <v>1017</v>
      </c>
      <c r="D92" s="254" t="s">
        <v>511</v>
      </c>
      <c r="E92" s="255">
        <v>0</v>
      </c>
      <c r="F92" s="255">
        <v>0</v>
      </c>
      <c r="G92" s="255">
        <v>1713805</v>
      </c>
      <c r="H92" s="403">
        <v>1800000</v>
      </c>
      <c r="I92" s="654">
        <v>0</v>
      </c>
      <c r="J92" s="654">
        <v>86195</v>
      </c>
      <c r="K92" s="434">
        <f t="shared" si="1"/>
        <v>-86195</v>
      </c>
      <c r="L92" s="256">
        <v>3002</v>
      </c>
      <c r="N92" s="257"/>
      <c r="O92" s="9"/>
      <c r="P92" s="9"/>
    </row>
    <row r="93" spans="1:16">
      <c r="A93" s="271">
        <v>1012</v>
      </c>
      <c r="B93" s="252">
        <v>41911</v>
      </c>
      <c r="C93" s="253" t="s">
        <v>1018</v>
      </c>
      <c r="D93" s="254" t="s">
        <v>512</v>
      </c>
      <c r="E93" s="255">
        <v>0</v>
      </c>
      <c r="F93" s="255">
        <v>0</v>
      </c>
      <c r="G93" s="255">
        <v>2516940</v>
      </c>
      <c r="H93" s="403">
        <v>2516940</v>
      </c>
      <c r="I93" s="654">
        <v>0</v>
      </c>
      <c r="J93" s="654">
        <v>0</v>
      </c>
      <c r="K93" s="543">
        <f t="shared" si="1"/>
        <v>0</v>
      </c>
      <c r="L93" s="256">
        <v>2050</v>
      </c>
      <c r="N93" s="257"/>
      <c r="O93" s="9"/>
      <c r="P93" s="9"/>
    </row>
    <row r="94" spans="1:16">
      <c r="A94" s="271">
        <v>2009</v>
      </c>
      <c r="B94" s="252">
        <v>41912</v>
      </c>
      <c r="C94" s="253" t="s">
        <v>1037</v>
      </c>
      <c r="D94" s="254" t="s">
        <v>511</v>
      </c>
      <c r="E94" s="255">
        <v>0</v>
      </c>
      <c r="F94" s="255">
        <v>0</v>
      </c>
      <c r="G94" s="255">
        <v>1253378</v>
      </c>
      <c r="H94" s="403">
        <v>1380800</v>
      </c>
      <c r="I94" s="654">
        <v>0</v>
      </c>
      <c r="J94" s="654">
        <v>127422</v>
      </c>
      <c r="K94" s="434">
        <f t="shared" si="1"/>
        <v>-127422</v>
      </c>
      <c r="L94" s="256">
        <v>3002</v>
      </c>
      <c r="N94" s="257"/>
      <c r="O94" s="9"/>
      <c r="P94" s="9"/>
    </row>
    <row r="95" spans="1:16">
      <c r="A95" s="271">
        <v>2005</v>
      </c>
      <c r="B95" s="252">
        <v>4097</v>
      </c>
      <c r="C95" s="253" t="s">
        <v>224</v>
      </c>
      <c r="D95" s="254" t="s">
        <v>513</v>
      </c>
      <c r="E95" s="255">
        <v>4.4999999999999997E-3</v>
      </c>
      <c r="F95" s="255">
        <v>0</v>
      </c>
      <c r="G95" s="255">
        <v>0</v>
      </c>
      <c r="H95" s="403">
        <v>0</v>
      </c>
      <c r="I95" s="654">
        <v>4.4999999999999997E-3</v>
      </c>
      <c r="J95" s="654">
        <v>0</v>
      </c>
      <c r="K95" s="434">
        <f t="shared" si="1"/>
        <v>4.4999999999999997E-3</v>
      </c>
      <c r="L95" s="256">
        <v>3001</v>
      </c>
      <c r="N95" s="257"/>
      <c r="O95" s="9"/>
      <c r="P95" s="9"/>
    </row>
    <row r="96" spans="1:16">
      <c r="A96" s="260">
        <v>2005</v>
      </c>
      <c r="B96" s="252">
        <v>418</v>
      </c>
      <c r="C96" s="253" t="s">
        <v>225</v>
      </c>
      <c r="D96" s="254" t="s">
        <v>511</v>
      </c>
      <c r="E96" s="255">
        <v>0</v>
      </c>
      <c r="F96" s="255">
        <v>0</v>
      </c>
      <c r="G96" s="255">
        <v>0</v>
      </c>
      <c r="H96" s="403">
        <v>0</v>
      </c>
      <c r="I96" s="654">
        <v>0</v>
      </c>
      <c r="J96" s="654">
        <v>0</v>
      </c>
      <c r="K96" s="434">
        <f t="shared" si="1"/>
        <v>0</v>
      </c>
      <c r="L96" s="256">
        <v>3001</v>
      </c>
      <c r="N96" s="257"/>
      <c r="O96" s="9"/>
      <c r="P96" s="9"/>
    </row>
    <row r="97" spans="1:16">
      <c r="A97" s="260">
        <v>2005</v>
      </c>
      <c r="B97" s="252">
        <v>4181</v>
      </c>
      <c r="C97" s="253" t="s">
        <v>226</v>
      </c>
      <c r="D97" s="254" t="s">
        <v>512</v>
      </c>
      <c r="E97" s="255">
        <v>0</v>
      </c>
      <c r="F97" s="255">
        <v>0.4000999999999999</v>
      </c>
      <c r="G97" s="255">
        <v>0</v>
      </c>
      <c r="H97" s="403">
        <v>0</v>
      </c>
      <c r="I97" s="654">
        <v>0</v>
      </c>
      <c r="J97" s="654">
        <v>0.4000999999999999</v>
      </c>
      <c r="K97" s="434">
        <f t="shared" si="1"/>
        <v>-0.4000999999999999</v>
      </c>
      <c r="L97" s="256">
        <v>3001</v>
      </c>
      <c r="N97" s="257"/>
      <c r="O97" s="9"/>
      <c r="P97" s="9"/>
    </row>
    <row r="98" spans="1:16">
      <c r="A98" s="260">
        <v>2005</v>
      </c>
      <c r="B98" s="252">
        <v>41840</v>
      </c>
      <c r="C98" s="253" t="s">
        <v>227</v>
      </c>
      <c r="D98" s="254" t="s">
        <v>513</v>
      </c>
      <c r="E98" s="255">
        <v>0</v>
      </c>
      <c r="F98" s="255">
        <v>0</v>
      </c>
      <c r="G98" s="255">
        <v>0</v>
      </c>
      <c r="H98" s="403">
        <v>0</v>
      </c>
      <c r="I98" s="654">
        <v>0</v>
      </c>
      <c r="J98" s="654">
        <v>0</v>
      </c>
      <c r="K98" s="434">
        <f t="shared" si="1"/>
        <v>0</v>
      </c>
      <c r="L98" s="256">
        <v>3001</v>
      </c>
      <c r="N98" s="257"/>
      <c r="O98" s="9"/>
      <c r="P98" s="9"/>
    </row>
    <row r="99" spans="1:16">
      <c r="A99" s="260">
        <v>2005</v>
      </c>
      <c r="B99" s="252">
        <v>4185</v>
      </c>
      <c r="C99" s="253" t="s">
        <v>228</v>
      </c>
      <c r="D99" s="254" t="s">
        <v>512</v>
      </c>
      <c r="E99" s="255">
        <v>0</v>
      </c>
      <c r="F99" s="255">
        <v>0</v>
      </c>
      <c r="G99" s="255">
        <v>0</v>
      </c>
      <c r="H99" s="403">
        <v>0</v>
      </c>
      <c r="I99" s="654">
        <v>0</v>
      </c>
      <c r="J99" s="654">
        <v>0</v>
      </c>
      <c r="K99" s="434">
        <f t="shared" si="1"/>
        <v>0</v>
      </c>
      <c r="L99" s="256">
        <v>3001</v>
      </c>
      <c r="N99" s="257"/>
      <c r="O99" s="9"/>
      <c r="P99" s="9"/>
    </row>
    <row r="100" spans="1:16">
      <c r="A100" s="260">
        <v>2005</v>
      </c>
      <c r="B100" s="252">
        <v>408</v>
      </c>
      <c r="C100" s="253" t="s">
        <v>229</v>
      </c>
      <c r="D100" s="254" t="s">
        <v>511</v>
      </c>
      <c r="E100" s="255">
        <v>0</v>
      </c>
      <c r="F100" s="255">
        <v>11578594</v>
      </c>
      <c r="G100" s="255">
        <v>12074518</v>
      </c>
      <c r="H100" s="403">
        <v>7350290</v>
      </c>
      <c r="I100" s="654">
        <v>0</v>
      </c>
      <c r="J100" s="654">
        <v>6854366</v>
      </c>
      <c r="K100" s="434">
        <f t="shared" si="1"/>
        <v>-6854366</v>
      </c>
      <c r="L100" s="256">
        <v>3001</v>
      </c>
      <c r="N100" s="257"/>
      <c r="O100" s="9"/>
      <c r="P100" s="9"/>
    </row>
    <row r="101" spans="1:16">
      <c r="A101" s="260">
        <v>2005</v>
      </c>
      <c r="B101" s="252">
        <v>409</v>
      </c>
      <c r="C101" s="253" t="s">
        <v>230</v>
      </c>
      <c r="D101" s="254" t="s">
        <v>511</v>
      </c>
      <c r="E101" s="255">
        <v>4.6999999999999993E-3</v>
      </c>
      <c r="F101" s="255">
        <v>0</v>
      </c>
      <c r="G101" s="255">
        <v>3342593.8011000003</v>
      </c>
      <c r="H101" s="403">
        <v>3342593.7991999998</v>
      </c>
      <c r="I101" s="654">
        <v>6.6000008583068847E-3</v>
      </c>
      <c r="J101" s="654">
        <v>0</v>
      </c>
      <c r="K101" s="434">
        <f t="shared" si="1"/>
        <v>6.6000008583068847E-3</v>
      </c>
      <c r="L101" s="256"/>
      <c r="N101" s="257"/>
      <c r="O101" s="9"/>
      <c r="P101" s="9"/>
    </row>
    <row r="102" spans="1:16">
      <c r="A102" s="260">
        <v>1012</v>
      </c>
      <c r="B102" s="252">
        <v>40911</v>
      </c>
      <c r="C102" s="253" t="s">
        <v>231</v>
      </c>
      <c r="D102" s="254" t="s">
        <v>511</v>
      </c>
      <c r="E102" s="255">
        <v>0</v>
      </c>
      <c r="F102" s="255">
        <v>0</v>
      </c>
      <c r="G102" s="255">
        <v>0</v>
      </c>
      <c r="H102" s="403">
        <v>0</v>
      </c>
      <c r="I102" s="654">
        <v>0</v>
      </c>
      <c r="J102" s="654">
        <v>0</v>
      </c>
      <c r="K102" s="543">
        <f t="shared" si="1"/>
        <v>0</v>
      </c>
      <c r="L102" s="256">
        <v>2050</v>
      </c>
      <c r="N102" s="257"/>
      <c r="O102" s="9"/>
      <c r="P102" s="9"/>
    </row>
    <row r="103" spans="1:16">
      <c r="A103" s="260">
        <v>1012</v>
      </c>
      <c r="B103" s="252">
        <v>40912</v>
      </c>
      <c r="C103" s="253" t="s">
        <v>232</v>
      </c>
      <c r="D103" s="254" t="s">
        <v>511</v>
      </c>
      <c r="E103" s="255">
        <v>0</v>
      </c>
      <c r="F103" s="255">
        <v>0</v>
      </c>
      <c r="G103" s="255">
        <v>0</v>
      </c>
      <c r="H103" s="403">
        <v>0</v>
      </c>
      <c r="I103" s="654">
        <v>0</v>
      </c>
      <c r="J103" s="654">
        <v>0</v>
      </c>
      <c r="K103" s="543">
        <f t="shared" si="1"/>
        <v>0</v>
      </c>
      <c r="L103" s="256">
        <v>2050</v>
      </c>
      <c r="N103" s="257"/>
      <c r="O103" s="9"/>
      <c r="P103" s="9"/>
    </row>
    <row r="104" spans="1:16">
      <c r="A104" s="260">
        <v>1012</v>
      </c>
      <c r="B104" s="252">
        <v>40914</v>
      </c>
      <c r="C104" s="253" t="s">
        <v>233</v>
      </c>
      <c r="D104" s="254" t="s">
        <v>511</v>
      </c>
      <c r="E104" s="255">
        <v>0</v>
      </c>
      <c r="F104" s="255">
        <v>0</v>
      </c>
      <c r="G104" s="255">
        <v>0</v>
      </c>
      <c r="H104" s="403">
        <v>0</v>
      </c>
      <c r="I104" s="654">
        <v>0</v>
      </c>
      <c r="J104" s="654">
        <v>0</v>
      </c>
      <c r="K104" s="543">
        <f t="shared" si="1"/>
        <v>0</v>
      </c>
      <c r="L104" s="256">
        <v>2050</v>
      </c>
      <c r="N104" s="257"/>
      <c r="O104" s="9"/>
      <c r="P104" s="9"/>
    </row>
    <row r="105" spans="1:16">
      <c r="A105" s="260">
        <v>1012</v>
      </c>
      <c r="B105" s="252">
        <v>4097</v>
      </c>
      <c r="C105" s="253" t="s">
        <v>224</v>
      </c>
      <c r="D105" s="254" t="s">
        <v>511</v>
      </c>
      <c r="E105" s="255">
        <v>4.4999999999999997E-3</v>
      </c>
      <c r="F105" s="255">
        <v>0</v>
      </c>
      <c r="G105" s="255">
        <v>0</v>
      </c>
      <c r="H105" s="403">
        <v>0</v>
      </c>
      <c r="I105" s="654">
        <v>4.4999999999999997E-3</v>
      </c>
      <c r="J105" s="654">
        <v>0</v>
      </c>
      <c r="K105" s="543">
        <f t="shared" si="1"/>
        <v>4.4999999999999997E-3</v>
      </c>
      <c r="L105" s="256">
        <v>2050</v>
      </c>
      <c r="N105" s="257"/>
      <c r="O105" s="9"/>
      <c r="P105" s="9"/>
    </row>
    <row r="106" spans="1:16">
      <c r="A106" s="260">
        <v>1012</v>
      </c>
      <c r="B106" s="252">
        <v>40902</v>
      </c>
      <c r="C106" s="253" t="s">
        <v>234</v>
      </c>
      <c r="D106" s="254" t="s">
        <v>513</v>
      </c>
      <c r="E106" s="255">
        <v>0</v>
      </c>
      <c r="F106" s="255">
        <v>4.0000000000000002E-4</v>
      </c>
      <c r="G106" s="255">
        <v>0</v>
      </c>
      <c r="H106" s="403">
        <v>0</v>
      </c>
      <c r="I106" s="654">
        <v>0</v>
      </c>
      <c r="J106" s="654">
        <v>4.0000000000000002E-4</v>
      </c>
      <c r="K106" s="543">
        <f t="shared" si="1"/>
        <v>-4.0000000000000002E-4</v>
      </c>
      <c r="L106" s="256">
        <v>2050</v>
      </c>
      <c r="N106" s="257"/>
      <c r="O106" s="9"/>
      <c r="P106" s="9"/>
    </row>
    <row r="107" spans="1:16">
      <c r="A107" s="260">
        <v>1012</v>
      </c>
      <c r="B107" s="252">
        <v>40904</v>
      </c>
      <c r="C107" s="253" t="s">
        <v>518</v>
      </c>
      <c r="D107" s="254" t="s">
        <v>511</v>
      </c>
      <c r="E107" s="255">
        <v>0</v>
      </c>
      <c r="F107" s="255">
        <v>0</v>
      </c>
      <c r="G107" s="255">
        <v>559185.82999999996</v>
      </c>
      <c r="H107" s="403">
        <v>559185.82999999996</v>
      </c>
      <c r="I107" s="654">
        <v>0</v>
      </c>
      <c r="J107" s="654">
        <v>0</v>
      </c>
      <c r="K107" s="543">
        <f t="shared" si="1"/>
        <v>0</v>
      </c>
      <c r="L107" s="256">
        <v>2050</v>
      </c>
      <c r="N107" s="257"/>
      <c r="O107" s="9"/>
      <c r="P107" s="9"/>
    </row>
    <row r="108" spans="1:16">
      <c r="A108" s="260">
        <v>1012</v>
      </c>
      <c r="B108" s="252">
        <v>40905</v>
      </c>
      <c r="C108" s="253" t="s">
        <v>235</v>
      </c>
      <c r="D108" s="254" t="s">
        <v>512</v>
      </c>
      <c r="E108" s="255">
        <v>0</v>
      </c>
      <c r="F108" s="255">
        <v>5.0000000000000012E-4</v>
      </c>
      <c r="G108" s="255">
        <v>2599517.87</v>
      </c>
      <c r="H108" s="403">
        <v>2599517.8698</v>
      </c>
      <c r="I108" s="654">
        <v>0</v>
      </c>
      <c r="J108" s="654">
        <v>3.0000060796737672E-4</v>
      </c>
      <c r="K108" s="543">
        <f t="shared" si="1"/>
        <v>-3.0000060796737672E-4</v>
      </c>
      <c r="L108" s="256">
        <v>2050</v>
      </c>
      <c r="N108" s="257"/>
      <c r="O108" s="9"/>
      <c r="P108" s="9"/>
    </row>
    <row r="109" spans="1:16">
      <c r="A109" s="260">
        <v>2009</v>
      </c>
      <c r="B109" s="252">
        <v>40906</v>
      </c>
      <c r="C109" s="253" t="s">
        <v>236</v>
      </c>
      <c r="D109" s="254" t="s">
        <v>512</v>
      </c>
      <c r="E109" s="255">
        <v>0</v>
      </c>
      <c r="F109" s="255">
        <v>434832.8</v>
      </c>
      <c r="G109" s="255">
        <v>0</v>
      </c>
      <c r="H109" s="403">
        <v>0</v>
      </c>
      <c r="I109" s="654">
        <v>0</v>
      </c>
      <c r="J109" s="654">
        <v>434832.8</v>
      </c>
      <c r="K109" s="434">
        <f t="shared" si="1"/>
        <v>-434832.8</v>
      </c>
      <c r="L109" s="256">
        <v>3002</v>
      </c>
      <c r="N109" s="257"/>
      <c r="O109" s="9"/>
      <c r="P109" s="9"/>
    </row>
    <row r="110" spans="1:16">
      <c r="A110" s="260">
        <v>1012</v>
      </c>
      <c r="B110" s="252">
        <v>4091</v>
      </c>
      <c r="C110" s="253" t="s">
        <v>226</v>
      </c>
      <c r="D110" s="254" t="s">
        <v>512</v>
      </c>
      <c r="E110" s="255">
        <v>9807993.8548000008</v>
      </c>
      <c r="F110" s="255">
        <v>0</v>
      </c>
      <c r="G110" s="255">
        <v>4754674</v>
      </c>
      <c r="H110" s="403">
        <v>14562667.85</v>
      </c>
      <c r="I110" s="654">
        <v>4.8000025749206539E-3</v>
      </c>
      <c r="J110" s="654">
        <v>0</v>
      </c>
      <c r="K110" s="543">
        <f t="shared" si="1"/>
        <v>4.8000025749206539E-3</v>
      </c>
      <c r="L110" s="256">
        <v>2050</v>
      </c>
      <c r="N110" s="257"/>
      <c r="O110" s="9"/>
      <c r="P110" s="9"/>
    </row>
    <row r="111" spans="1:16">
      <c r="A111" s="260">
        <v>1012</v>
      </c>
      <c r="B111" s="252">
        <v>40910</v>
      </c>
      <c r="C111" s="253" t="s">
        <v>1009</v>
      </c>
      <c r="D111" s="254" t="s">
        <v>513</v>
      </c>
      <c r="E111" s="255">
        <v>1089664.1000000001</v>
      </c>
      <c r="F111" s="255">
        <v>0</v>
      </c>
      <c r="G111" s="255">
        <v>2294029.1</v>
      </c>
      <c r="H111" s="403">
        <v>3383693.2003000001</v>
      </c>
      <c r="I111" s="654">
        <v>0</v>
      </c>
      <c r="J111" s="654">
        <v>2.9999971389770507E-4</v>
      </c>
      <c r="K111" s="543">
        <f t="shared" si="1"/>
        <v>-2.9999971389770507E-4</v>
      </c>
      <c r="L111" s="256">
        <v>2050</v>
      </c>
      <c r="N111" s="257"/>
      <c r="O111" s="9"/>
      <c r="P111" s="9"/>
    </row>
    <row r="112" spans="1:16">
      <c r="A112" s="260">
        <v>1012</v>
      </c>
      <c r="B112" s="252">
        <v>40915</v>
      </c>
      <c r="C112" s="253" t="s">
        <v>1010</v>
      </c>
      <c r="D112" s="254" t="s">
        <v>512</v>
      </c>
      <c r="E112" s="255">
        <v>0</v>
      </c>
      <c r="F112" s="255">
        <v>0</v>
      </c>
      <c r="G112" s="255">
        <v>410170.7</v>
      </c>
      <c r="H112" s="403">
        <v>0</v>
      </c>
      <c r="I112" s="654">
        <v>410170.7</v>
      </c>
      <c r="J112" s="654">
        <v>0</v>
      </c>
      <c r="K112" s="543">
        <f t="shared" si="1"/>
        <v>410170.7</v>
      </c>
      <c r="L112" s="256">
        <v>2050</v>
      </c>
      <c r="N112" s="257"/>
      <c r="O112" s="9"/>
      <c r="P112" s="9"/>
    </row>
    <row r="113" spans="1:16">
      <c r="A113" s="424">
        <v>1012</v>
      </c>
      <c r="B113" s="420">
        <v>409100</v>
      </c>
      <c r="C113" s="421" t="s">
        <v>519</v>
      </c>
      <c r="D113" s="254" t="s">
        <v>511</v>
      </c>
      <c r="E113" s="255">
        <v>1591075.98</v>
      </c>
      <c r="F113" s="255">
        <v>0</v>
      </c>
      <c r="G113" s="255">
        <v>0</v>
      </c>
      <c r="H113" s="403">
        <v>1591076.11</v>
      </c>
      <c r="I113" s="654">
        <v>0</v>
      </c>
      <c r="J113" s="654">
        <v>0.13</v>
      </c>
      <c r="K113" s="543">
        <f t="shared" si="1"/>
        <v>-0.13</v>
      </c>
      <c r="L113" s="256">
        <v>2050</v>
      </c>
      <c r="N113" s="257"/>
      <c r="O113" s="9"/>
      <c r="P113" s="9"/>
    </row>
    <row r="114" spans="1:16">
      <c r="A114" s="260">
        <v>2009</v>
      </c>
      <c r="B114" s="252">
        <v>4188</v>
      </c>
      <c r="C114" s="253" t="s">
        <v>237</v>
      </c>
      <c r="D114" s="254" t="s">
        <v>513</v>
      </c>
      <c r="E114" s="255">
        <v>0</v>
      </c>
      <c r="F114" s="255">
        <v>0</v>
      </c>
      <c r="G114" s="255">
        <v>13671100.476</v>
      </c>
      <c r="H114" s="403">
        <v>13671100.476</v>
      </c>
      <c r="I114" s="654">
        <v>0</v>
      </c>
      <c r="J114" s="654">
        <v>0</v>
      </c>
      <c r="K114" s="434">
        <f t="shared" si="1"/>
        <v>0</v>
      </c>
      <c r="L114" s="256">
        <v>3002</v>
      </c>
      <c r="N114" s="257"/>
      <c r="O114" s="9"/>
      <c r="P114" s="9"/>
    </row>
    <row r="115" spans="1:16">
      <c r="A115" s="260">
        <v>1012</v>
      </c>
      <c r="B115" s="252">
        <v>4189</v>
      </c>
      <c r="C115" s="253" t="s">
        <v>238</v>
      </c>
      <c r="D115" s="254" t="s">
        <v>513</v>
      </c>
      <c r="E115" s="255">
        <v>0</v>
      </c>
      <c r="F115" s="255">
        <v>0</v>
      </c>
      <c r="G115" s="255">
        <v>1054239.8400000001</v>
      </c>
      <c r="H115" s="403">
        <v>0</v>
      </c>
      <c r="I115" s="654">
        <v>1054239.8400000001</v>
      </c>
      <c r="J115" s="654">
        <v>0</v>
      </c>
      <c r="K115" s="543">
        <f t="shared" si="1"/>
        <v>1054239.8400000001</v>
      </c>
      <c r="L115" s="256">
        <v>2050</v>
      </c>
      <c r="N115" s="257"/>
      <c r="O115" s="9"/>
      <c r="P115" s="9"/>
    </row>
    <row r="116" spans="1:16">
      <c r="A116" s="260">
        <v>2009</v>
      </c>
      <c r="B116" s="252">
        <v>419</v>
      </c>
      <c r="C116" s="253" t="s">
        <v>239</v>
      </c>
      <c r="D116" s="254" t="s">
        <v>511</v>
      </c>
      <c r="E116" s="255">
        <v>0</v>
      </c>
      <c r="F116" s="255">
        <v>0</v>
      </c>
      <c r="G116" s="255">
        <v>5828428</v>
      </c>
      <c r="H116" s="403">
        <v>18597270</v>
      </c>
      <c r="I116" s="654">
        <v>0</v>
      </c>
      <c r="J116" s="654">
        <v>12768842</v>
      </c>
      <c r="K116" s="434">
        <f t="shared" si="1"/>
        <v>-12768842</v>
      </c>
      <c r="L116" s="256">
        <v>3002</v>
      </c>
      <c r="N116" s="257"/>
      <c r="O116" s="9"/>
      <c r="P116" s="9"/>
    </row>
    <row r="117" spans="1:16">
      <c r="A117" s="260">
        <v>2009</v>
      </c>
      <c r="B117" s="252">
        <v>4192</v>
      </c>
      <c r="C117" s="253" t="s">
        <v>240</v>
      </c>
      <c r="D117" s="254" t="s">
        <v>512</v>
      </c>
      <c r="E117" s="255">
        <v>2.0000000000000001E-4</v>
      </c>
      <c r="F117" s="255">
        <v>0</v>
      </c>
      <c r="G117" s="255">
        <v>0</v>
      </c>
      <c r="H117" s="403">
        <v>0</v>
      </c>
      <c r="I117" s="654">
        <v>2.0000000000000001E-4</v>
      </c>
      <c r="J117" s="654">
        <v>0</v>
      </c>
      <c r="K117" s="434">
        <f t="shared" si="1"/>
        <v>2.0000000000000001E-4</v>
      </c>
      <c r="L117" s="256">
        <v>3002</v>
      </c>
      <c r="N117" s="257"/>
      <c r="O117" s="9"/>
      <c r="P117" s="9"/>
    </row>
    <row r="118" spans="1:16">
      <c r="A118" s="260">
        <v>2009</v>
      </c>
      <c r="B118" s="252">
        <v>4193</v>
      </c>
      <c r="C118" s="253" t="s">
        <v>241</v>
      </c>
      <c r="D118" s="254" t="s">
        <v>512</v>
      </c>
      <c r="E118" s="255">
        <v>0</v>
      </c>
      <c r="F118" s="255">
        <v>0</v>
      </c>
      <c r="G118" s="255">
        <v>0</v>
      </c>
      <c r="H118" s="403">
        <v>0</v>
      </c>
      <c r="I118" s="654">
        <v>0</v>
      </c>
      <c r="J118" s="654">
        <v>0</v>
      </c>
      <c r="K118" s="434">
        <f t="shared" si="1"/>
        <v>0</v>
      </c>
      <c r="L118" s="256">
        <v>3002</v>
      </c>
      <c r="N118" s="257"/>
      <c r="O118" s="9"/>
      <c r="P118" s="9"/>
    </row>
    <row r="119" spans="1:16">
      <c r="A119" s="260">
        <v>2009</v>
      </c>
      <c r="B119" s="252">
        <v>4194</v>
      </c>
      <c r="C119" s="253" t="s">
        <v>242</v>
      </c>
      <c r="D119" s="254" t="s">
        <v>511</v>
      </c>
      <c r="E119" s="255">
        <v>0</v>
      </c>
      <c r="F119" s="255">
        <v>0</v>
      </c>
      <c r="G119" s="255">
        <v>0</v>
      </c>
      <c r="H119" s="403">
        <v>0</v>
      </c>
      <c r="I119" s="654">
        <v>0</v>
      </c>
      <c r="J119" s="654">
        <v>0</v>
      </c>
      <c r="K119" s="434">
        <f t="shared" si="1"/>
        <v>0</v>
      </c>
      <c r="L119" s="256">
        <v>3002</v>
      </c>
      <c r="N119" s="257"/>
      <c r="O119" s="9"/>
      <c r="P119" s="9"/>
    </row>
    <row r="120" spans="1:16">
      <c r="A120" s="260">
        <v>2009</v>
      </c>
      <c r="B120" s="252">
        <v>4195</v>
      </c>
      <c r="C120" s="253" t="s">
        <v>243</v>
      </c>
      <c r="D120" s="254" t="s">
        <v>512</v>
      </c>
      <c r="E120" s="255">
        <v>1.3899999999999997E-2</v>
      </c>
      <c r="F120" s="255">
        <v>0</v>
      </c>
      <c r="G120" s="255">
        <v>0</v>
      </c>
      <c r="H120" s="403">
        <v>0</v>
      </c>
      <c r="I120" s="654">
        <v>1.3899999999999997E-2</v>
      </c>
      <c r="J120" s="654">
        <v>0</v>
      </c>
      <c r="K120" s="434">
        <f t="shared" si="1"/>
        <v>1.3899999999999997E-2</v>
      </c>
      <c r="L120" s="256">
        <v>3002</v>
      </c>
      <c r="N120" s="257"/>
      <c r="O120" s="9"/>
      <c r="P120" s="9"/>
    </row>
    <row r="121" spans="1:16">
      <c r="A121" s="260">
        <v>2009</v>
      </c>
      <c r="B121" s="252">
        <v>4196</v>
      </c>
      <c r="C121" s="253" t="s">
        <v>244</v>
      </c>
      <c r="D121" s="254" t="s">
        <v>512</v>
      </c>
      <c r="E121" s="255">
        <v>0</v>
      </c>
      <c r="F121" s="255">
        <v>0.31950000000000001</v>
      </c>
      <c r="G121" s="255">
        <v>0</v>
      </c>
      <c r="H121" s="403">
        <v>0</v>
      </c>
      <c r="I121" s="654">
        <v>0</v>
      </c>
      <c r="J121" s="654">
        <v>0.31950000000000001</v>
      </c>
      <c r="K121" s="434">
        <f t="shared" si="1"/>
        <v>-0.31950000000000001</v>
      </c>
      <c r="L121" s="256">
        <v>3002</v>
      </c>
      <c r="N121" s="257"/>
      <c r="O121" s="9"/>
      <c r="P121" s="9"/>
    </row>
    <row r="122" spans="1:16">
      <c r="A122" s="260">
        <v>2009</v>
      </c>
      <c r="B122" s="252">
        <v>4197</v>
      </c>
      <c r="C122" s="253" t="s">
        <v>245</v>
      </c>
      <c r="D122" s="254" t="s">
        <v>512</v>
      </c>
      <c r="E122" s="255">
        <v>0</v>
      </c>
      <c r="F122" s="255">
        <v>0</v>
      </c>
      <c r="G122" s="255">
        <v>0</v>
      </c>
      <c r="H122" s="403">
        <v>0</v>
      </c>
      <c r="I122" s="654">
        <v>0</v>
      </c>
      <c r="J122" s="654">
        <v>0</v>
      </c>
      <c r="K122" s="434">
        <f t="shared" si="1"/>
        <v>0</v>
      </c>
      <c r="L122" s="256">
        <v>3002</v>
      </c>
      <c r="N122" s="257"/>
      <c r="O122" s="9"/>
      <c r="P122" s="9"/>
    </row>
    <row r="123" spans="1:16">
      <c r="A123" s="260">
        <v>2009</v>
      </c>
      <c r="B123" s="252">
        <v>4198</v>
      </c>
      <c r="C123" s="253" t="s">
        <v>246</v>
      </c>
      <c r="D123" s="254" t="s">
        <v>512</v>
      </c>
      <c r="E123" s="255">
        <v>0</v>
      </c>
      <c r="F123" s="255">
        <v>3650326</v>
      </c>
      <c r="G123" s="255">
        <v>5160648.7598000001</v>
      </c>
      <c r="H123" s="403">
        <v>4659521</v>
      </c>
      <c r="I123" s="654">
        <v>0</v>
      </c>
      <c r="J123" s="654">
        <v>3149198.2401999999</v>
      </c>
      <c r="K123" s="434">
        <f t="shared" si="1"/>
        <v>-3149198.2401999999</v>
      </c>
      <c r="L123" s="256">
        <v>3002</v>
      </c>
      <c r="N123" s="257"/>
      <c r="O123" s="9"/>
      <c r="P123" s="9"/>
    </row>
    <row r="124" spans="1:16">
      <c r="A124" s="260">
        <v>2009</v>
      </c>
      <c r="B124" s="252">
        <v>4199</v>
      </c>
      <c r="C124" s="253" t="s">
        <v>247</v>
      </c>
      <c r="D124" s="254" t="s">
        <v>511</v>
      </c>
      <c r="E124" s="255">
        <v>0</v>
      </c>
      <c r="F124" s="255">
        <v>0</v>
      </c>
      <c r="G124" s="255">
        <v>0</v>
      </c>
      <c r="H124" s="403">
        <v>0</v>
      </c>
      <c r="I124" s="654">
        <v>0</v>
      </c>
      <c r="J124" s="654">
        <v>0</v>
      </c>
      <c r="K124" s="434">
        <f t="shared" si="1"/>
        <v>0</v>
      </c>
      <c r="L124" s="256">
        <v>3002</v>
      </c>
      <c r="N124" s="257"/>
      <c r="O124" s="9"/>
      <c r="P124" s="9"/>
    </row>
    <row r="125" spans="1:16">
      <c r="A125" s="260">
        <v>2006</v>
      </c>
      <c r="B125" s="252">
        <v>42101</v>
      </c>
      <c r="C125" s="253" t="s">
        <v>248</v>
      </c>
      <c r="D125" s="254" t="s">
        <v>511</v>
      </c>
      <c r="E125" s="255">
        <v>0</v>
      </c>
      <c r="F125" s="255">
        <v>1847325.12</v>
      </c>
      <c r="G125" s="255">
        <v>311924755.99859995</v>
      </c>
      <c r="H125" s="403">
        <v>313081389</v>
      </c>
      <c r="I125" s="654">
        <v>0</v>
      </c>
      <c r="J125" s="654">
        <v>3003958.1214000322</v>
      </c>
      <c r="K125" s="434">
        <f t="shared" si="1"/>
        <v>-3003958.1214000322</v>
      </c>
      <c r="L125" s="256">
        <v>3005</v>
      </c>
      <c r="N125" s="257"/>
      <c r="O125" s="9"/>
      <c r="P125" s="9"/>
    </row>
    <row r="126" spans="1:16">
      <c r="A126" s="260">
        <v>1005</v>
      </c>
      <c r="B126" s="252">
        <v>423</v>
      </c>
      <c r="C126" s="253" t="s">
        <v>249</v>
      </c>
      <c r="D126" s="254" t="s">
        <v>511</v>
      </c>
      <c r="E126" s="255">
        <v>202500</v>
      </c>
      <c r="F126" s="255">
        <v>0</v>
      </c>
      <c r="G126" s="255">
        <v>474605</v>
      </c>
      <c r="H126" s="403">
        <v>497105</v>
      </c>
      <c r="I126" s="654">
        <v>180000</v>
      </c>
      <c r="J126" s="654">
        <v>0</v>
      </c>
      <c r="K126" s="434">
        <f t="shared" si="1"/>
        <v>180000</v>
      </c>
      <c r="L126" s="256">
        <v>2024</v>
      </c>
      <c r="N126" s="257"/>
      <c r="O126" s="9"/>
      <c r="P126" s="9"/>
    </row>
    <row r="127" spans="1:16">
      <c r="A127" s="260">
        <v>1005</v>
      </c>
      <c r="B127" s="252">
        <v>4230</v>
      </c>
      <c r="C127" s="253" t="s">
        <v>525</v>
      </c>
      <c r="D127" s="254" t="s">
        <v>511</v>
      </c>
      <c r="E127" s="255">
        <v>0</v>
      </c>
      <c r="F127" s="255">
        <v>1657</v>
      </c>
      <c r="G127" s="255">
        <v>181308492</v>
      </c>
      <c r="H127" s="403">
        <v>181289009</v>
      </c>
      <c r="I127" s="654">
        <v>17826</v>
      </c>
      <c r="J127" s="654">
        <v>0</v>
      </c>
      <c r="K127" s="434">
        <f t="shared" si="1"/>
        <v>17826</v>
      </c>
      <c r="L127" s="256">
        <v>2024</v>
      </c>
      <c r="N127" s="257"/>
      <c r="O127" s="9"/>
      <c r="P127" s="9"/>
    </row>
    <row r="128" spans="1:16">
      <c r="A128" s="260">
        <v>1005</v>
      </c>
      <c r="B128" s="252">
        <v>4231</v>
      </c>
      <c r="C128" s="253" t="s">
        <v>526</v>
      </c>
      <c r="D128" s="254" t="s">
        <v>511</v>
      </c>
      <c r="E128" s="255">
        <v>90156.06</v>
      </c>
      <c r="F128" s="255">
        <v>0</v>
      </c>
      <c r="G128" s="255">
        <v>10337152</v>
      </c>
      <c r="H128" s="403">
        <v>10216724.800000001</v>
      </c>
      <c r="I128" s="654">
        <v>210583.26</v>
      </c>
      <c r="J128" s="654">
        <v>0</v>
      </c>
      <c r="K128" s="434">
        <f t="shared" si="1"/>
        <v>210583.26</v>
      </c>
      <c r="L128" s="256">
        <v>2024</v>
      </c>
      <c r="N128" s="257"/>
      <c r="O128" s="9"/>
      <c r="P128" s="9"/>
    </row>
    <row r="129" spans="1:24">
      <c r="A129" s="260">
        <v>2007</v>
      </c>
      <c r="B129" s="252">
        <v>43101</v>
      </c>
      <c r="C129" s="253" t="s">
        <v>250</v>
      </c>
      <c r="D129" s="254" t="s">
        <v>511</v>
      </c>
      <c r="E129" s="255">
        <v>0</v>
      </c>
      <c r="F129" s="255">
        <v>9662430</v>
      </c>
      <c r="G129" s="255">
        <v>114449534</v>
      </c>
      <c r="H129" s="403">
        <v>115017920</v>
      </c>
      <c r="I129" s="654">
        <v>0</v>
      </c>
      <c r="J129" s="654">
        <v>10230816</v>
      </c>
      <c r="K129" s="434">
        <f t="shared" si="1"/>
        <v>-10230816</v>
      </c>
      <c r="L129" s="256">
        <v>3006</v>
      </c>
      <c r="N129" s="257"/>
      <c r="O129" s="9"/>
      <c r="P129" s="9"/>
    </row>
    <row r="130" spans="1:24">
      <c r="A130" s="260">
        <v>2007</v>
      </c>
      <c r="B130" s="252">
        <v>44201</v>
      </c>
      <c r="C130" s="253" t="s">
        <v>251</v>
      </c>
      <c r="D130" s="254" t="s">
        <v>511</v>
      </c>
      <c r="E130" s="255">
        <v>0</v>
      </c>
      <c r="F130" s="255">
        <v>5122626</v>
      </c>
      <c r="G130" s="255">
        <v>59583205</v>
      </c>
      <c r="H130" s="403">
        <v>59787876</v>
      </c>
      <c r="I130" s="654">
        <v>0</v>
      </c>
      <c r="J130" s="654">
        <v>5327297</v>
      </c>
      <c r="K130" s="434">
        <f t="shared" si="1"/>
        <v>-5327297</v>
      </c>
      <c r="L130" s="256">
        <v>3007</v>
      </c>
      <c r="N130" s="257"/>
      <c r="O130" s="9"/>
      <c r="P130" s="9"/>
    </row>
    <row r="131" spans="1:24">
      <c r="A131" s="260">
        <v>2007</v>
      </c>
      <c r="B131" s="252">
        <v>4421</v>
      </c>
      <c r="C131" s="253" t="s">
        <v>41</v>
      </c>
      <c r="D131" s="254" t="s">
        <v>511</v>
      </c>
      <c r="E131" s="255">
        <v>0</v>
      </c>
      <c r="F131" s="255">
        <v>884279.04590000014</v>
      </c>
      <c r="G131" s="255">
        <v>13586111.867999999</v>
      </c>
      <c r="H131" s="403">
        <v>12814013.052800002</v>
      </c>
      <c r="I131" s="654">
        <v>0</v>
      </c>
      <c r="J131" s="654">
        <v>112180.23070000649</v>
      </c>
      <c r="K131" s="434">
        <f t="shared" si="1"/>
        <v>-112180.23070000649</v>
      </c>
      <c r="L131" s="256">
        <v>3008</v>
      </c>
      <c r="N131" s="257"/>
      <c r="O131" s="9"/>
      <c r="P131" s="9"/>
    </row>
    <row r="132" spans="1:24">
      <c r="A132" s="260">
        <v>2007</v>
      </c>
      <c r="B132" s="252">
        <v>441</v>
      </c>
      <c r="C132" s="253" t="s">
        <v>527</v>
      </c>
      <c r="D132" s="254" t="s">
        <v>511</v>
      </c>
      <c r="E132" s="255">
        <v>0</v>
      </c>
      <c r="F132" s="255">
        <v>0</v>
      </c>
      <c r="G132" s="255">
        <v>0</v>
      </c>
      <c r="H132" s="403">
        <v>0</v>
      </c>
      <c r="I132" s="654">
        <v>0</v>
      </c>
      <c r="J132" s="654">
        <v>0</v>
      </c>
      <c r="K132" s="434">
        <f t="shared" si="1"/>
        <v>0</v>
      </c>
      <c r="L132" s="256"/>
      <c r="N132" s="257"/>
      <c r="O132" s="9"/>
      <c r="P132" s="9"/>
    </row>
    <row r="133" spans="1:24">
      <c r="A133" s="260">
        <v>1005</v>
      </c>
      <c r="B133" s="252">
        <v>444</v>
      </c>
      <c r="C133" s="253" t="s">
        <v>252</v>
      </c>
      <c r="D133" s="254" t="s">
        <v>511</v>
      </c>
      <c r="E133" s="255">
        <v>0</v>
      </c>
      <c r="F133" s="255">
        <v>0</v>
      </c>
      <c r="G133" s="255">
        <v>0</v>
      </c>
      <c r="H133" s="403">
        <v>0</v>
      </c>
      <c r="I133" s="654">
        <v>0</v>
      </c>
      <c r="J133" s="654">
        <v>0</v>
      </c>
      <c r="K133" s="434">
        <f t="shared" ref="K133:K198" si="2">I133-J133</f>
        <v>0</v>
      </c>
      <c r="L133" s="256">
        <v>2023</v>
      </c>
      <c r="N133" s="257"/>
      <c r="O133" s="9"/>
      <c r="P133" s="9"/>
    </row>
    <row r="134" spans="1:24">
      <c r="A134" s="260">
        <v>1005</v>
      </c>
      <c r="B134" s="252">
        <v>4443</v>
      </c>
      <c r="C134" s="253" t="s">
        <v>253</v>
      </c>
      <c r="D134" s="254" t="s">
        <v>511</v>
      </c>
      <c r="E134" s="255">
        <v>3504412</v>
      </c>
      <c r="F134" s="255">
        <v>0</v>
      </c>
      <c r="G134" s="255">
        <v>0</v>
      </c>
      <c r="H134" s="403"/>
      <c r="I134" s="654">
        <v>3504412</v>
      </c>
      <c r="J134" s="654">
        <v>0</v>
      </c>
      <c r="K134" s="434">
        <f t="shared" si="2"/>
        <v>3504412</v>
      </c>
      <c r="L134" s="256">
        <v>2023</v>
      </c>
      <c r="M134" s="9"/>
      <c r="N134" s="257"/>
      <c r="O134" s="9"/>
      <c r="P134" s="9"/>
    </row>
    <row r="135" spans="1:24" s="649" customFormat="1">
      <c r="A135" s="424">
        <v>1005</v>
      </c>
      <c r="B135" s="420">
        <v>4444</v>
      </c>
      <c r="C135" s="421" t="s">
        <v>254</v>
      </c>
      <c r="D135" s="422" t="s">
        <v>511</v>
      </c>
      <c r="E135" s="403">
        <v>16397</v>
      </c>
      <c r="F135" s="403">
        <v>0</v>
      </c>
      <c r="G135" s="403">
        <v>0</v>
      </c>
      <c r="H135" s="403">
        <v>0</v>
      </c>
      <c r="I135" s="655">
        <v>16397</v>
      </c>
      <c r="J135" s="655">
        <v>0</v>
      </c>
      <c r="K135" s="531">
        <f t="shared" si="2"/>
        <v>16397</v>
      </c>
      <c r="L135" s="648">
        <v>2023</v>
      </c>
      <c r="M135" s="257"/>
      <c r="N135" s="257"/>
      <c r="O135" s="257"/>
      <c r="P135" s="257"/>
      <c r="Q135" s="257"/>
      <c r="R135" s="257"/>
      <c r="S135" s="257"/>
      <c r="T135" s="257"/>
      <c r="U135" s="257"/>
      <c r="V135" s="257"/>
      <c r="W135" s="257"/>
      <c r="X135" s="257"/>
    </row>
    <row r="136" spans="1:24" s="649" customFormat="1">
      <c r="A136" s="424">
        <v>1005</v>
      </c>
      <c r="B136" s="420">
        <v>4445</v>
      </c>
      <c r="C136" s="421" t="s">
        <v>528</v>
      </c>
      <c r="D136" s="422" t="s">
        <v>511</v>
      </c>
      <c r="E136" s="403">
        <v>4463356</v>
      </c>
      <c r="F136" s="403">
        <v>0</v>
      </c>
      <c r="G136" s="403">
        <v>1570806</v>
      </c>
      <c r="H136" s="403">
        <v>1143672</v>
      </c>
      <c r="I136" s="655">
        <v>4890490</v>
      </c>
      <c r="J136" s="655">
        <v>0</v>
      </c>
      <c r="K136" s="531">
        <f t="shared" si="2"/>
        <v>4890490</v>
      </c>
      <c r="L136" s="648">
        <v>2023</v>
      </c>
      <c r="M136" s="257"/>
      <c r="N136" s="257"/>
      <c r="O136" s="257"/>
      <c r="P136" s="257"/>
      <c r="Q136" s="257"/>
      <c r="R136" s="257"/>
      <c r="S136" s="257"/>
      <c r="T136" s="257"/>
      <c r="U136" s="257"/>
      <c r="V136" s="257"/>
      <c r="W136" s="257"/>
      <c r="X136" s="257"/>
    </row>
    <row r="137" spans="1:24" s="649" customFormat="1">
      <c r="A137" s="424">
        <v>1005</v>
      </c>
      <c r="B137" s="420" t="s">
        <v>891</v>
      </c>
      <c r="C137" s="421" t="s">
        <v>892</v>
      </c>
      <c r="D137" s="422" t="s">
        <v>511</v>
      </c>
      <c r="E137" s="403">
        <v>0</v>
      </c>
      <c r="F137" s="403">
        <v>0</v>
      </c>
      <c r="G137" s="403">
        <v>1143672</v>
      </c>
      <c r="H137" s="403"/>
      <c r="I137" s="655">
        <v>1143672</v>
      </c>
      <c r="J137" s="655">
        <v>0</v>
      </c>
      <c r="K137" s="531">
        <f t="shared" si="2"/>
        <v>1143672</v>
      </c>
      <c r="L137" s="648">
        <v>2022</v>
      </c>
      <c r="M137" s="257" t="s">
        <v>893</v>
      </c>
      <c r="N137" s="257"/>
      <c r="O137" s="257"/>
      <c r="P137" s="257"/>
      <c r="Q137" s="257"/>
      <c r="R137" s="257"/>
      <c r="S137" s="257"/>
      <c r="T137" s="257"/>
      <c r="U137" s="257"/>
      <c r="V137" s="257"/>
      <c r="W137" s="257"/>
      <c r="X137" s="257"/>
    </row>
    <row r="138" spans="1:24">
      <c r="A138" s="260">
        <v>2007</v>
      </c>
      <c r="B138" s="252">
        <v>4454</v>
      </c>
      <c r="C138" s="253" t="s">
        <v>255</v>
      </c>
      <c r="D138" s="254" t="s">
        <v>511</v>
      </c>
      <c r="E138" s="255">
        <v>0</v>
      </c>
      <c r="F138" s="255">
        <v>0</v>
      </c>
      <c r="G138" s="255">
        <v>0</v>
      </c>
      <c r="H138" s="403">
        <v>0</v>
      </c>
      <c r="I138" s="654">
        <v>0</v>
      </c>
      <c r="J138" s="654">
        <v>0</v>
      </c>
      <c r="K138" s="434">
        <f t="shared" si="2"/>
        <v>0</v>
      </c>
      <c r="L138" s="256">
        <v>3009</v>
      </c>
      <c r="M138" s="433"/>
      <c r="N138" s="257"/>
      <c r="O138" s="9"/>
      <c r="P138" s="9"/>
    </row>
    <row r="139" spans="1:24">
      <c r="A139" s="260">
        <v>2007</v>
      </c>
      <c r="B139" s="252">
        <v>4456</v>
      </c>
      <c r="C139" s="253" t="s">
        <v>256</v>
      </c>
      <c r="D139" s="254" t="s">
        <v>511</v>
      </c>
      <c r="E139" s="255">
        <v>6.0100000000000008E-2</v>
      </c>
      <c r="F139" s="255">
        <v>0</v>
      </c>
      <c r="G139" s="255">
        <v>126247402.22249997</v>
      </c>
      <c r="H139" s="403">
        <v>126247402.28</v>
      </c>
      <c r="I139" s="654">
        <v>2.6000022888183595E-3</v>
      </c>
      <c r="J139" s="654">
        <v>0</v>
      </c>
      <c r="K139" s="434">
        <f t="shared" si="2"/>
        <v>2.6000022888183595E-3</v>
      </c>
      <c r="L139" s="256">
        <v>3009</v>
      </c>
      <c r="N139" s="257"/>
      <c r="O139" s="9"/>
      <c r="P139" s="9"/>
    </row>
    <row r="140" spans="1:24">
      <c r="A140" s="260">
        <v>2007</v>
      </c>
      <c r="B140" s="252">
        <v>44560</v>
      </c>
      <c r="C140" s="253" t="s">
        <v>529</v>
      </c>
      <c r="D140" s="254" t="s">
        <v>511</v>
      </c>
      <c r="E140" s="255">
        <v>0</v>
      </c>
      <c r="F140" s="255">
        <v>0</v>
      </c>
      <c r="G140" s="255">
        <v>0</v>
      </c>
      <c r="H140" s="403">
        <v>0</v>
      </c>
      <c r="I140" s="654">
        <v>0</v>
      </c>
      <c r="J140" s="654">
        <v>0</v>
      </c>
      <c r="K140" s="434">
        <f t="shared" si="2"/>
        <v>0</v>
      </c>
      <c r="L140" s="256">
        <v>3009</v>
      </c>
      <c r="N140" s="257"/>
      <c r="O140" s="9"/>
      <c r="P140" s="9"/>
    </row>
    <row r="141" spans="1:24">
      <c r="A141" s="260">
        <v>2007</v>
      </c>
      <c r="B141" s="252">
        <v>4457</v>
      </c>
      <c r="C141" s="253" t="s">
        <v>257</v>
      </c>
      <c r="D141" s="254" t="s">
        <v>511</v>
      </c>
      <c r="E141" s="255">
        <v>4.7999999999999996E-3</v>
      </c>
      <c r="F141" s="255">
        <v>0</v>
      </c>
      <c r="G141" s="255">
        <v>66008774.149999999</v>
      </c>
      <c r="H141" s="403">
        <v>66008774.155000001</v>
      </c>
      <c r="I141" s="654">
        <v>0</v>
      </c>
      <c r="J141" s="654">
        <v>2.0000457763671875E-4</v>
      </c>
      <c r="K141" s="434">
        <f t="shared" si="2"/>
        <v>-2.0000457763671875E-4</v>
      </c>
      <c r="L141" s="256">
        <v>3009</v>
      </c>
      <c r="N141" s="257"/>
      <c r="O141" s="9"/>
      <c r="P141" s="9"/>
    </row>
    <row r="142" spans="1:24">
      <c r="A142" s="260">
        <v>2007</v>
      </c>
      <c r="B142" s="252">
        <v>4458</v>
      </c>
      <c r="C142" s="253" t="s">
        <v>258</v>
      </c>
      <c r="D142" s="254" t="s">
        <v>511</v>
      </c>
      <c r="E142" s="255">
        <v>2858.7859000000003</v>
      </c>
      <c r="F142" s="255">
        <v>0</v>
      </c>
      <c r="G142" s="255">
        <v>7412138</v>
      </c>
      <c r="H142" s="403">
        <v>7409475.6661999999</v>
      </c>
      <c r="I142" s="654">
        <v>5521.1197000014781</v>
      </c>
      <c r="J142" s="654">
        <v>0</v>
      </c>
      <c r="K142" s="434">
        <f t="shared" si="2"/>
        <v>5521.1197000014781</v>
      </c>
      <c r="L142" s="256">
        <v>3010</v>
      </c>
      <c r="N142" s="257"/>
      <c r="O142" s="9"/>
      <c r="P142" s="9"/>
    </row>
    <row r="143" spans="1:24">
      <c r="A143" s="260">
        <v>2007</v>
      </c>
      <c r="B143" s="252">
        <v>4453</v>
      </c>
      <c r="C143" s="253" t="s">
        <v>259</v>
      </c>
      <c r="D143" s="254" t="s">
        <v>511</v>
      </c>
      <c r="E143" s="255">
        <v>0</v>
      </c>
      <c r="F143" s="255">
        <v>4199915</v>
      </c>
      <c r="G143" s="255">
        <v>36034413</v>
      </c>
      <c r="H143" s="403">
        <v>32856836.870000001</v>
      </c>
      <c r="I143" s="654">
        <v>0</v>
      </c>
      <c r="J143" s="654">
        <v>1022338.87</v>
      </c>
      <c r="K143" s="434">
        <f t="shared" si="2"/>
        <v>-1022338.87</v>
      </c>
      <c r="L143" s="256">
        <v>3009</v>
      </c>
      <c r="N143" s="257"/>
      <c r="O143" s="9"/>
      <c r="P143" s="9"/>
    </row>
    <row r="144" spans="1:24">
      <c r="A144" s="260">
        <v>2007</v>
      </c>
      <c r="B144" s="252">
        <v>447</v>
      </c>
      <c r="C144" s="253" t="s">
        <v>260</v>
      </c>
      <c r="D144" s="254" t="s">
        <v>511</v>
      </c>
      <c r="E144" s="255">
        <v>4.000000000000001E-3</v>
      </c>
      <c r="F144" s="255">
        <v>0</v>
      </c>
      <c r="G144" s="255">
        <v>788149</v>
      </c>
      <c r="H144" s="403">
        <v>788148.32499999995</v>
      </c>
      <c r="I144" s="654">
        <v>0.67900000020861628</v>
      </c>
      <c r="J144" s="654">
        <v>0</v>
      </c>
      <c r="K144" s="434">
        <f t="shared" si="2"/>
        <v>0.67900000020861628</v>
      </c>
      <c r="L144" s="256"/>
      <c r="N144" s="257"/>
      <c r="O144" s="9"/>
      <c r="P144" s="9"/>
    </row>
    <row r="145" spans="1:16">
      <c r="A145" s="260">
        <v>2007</v>
      </c>
      <c r="B145" s="252">
        <v>456</v>
      </c>
      <c r="C145" s="253" t="s">
        <v>261</v>
      </c>
      <c r="D145" s="254" t="s">
        <v>511</v>
      </c>
      <c r="E145" s="255">
        <v>0</v>
      </c>
      <c r="F145" s="255">
        <v>3.0999999999999999E-3</v>
      </c>
      <c r="G145" s="255">
        <v>0</v>
      </c>
      <c r="H145" s="403">
        <v>0</v>
      </c>
      <c r="I145" s="654">
        <v>0</v>
      </c>
      <c r="J145" s="654">
        <v>3.0999999999999999E-3</v>
      </c>
      <c r="K145" s="434">
        <f t="shared" si="2"/>
        <v>-3.0999999999999999E-3</v>
      </c>
      <c r="L145" s="256"/>
      <c r="N145" s="257"/>
      <c r="O145" s="9"/>
      <c r="P145" s="9"/>
    </row>
    <row r="146" spans="1:16">
      <c r="A146" s="260">
        <v>2023</v>
      </c>
      <c r="B146" s="252">
        <v>45601</v>
      </c>
      <c r="C146" s="253" t="s">
        <v>262</v>
      </c>
      <c r="D146" s="254" t="s">
        <v>511</v>
      </c>
      <c r="E146" s="255">
        <v>0</v>
      </c>
      <c r="F146" s="255">
        <v>10579000</v>
      </c>
      <c r="G146" s="255">
        <v>16119956.57</v>
      </c>
      <c r="H146" s="403">
        <v>2801400</v>
      </c>
      <c r="I146" s="654">
        <v>2739556.57</v>
      </c>
      <c r="J146" s="654">
        <v>0</v>
      </c>
      <c r="K146" s="434">
        <f t="shared" si="2"/>
        <v>2739556.57</v>
      </c>
      <c r="L146" s="256">
        <v>3000</v>
      </c>
      <c r="N146" s="257"/>
      <c r="O146" s="9"/>
      <c r="P146" s="9"/>
    </row>
    <row r="147" spans="1:16">
      <c r="A147" s="260">
        <v>2023</v>
      </c>
      <c r="B147" s="252">
        <v>4561</v>
      </c>
      <c r="C147" s="253" t="s">
        <v>263</v>
      </c>
      <c r="D147" s="254" t="s">
        <v>512</v>
      </c>
      <c r="E147" s="255">
        <v>0</v>
      </c>
      <c r="F147" s="255">
        <v>3890489.0800999999</v>
      </c>
      <c r="G147" s="255">
        <v>3890489.08</v>
      </c>
      <c r="H147" s="403">
        <v>0</v>
      </c>
      <c r="I147" s="654">
        <v>0</v>
      </c>
      <c r="J147" s="654">
        <v>9.9999904632568361E-5</v>
      </c>
      <c r="K147" s="434">
        <f t="shared" si="2"/>
        <v>-9.9999904632568361E-5</v>
      </c>
      <c r="L147" s="256">
        <v>3000</v>
      </c>
      <c r="N147" s="257"/>
      <c r="O147" s="9"/>
      <c r="P147" s="9"/>
    </row>
    <row r="148" spans="1:16">
      <c r="A148" s="260">
        <v>2023</v>
      </c>
      <c r="B148" s="252">
        <v>4562</v>
      </c>
      <c r="C148" s="253" t="s">
        <v>264</v>
      </c>
      <c r="D148" s="254" t="s">
        <v>513</v>
      </c>
      <c r="E148" s="255">
        <v>0</v>
      </c>
      <c r="F148" s="255">
        <v>0</v>
      </c>
      <c r="G148" s="255">
        <v>111920</v>
      </c>
      <c r="H148" s="403">
        <v>111920</v>
      </c>
      <c r="I148" s="654">
        <v>0</v>
      </c>
      <c r="J148" s="654">
        <v>0</v>
      </c>
      <c r="K148" s="434">
        <f t="shared" si="2"/>
        <v>0</v>
      </c>
      <c r="L148" s="256">
        <v>3000</v>
      </c>
      <c r="N148" s="257"/>
      <c r="O148" s="9"/>
      <c r="P148" s="9"/>
    </row>
    <row r="149" spans="1:16">
      <c r="A149" s="260">
        <v>2023</v>
      </c>
      <c r="B149" s="252">
        <v>4568</v>
      </c>
      <c r="C149" s="253" t="s">
        <v>530</v>
      </c>
      <c r="D149" s="254" t="s">
        <v>512</v>
      </c>
      <c r="E149" s="255">
        <v>0</v>
      </c>
      <c r="F149" s="255">
        <v>15699090</v>
      </c>
      <c r="G149" s="255">
        <v>0</v>
      </c>
      <c r="H149" s="403">
        <v>6739304.5499999998</v>
      </c>
      <c r="I149" s="654">
        <v>0</v>
      </c>
      <c r="J149" s="654">
        <v>22438395</v>
      </c>
      <c r="K149" s="434">
        <f t="shared" si="2"/>
        <v>-22438395</v>
      </c>
      <c r="L149" s="256">
        <v>3000</v>
      </c>
      <c r="N149" s="257"/>
      <c r="O149" s="9"/>
      <c r="P149" s="9"/>
    </row>
    <row r="150" spans="1:16">
      <c r="A150" s="260">
        <v>2006</v>
      </c>
      <c r="B150" s="252">
        <v>467</v>
      </c>
      <c r="C150" s="253" t="s">
        <v>265</v>
      </c>
      <c r="D150" s="254" t="s">
        <v>511</v>
      </c>
      <c r="E150" s="255">
        <v>0</v>
      </c>
      <c r="F150" s="255">
        <v>20465.003199999999</v>
      </c>
      <c r="G150" s="255">
        <v>13344210</v>
      </c>
      <c r="H150" s="403">
        <v>13464912.800000001</v>
      </c>
      <c r="I150" s="654">
        <v>0</v>
      </c>
      <c r="J150" s="654">
        <v>141168</v>
      </c>
      <c r="K150" s="434">
        <f t="shared" si="2"/>
        <v>-141168</v>
      </c>
      <c r="L150" s="256">
        <v>3010</v>
      </c>
      <c r="N150" s="257"/>
      <c r="O150" s="9"/>
      <c r="P150" s="9"/>
    </row>
    <row r="151" spans="1:16">
      <c r="A151" s="260">
        <v>1005</v>
      </c>
      <c r="B151" s="252">
        <v>4670</v>
      </c>
      <c r="C151" s="253" t="s">
        <v>266</v>
      </c>
      <c r="D151" s="254" t="s">
        <v>511</v>
      </c>
      <c r="E151" s="255">
        <v>43988.92</v>
      </c>
      <c r="F151" s="255">
        <v>0</v>
      </c>
      <c r="G151" s="255">
        <v>6390.83</v>
      </c>
      <c r="H151" s="403">
        <v>43988.92</v>
      </c>
      <c r="I151" s="654">
        <v>6390.83</v>
      </c>
      <c r="J151" s="654">
        <v>0</v>
      </c>
      <c r="K151" s="434">
        <f t="shared" si="2"/>
        <v>6390.83</v>
      </c>
      <c r="L151" s="256">
        <v>2022</v>
      </c>
      <c r="N151" s="257"/>
      <c r="O151" s="9"/>
      <c r="P151" s="9"/>
    </row>
    <row r="152" spans="1:16">
      <c r="A152" s="260">
        <v>2006</v>
      </c>
      <c r="B152" s="252">
        <v>46700</v>
      </c>
      <c r="C152" s="253" t="s">
        <v>531</v>
      </c>
      <c r="D152" s="254" t="s">
        <v>511</v>
      </c>
      <c r="E152" s="255">
        <v>0</v>
      </c>
      <c r="F152" s="255">
        <v>277668</v>
      </c>
      <c r="G152" s="255">
        <v>277668</v>
      </c>
      <c r="H152" s="403">
        <v>123765</v>
      </c>
      <c r="I152" s="654">
        <v>0</v>
      </c>
      <c r="J152" s="654">
        <v>123765</v>
      </c>
      <c r="K152" s="434">
        <f t="shared" si="2"/>
        <v>-123765</v>
      </c>
      <c r="L152" s="256">
        <v>3010</v>
      </c>
      <c r="N152" s="257"/>
      <c r="O152" s="9"/>
      <c r="P152" s="9"/>
    </row>
    <row r="153" spans="1:16">
      <c r="A153" s="260">
        <v>1005</v>
      </c>
      <c r="B153" s="252">
        <v>46701</v>
      </c>
      <c r="C153" s="253" t="s">
        <v>533</v>
      </c>
      <c r="D153" s="254" t="s">
        <v>511</v>
      </c>
      <c r="E153" s="255">
        <v>0.20169999999999999</v>
      </c>
      <c r="F153" s="255">
        <v>0</v>
      </c>
      <c r="G153" s="255">
        <v>0</v>
      </c>
      <c r="H153" s="403">
        <v>0</v>
      </c>
      <c r="I153" s="654">
        <v>0.20169999999999999</v>
      </c>
      <c r="J153" s="654">
        <v>0</v>
      </c>
      <c r="K153" s="434">
        <f t="shared" si="2"/>
        <v>0.20169999999999999</v>
      </c>
      <c r="L153" s="256">
        <v>2022</v>
      </c>
      <c r="N153" s="257"/>
      <c r="O153" s="9"/>
      <c r="P153" s="9"/>
    </row>
    <row r="154" spans="1:16">
      <c r="A154" s="260">
        <v>2044</v>
      </c>
      <c r="B154" s="252">
        <v>467002</v>
      </c>
      <c r="C154" s="253" t="s">
        <v>268</v>
      </c>
      <c r="D154" s="254" t="s">
        <v>512</v>
      </c>
      <c r="E154" s="255">
        <v>5128624.09</v>
      </c>
      <c r="F154" s="255"/>
      <c r="G154" s="255">
        <v>34139232</v>
      </c>
      <c r="H154" s="403">
        <v>72559</v>
      </c>
      <c r="I154" s="654">
        <v>39195269</v>
      </c>
      <c r="J154" s="654">
        <v>0</v>
      </c>
      <c r="K154" s="434">
        <f t="shared" si="2"/>
        <v>39195269</v>
      </c>
      <c r="L154" s="256"/>
      <c r="M154" s="534"/>
      <c r="N154" s="257"/>
      <c r="O154" s="9"/>
      <c r="P154" s="9"/>
    </row>
    <row r="155" spans="1:16">
      <c r="A155" s="260">
        <v>2044</v>
      </c>
      <c r="B155" s="252">
        <v>4670020</v>
      </c>
      <c r="C155" s="253" t="s">
        <v>269</v>
      </c>
      <c r="D155" s="254" t="s">
        <v>512</v>
      </c>
      <c r="E155" s="255">
        <v>1339547</v>
      </c>
      <c r="F155" s="255">
        <v>0</v>
      </c>
      <c r="G155" s="255">
        <v>10145279</v>
      </c>
      <c r="H155" s="403">
        <v>41337</v>
      </c>
      <c r="I155" s="654">
        <v>11443693</v>
      </c>
      <c r="J155" s="654">
        <v>0</v>
      </c>
      <c r="K155" s="434">
        <f t="shared" si="2"/>
        <v>11443693</v>
      </c>
      <c r="L155" s="256"/>
      <c r="N155" s="257"/>
      <c r="O155" s="9"/>
      <c r="P155" s="9"/>
    </row>
    <row r="156" spans="1:16">
      <c r="A156" s="260">
        <v>1005</v>
      </c>
      <c r="B156" s="252">
        <v>4670021</v>
      </c>
      <c r="C156" s="253" t="s">
        <v>532</v>
      </c>
      <c r="D156" s="254" t="s">
        <v>511</v>
      </c>
      <c r="E156" s="255">
        <v>0</v>
      </c>
      <c r="F156" s="255">
        <v>0</v>
      </c>
      <c r="G156" s="255">
        <v>2380000</v>
      </c>
      <c r="H156" s="403">
        <v>2380000</v>
      </c>
      <c r="I156" s="654">
        <v>0</v>
      </c>
      <c r="J156" s="654">
        <v>0</v>
      </c>
      <c r="K156" s="434">
        <f t="shared" si="2"/>
        <v>0</v>
      </c>
      <c r="L156" s="256">
        <v>2022</v>
      </c>
      <c r="N156" s="257"/>
      <c r="O156" s="9"/>
      <c r="P156" s="9"/>
    </row>
    <row r="157" spans="1:16">
      <c r="A157" s="260">
        <v>1005</v>
      </c>
      <c r="B157" s="252">
        <v>467003</v>
      </c>
      <c r="C157" s="253" t="s">
        <v>270</v>
      </c>
      <c r="D157" s="254" t="s">
        <v>511</v>
      </c>
      <c r="E157" s="255">
        <v>27435</v>
      </c>
      <c r="F157" s="255">
        <v>0</v>
      </c>
      <c r="G157" s="255">
        <v>0</v>
      </c>
      <c r="H157" s="403">
        <v>0</v>
      </c>
      <c r="I157" s="654">
        <v>27435</v>
      </c>
      <c r="J157" s="654">
        <v>0</v>
      </c>
      <c r="K157" s="434">
        <f t="shared" si="2"/>
        <v>27435</v>
      </c>
      <c r="L157" s="256">
        <v>2022</v>
      </c>
      <c r="N157" s="257"/>
      <c r="O157" s="9"/>
      <c r="P157" s="9"/>
    </row>
    <row r="158" spans="1:16">
      <c r="A158" s="260">
        <v>1005</v>
      </c>
      <c r="B158" s="252">
        <v>467004</v>
      </c>
      <c r="C158" s="253" t="s">
        <v>271</v>
      </c>
      <c r="D158" s="254" t="s">
        <v>511</v>
      </c>
      <c r="E158" s="255">
        <v>0</v>
      </c>
      <c r="F158" s="255">
        <v>0</v>
      </c>
      <c r="G158" s="255">
        <v>0</v>
      </c>
      <c r="H158" s="403">
        <v>0</v>
      </c>
      <c r="I158" s="654">
        <v>0</v>
      </c>
      <c r="J158" s="654">
        <v>0</v>
      </c>
      <c r="K158" s="434">
        <f t="shared" si="2"/>
        <v>0</v>
      </c>
      <c r="L158" s="256">
        <v>2022</v>
      </c>
      <c r="M158" s="532"/>
      <c r="N158" s="257"/>
      <c r="O158" s="9"/>
      <c r="P158" s="9"/>
    </row>
    <row r="159" spans="1:16">
      <c r="A159" s="260">
        <v>1005</v>
      </c>
      <c r="B159" s="252">
        <v>467005</v>
      </c>
      <c r="C159" s="253" t="s">
        <v>272</v>
      </c>
      <c r="D159" s="254" t="s">
        <v>511</v>
      </c>
      <c r="E159" s="255">
        <v>841761</v>
      </c>
      <c r="F159" s="255">
        <v>0</v>
      </c>
      <c r="G159" s="255">
        <v>0</v>
      </c>
      <c r="H159" s="403">
        <v>0</v>
      </c>
      <c r="I159" s="654">
        <v>841761</v>
      </c>
      <c r="J159" s="654">
        <v>0</v>
      </c>
      <c r="K159" s="434">
        <f t="shared" si="2"/>
        <v>841761</v>
      </c>
      <c r="L159" s="256">
        <v>2022</v>
      </c>
      <c r="N159" s="257"/>
      <c r="O159" s="9"/>
      <c r="P159" s="9"/>
    </row>
    <row r="160" spans="1:16">
      <c r="A160" s="260">
        <v>1005</v>
      </c>
      <c r="B160" s="252">
        <v>467006</v>
      </c>
      <c r="C160" s="253" t="s">
        <v>273</v>
      </c>
      <c r="D160" s="254" t="s">
        <v>511</v>
      </c>
      <c r="E160" s="255">
        <v>0</v>
      </c>
      <c r="F160" s="255">
        <v>0</v>
      </c>
      <c r="G160" s="255">
        <v>0</v>
      </c>
      <c r="H160" s="403">
        <v>0</v>
      </c>
      <c r="I160" s="654">
        <v>0</v>
      </c>
      <c r="J160" s="654">
        <v>0</v>
      </c>
      <c r="K160" s="434">
        <f t="shared" si="2"/>
        <v>0</v>
      </c>
      <c r="L160" s="256">
        <v>2022</v>
      </c>
      <c r="N160" s="257"/>
      <c r="O160" s="9"/>
      <c r="P160" s="9"/>
    </row>
    <row r="161" spans="1:16">
      <c r="A161" s="260">
        <v>2006</v>
      </c>
      <c r="B161" s="252">
        <v>467007</v>
      </c>
      <c r="C161" s="253" t="s">
        <v>274</v>
      </c>
      <c r="D161" s="254" t="s">
        <v>511</v>
      </c>
      <c r="E161" s="255">
        <v>0</v>
      </c>
      <c r="F161" s="255">
        <v>276180</v>
      </c>
      <c r="G161" s="255">
        <v>3561317</v>
      </c>
      <c r="H161" s="403">
        <v>3368067</v>
      </c>
      <c r="I161" s="654">
        <v>0</v>
      </c>
      <c r="J161" s="654">
        <v>82930</v>
      </c>
      <c r="K161" s="434">
        <f t="shared" si="2"/>
        <v>-82930</v>
      </c>
      <c r="L161" s="256">
        <v>3010</v>
      </c>
      <c r="N161" s="257"/>
      <c r="O161" s="9"/>
      <c r="P161" s="9"/>
    </row>
    <row r="162" spans="1:16">
      <c r="A162" s="260">
        <v>1005</v>
      </c>
      <c r="B162" s="252">
        <v>467009</v>
      </c>
      <c r="C162" s="253" t="s">
        <v>275</v>
      </c>
      <c r="D162" s="254" t="s">
        <v>511</v>
      </c>
      <c r="E162" s="255">
        <v>10246</v>
      </c>
      <c r="F162" s="255">
        <v>0</v>
      </c>
      <c r="G162" s="255">
        <v>0</v>
      </c>
      <c r="H162" s="403">
        <v>0</v>
      </c>
      <c r="I162" s="654">
        <v>10246</v>
      </c>
      <c r="J162" s="654">
        <v>0</v>
      </c>
      <c r="K162" s="434">
        <f t="shared" si="2"/>
        <v>10246</v>
      </c>
      <c r="L162" s="256">
        <v>2022</v>
      </c>
      <c r="N162" s="257"/>
      <c r="O162" s="9"/>
      <c r="P162" s="9"/>
    </row>
    <row r="163" spans="1:16">
      <c r="A163" s="260">
        <v>1005</v>
      </c>
      <c r="B163" s="252">
        <v>467010</v>
      </c>
      <c r="C163" s="253" t="s">
        <v>276</v>
      </c>
      <c r="D163" s="254" t="s">
        <v>511</v>
      </c>
      <c r="E163" s="255">
        <v>5623</v>
      </c>
      <c r="F163" s="255">
        <v>0</v>
      </c>
      <c r="G163" s="255">
        <v>0</v>
      </c>
      <c r="H163" s="403">
        <v>0</v>
      </c>
      <c r="I163" s="654">
        <v>5623</v>
      </c>
      <c r="J163" s="654">
        <v>0</v>
      </c>
      <c r="K163" s="434">
        <f t="shared" si="2"/>
        <v>5623</v>
      </c>
      <c r="L163" s="256">
        <v>2022</v>
      </c>
      <c r="N163" s="257"/>
      <c r="O163" s="9"/>
      <c r="P163" s="9"/>
    </row>
    <row r="164" spans="1:16">
      <c r="A164" s="260">
        <v>2008</v>
      </c>
      <c r="B164" s="252">
        <v>467011</v>
      </c>
      <c r="C164" s="253" t="s">
        <v>277</v>
      </c>
      <c r="D164" s="254" t="s">
        <v>511</v>
      </c>
      <c r="E164" s="255">
        <v>0</v>
      </c>
      <c r="F164" s="255">
        <v>0</v>
      </c>
      <c r="G164" s="255">
        <v>0</v>
      </c>
      <c r="H164" s="403">
        <v>0</v>
      </c>
      <c r="I164" s="654">
        <v>0</v>
      </c>
      <c r="J164" s="654">
        <v>0</v>
      </c>
      <c r="K164" s="434">
        <f t="shared" si="2"/>
        <v>0</v>
      </c>
      <c r="L164" s="256"/>
      <c r="N164" s="257"/>
      <c r="O164" s="9"/>
      <c r="P164" s="9"/>
    </row>
    <row r="165" spans="1:16">
      <c r="A165" s="260">
        <v>2007</v>
      </c>
      <c r="B165" s="252">
        <v>467012</v>
      </c>
      <c r="C165" s="253" t="s">
        <v>737</v>
      </c>
      <c r="D165" s="254" t="s">
        <v>511</v>
      </c>
      <c r="E165" s="255">
        <v>0</v>
      </c>
      <c r="F165" s="255">
        <v>0</v>
      </c>
      <c r="G165" s="255">
        <v>0</v>
      </c>
      <c r="H165" s="403">
        <v>0</v>
      </c>
      <c r="I165" s="654">
        <v>0</v>
      </c>
      <c r="J165" s="654">
        <v>0</v>
      </c>
      <c r="K165" s="434">
        <f t="shared" si="2"/>
        <v>0</v>
      </c>
      <c r="L165" s="256"/>
      <c r="N165" s="257"/>
      <c r="O165" s="9"/>
      <c r="P165" s="9"/>
    </row>
    <row r="166" spans="1:16">
      <c r="A166" s="260">
        <v>1005</v>
      </c>
      <c r="B166" s="252">
        <v>46703</v>
      </c>
      <c r="C166" s="253" t="s">
        <v>267</v>
      </c>
      <c r="D166" s="254" t="s">
        <v>511</v>
      </c>
      <c r="E166" s="255">
        <v>22109</v>
      </c>
      <c r="F166" s="255">
        <v>0</v>
      </c>
      <c r="G166" s="255">
        <v>11560</v>
      </c>
      <c r="H166" s="403">
        <v>0</v>
      </c>
      <c r="I166" s="654">
        <v>33669</v>
      </c>
      <c r="J166" s="654">
        <v>0</v>
      </c>
      <c r="K166" s="434">
        <f t="shared" si="2"/>
        <v>33669</v>
      </c>
      <c r="L166" s="256">
        <v>2022</v>
      </c>
      <c r="N166" s="257"/>
      <c r="O166" s="9"/>
      <c r="P166" s="9"/>
    </row>
    <row r="167" spans="1:16">
      <c r="A167" s="260">
        <v>1005</v>
      </c>
      <c r="B167" s="252">
        <v>46704</v>
      </c>
      <c r="C167" s="253" t="s">
        <v>278</v>
      </c>
      <c r="D167" s="254" t="s">
        <v>511</v>
      </c>
      <c r="E167" s="255">
        <v>144612</v>
      </c>
      <c r="F167" s="255">
        <v>0</v>
      </c>
      <c r="G167" s="255">
        <v>0</v>
      </c>
      <c r="H167" s="403">
        <v>144612</v>
      </c>
      <c r="I167" s="654">
        <v>0</v>
      </c>
      <c r="J167" s="654">
        <v>0</v>
      </c>
      <c r="K167" s="434">
        <f t="shared" si="2"/>
        <v>0</v>
      </c>
      <c r="L167" s="256">
        <v>2022</v>
      </c>
      <c r="N167" s="257"/>
      <c r="O167" s="9"/>
      <c r="P167" s="9"/>
    </row>
    <row r="168" spans="1:16">
      <c r="A168" s="260">
        <v>1005</v>
      </c>
      <c r="B168" s="252">
        <v>46705</v>
      </c>
      <c r="C168" s="253" t="s">
        <v>279</v>
      </c>
      <c r="D168" s="254" t="s">
        <v>511</v>
      </c>
      <c r="E168" s="255">
        <v>438125</v>
      </c>
      <c r="F168" s="255">
        <v>0</v>
      </c>
      <c r="G168" s="255">
        <v>0</v>
      </c>
      <c r="H168" s="403">
        <v>0</v>
      </c>
      <c r="I168" s="654">
        <v>438125</v>
      </c>
      <c r="J168" s="654">
        <v>0</v>
      </c>
      <c r="K168" s="434">
        <f t="shared" si="2"/>
        <v>438125</v>
      </c>
      <c r="L168" s="256">
        <v>2022</v>
      </c>
      <c r="N168" s="257"/>
      <c r="O168" s="9"/>
      <c r="P168" s="9"/>
    </row>
    <row r="169" spans="1:16">
      <c r="A169" s="260">
        <v>1005</v>
      </c>
      <c r="B169" s="252">
        <v>46706</v>
      </c>
      <c r="C169" s="253" t="s">
        <v>280</v>
      </c>
      <c r="D169" s="254" t="s">
        <v>511</v>
      </c>
      <c r="E169" s="255">
        <v>46157</v>
      </c>
      <c r="F169" s="255">
        <v>0</v>
      </c>
      <c r="G169" s="255">
        <v>0</v>
      </c>
      <c r="H169" s="403">
        <v>0</v>
      </c>
      <c r="I169" s="654">
        <v>46157</v>
      </c>
      <c r="J169" s="654">
        <v>0</v>
      </c>
      <c r="K169" s="434">
        <f t="shared" si="2"/>
        <v>46157</v>
      </c>
      <c r="L169" s="256">
        <v>2022</v>
      </c>
      <c r="N169" s="257"/>
      <c r="O169" s="9"/>
      <c r="P169" s="9"/>
    </row>
    <row r="170" spans="1:16">
      <c r="A170" s="260">
        <v>1005</v>
      </c>
      <c r="B170" s="252">
        <v>46707</v>
      </c>
      <c r="C170" s="253" t="s">
        <v>281</v>
      </c>
      <c r="D170" s="254" t="s">
        <v>511</v>
      </c>
      <c r="E170" s="255">
        <v>12116</v>
      </c>
      <c r="F170" s="255">
        <v>0</v>
      </c>
      <c r="G170" s="255">
        <v>0</v>
      </c>
      <c r="H170" s="403">
        <v>0</v>
      </c>
      <c r="I170" s="654">
        <v>12116</v>
      </c>
      <c r="J170" s="654">
        <v>0</v>
      </c>
      <c r="K170" s="434">
        <f t="shared" si="2"/>
        <v>12116</v>
      </c>
      <c r="L170" s="256">
        <v>2022</v>
      </c>
      <c r="N170" s="257"/>
      <c r="O170" s="9"/>
      <c r="P170" s="9"/>
    </row>
    <row r="171" spans="1:16">
      <c r="A171" s="260">
        <v>1005</v>
      </c>
      <c r="B171" s="252">
        <v>46708</v>
      </c>
      <c r="C171" s="253" t="s">
        <v>282</v>
      </c>
      <c r="D171" s="254" t="s">
        <v>511</v>
      </c>
      <c r="E171" s="255">
        <v>81804</v>
      </c>
      <c r="F171" s="255">
        <v>0</v>
      </c>
      <c r="G171" s="255">
        <v>0</v>
      </c>
      <c r="H171" s="403">
        <v>81804</v>
      </c>
      <c r="I171" s="654">
        <v>0</v>
      </c>
      <c r="J171" s="654">
        <v>0</v>
      </c>
      <c r="K171" s="434">
        <f t="shared" si="2"/>
        <v>0</v>
      </c>
      <c r="L171" s="256">
        <v>2022</v>
      </c>
      <c r="N171" s="257"/>
      <c r="O171" s="9"/>
      <c r="P171" s="9"/>
    </row>
    <row r="172" spans="1:16">
      <c r="A172" s="260">
        <v>1005</v>
      </c>
      <c r="B172" s="252">
        <v>46709</v>
      </c>
      <c r="C172" s="253" t="s">
        <v>283</v>
      </c>
      <c r="D172" s="254" t="s">
        <v>511</v>
      </c>
      <c r="E172" s="255">
        <v>14575</v>
      </c>
      <c r="F172" s="255">
        <v>0</v>
      </c>
      <c r="G172" s="255">
        <v>0</v>
      </c>
      <c r="H172" s="403">
        <v>0</v>
      </c>
      <c r="I172" s="654">
        <v>14575</v>
      </c>
      <c r="J172" s="654">
        <v>0</v>
      </c>
      <c r="K172" s="434">
        <f t="shared" si="2"/>
        <v>14575</v>
      </c>
      <c r="L172" s="256">
        <v>2022</v>
      </c>
      <c r="N172" s="257"/>
      <c r="O172" s="9"/>
      <c r="P172" s="9"/>
    </row>
    <row r="173" spans="1:16">
      <c r="A173" s="260">
        <v>1005</v>
      </c>
      <c r="B173" s="252">
        <v>46711</v>
      </c>
      <c r="C173" s="253" t="s">
        <v>534</v>
      </c>
      <c r="D173" s="254" t="s">
        <v>512</v>
      </c>
      <c r="E173" s="255">
        <v>925968.45</v>
      </c>
      <c r="F173" s="255">
        <v>0</v>
      </c>
      <c r="G173" s="255">
        <v>837480</v>
      </c>
      <c r="H173" s="403">
        <v>925968.45</v>
      </c>
      <c r="I173" s="654">
        <v>837480</v>
      </c>
      <c r="J173" s="654">
        <v>0</v>
      </c>
      <c r="K173" s="434">
        <f t="shared" si="2"/>
        <v>837480</v>
      </c>
      <c r="L173" s="256">
        <v>2022</v>
      </c>
      <c r="N173" s="257"/>
      <c r="O173" s="9"/>
      <c r="P173" s="9"/>
    </row>
    <row r="174" spans="1:16">
      <c r="A174" s="260">
        <v>1005</v>
      </c>
      <c r="B174" s="252">
        <v>46712</v>
      </c>
      <c r="C174" s="253" t="s">
        <v>535</v>
      </c>
      <c r="D174" s="254" t="s">
        <v>511</v>
      </c>
      <c r="E174" s="255">
        <v>0</v>
      </c>
      <c r="F174" s="255">
        <v>0</v>
      </c>
      <c r="G174" s="255">
        <v>123500</v>
      </c>
      <c r="H174" s="403">
        <v>146000</v>
      </c>
      <c r="I174" s="654">
        <v>0</v>
      </c>
      <c r="J174" s="654">
        <v>22500</v>
      </c>
      <c r="K174" s="434">
        <f t="shared" si="2"/>
        <v>-22500</v>
      </c>
      <c r="L174" s="256">
        <v>2022</v>
      </c>
      <c r="N174" s="257"/>
      <c r="O174" s="9"/>
      <c r="P174" s="9"/>
    </row>
    <row r="175" spans="1:16">
      <c r="A175" s="260">
        <v>1005</v>
      </c>
      <c r="B175" s="252">
        <v>46713</v>
      </c>
      <c r="C175" s="253" t="s">
        <v>536</v>
      </c>
      <c r="D175" s="254" t="s">
        <v>511</v>
      </c>
      <c r="E175" s="255">
        <v>0</v>
      </c>
      <c r="F175" s="255">
        <v>0</v>
      </c>
      <c r="G175" s="255">
        <v>0</v>
      </c>
      <c r="H175" s="403">
        <v>0</v>
      </c>
      <c r="I175" s="654">
        <v>0</v>
      </c>
      <c r="J175" s="654">
        <v>0</v>
      </c>
      <c r="K175" s="434">
        <f t="shared" si="2"/>
        <v>0</v>
      </c>
      <c r="L175" s="256">
        <v>2022</v>
      </c>
      <c r="N175" s="257"/>
      <c r="O175" s="9"/>
      <c r="P175" s="9"/>
    </row>
    <row r="176" spans="1:16">
      <c r="A176" s="260">
        <v>1005</v>
      </c>
      <c r="B176" s="252">
        <v>46714</v>
      </c>
      <c r="C176" s="253" t="s">
        <v>537</v>
      </c>
      <c r="D176" s="254" t="s">
        <v>511</v>
      </c>
      <c r="E176" s="255">
        <v>184845</v>
      </c>
      <c r="F176" s="255">
        <v>0</v>
      </c>
      <c r="G176" s="255">
        <v>0</v>
      </c>
      <c r="H176" s="403">
        <v>76488</v>
      </c>
      <c r="I176" s="654">
        <v>108357</v>
      </c>
      <c r="J176" s="654">
        <v>0</v>
      </c>
      <c r="K176" s="434">
        <f t="shared" si="2"/>
        <v>108357</v>
      </c>
      <c r="L176" s="256">
        <v>2022</v>
      </c>
      <c r="N176" s="257"/>
      <c r="O176" s="9"/>
      <c r="P176" s="9"/>
    </row>
    <row r="177" spans="1:16">
      <c r="A177" s="260">
        <v>1005</v>
      </c>
      <c r="B177" s="252">
        <v>46716</v>
      </c>
      <c r="C177" s="253" t="s">
        <v>1019</v>
      </c>
      <c r="D177" s="254" t="s">
        <v>511</v>
      </c>
      <c r="E177" s="255">
        <v>0</v>
      </c>
      <c r="F177" s="255">
        <v>0</v>
      </c>
      <c r="G177" s="255">
        <v>97372</v>
      </c>
      <c r="H177" s="403">
        <v>0</v>
      </c>
      <c r="I177" s="654">
        <v>97372</v>
      </c>
      <c r="J177" s="654">
        <v>0</v>
      </c>
      <c r="K177" s="434">
        <f t="shared" si="2"/>
        <v>97372</v>
      </c>
      <c r="L177" s="256">
        <v>2022</v>
      </c>
      <c r="N177" s="257"/>
      <c r="O177" s="9"/>
      <c r="P177" s="9"/>
    </row>
    <row r="178" spans="1:16">
      <c r="A178" s="260">
        <v>1005</v>
      </c>
      <c r="B178" s="252">
        <v>4672</v>
      </c>
      <c r="C178" s="253" t="s">
        <v>284</v>
      </c>
      <c r="D178" s="254" t="s">
        <v>512</v>
      </c>
      <c r="E178" s="255">
        <v>2.7799999999999995E-2</v>
      </c>
      <c r="F178" s="255">
        <v>0</v>
      </c>
      <c r="G178" s="255">
        <v>0</v>
      </c>
      <c r="H178" s="403">
        <v>0</v>
      </c>
      <c r="I178" s="654">
        <v>2.7799999999999995E-2</v>
      </c>
      <c r="J178" s="654">
        <v>0</v>
      </c>
      <c r="K178" s="434">
        <f t="shared" si="2"/>
        <v>2.7799999999999995E-2</v>
      </c>
      <c r="L178" s="256">
        <v>2022</v>
      </c>
      <c r="N178" s="257"/>
      <c r="O178" s="9"/>
      <c r="P178" s="9"/>
    </row>
    <row r="179" spans="1:16">
      <c r="A179" s="260">
        <v>1005</v>
      </c>
      <c r="B179" s="252">
        <v>46720</v>
      </c>
      <c r="C179" s="253" t="s">
        <v>1046</v>
      </c>
      <c r="D179" s="254" t="s">
        <v>512</v>
      </c>
      <c r="E179" s="255">
        <v>0</v>
      </c>
      <c r="F179" s="255">
        <v>0</v>
      </c>
      <c r="G179" s="255">
        <v>498958.8714</v>
      </c>
      <c r="H179" s="403">
        <v>0</v>
      </c>
      <c r="I179" s="654">
        <v>498958.87140000006</v>
      </c>
      <c r="J179" s="654">
        <v>0</v>
      </c>
      <c r="K179" s="434">
        <f t="shared" si="2"/>
        <v>498958.87140000006</v>
      </c>
      <c r="L179" s="256">
        <v>2022</v>
      </c>
      <c r="N179" s="257"/>
      <c r="O179" s="9"/>
      <c r="P179" s="9"/>
    </row>
    <row r="180" spans="1:16">
      <c r="A180" s="260">
        <v>1005</v>
      </c>
      <c r="B180" s="252">
        <v>46721</v>
      </c>
      <c r="C180" s="253" t="s">
        <v>285</v>
      </c>
      <c r="D180" s="254" t="s">
        <v>511</v>
      </c>
      <c r="E180" s="255">
        <v>4831394.62</v>
      </c>
      <c r="F180" s="255">
        <v>0</v>
      </c>
      <c r="G180" s="255">
        <v>0</v>
      </c>
      <c r="H180" s="403">
        <v>0</v>
      </c>
      <c r="I180" s="654">
        <v>4831394.62</v>
      </c>
      <c r="J180" s="654">
        <v>0</v>
      </c>
      <c r="K180" s="434">
        <f t="shared" si="2"/>
        <v>4831394.62</v>
      </c>
      <c r="L180" s="256">
        <v>2022</v>
      </c>
      <c r="N180" s="257"/>
      <c r="O180" s="9"/>
      <c r="P180" s="9"/>
    </row>
    <row r="181" spans="1:16">
      <c r="A181" s="260">
        <v>1005</v>
      </c>
      <c r="B181" s="252">
        <v>4673</v>
      </c>
      <c r="C181" s="253" t="s">
        <v>286</v>
      </c>
      <c r="D181" s="254" t="s">
        <v>512</v>
      </c>
      <c r="E181" s="255">
        <v>0</v>
      </c>
      <c r="F181" s="255">
        <v>0.30559999999999998</v>
      </c>
      <c r="G181" s="255">
        <v>0</v>
      </c>
      <c r="H181" s="403">
        <v>0</v>
      </c>
      <c r="I181" s="654">
        <v>0</v>
      </c>
      <c r="J181" s="654">
        <v>0.30559999999999998</v>
      </c>
      <c r="K181" s="434">
        <f t="shared" si="2"/>
        <v>-0.30559999999999998</v>
      </c>
      <c r="L181" s="256">
        <v>2022</v>
      </c>
      <c r="N181" s="257"/>
      <c r="O181" s="9"/>
      <c r="P181" s="9"/>
    </row>
    <row r="182" spans="1:16">
      <c r="A182" s="260">
        <v>1005</v>
      </c>
      <c r="B182" s="252">
        <v>46730</v>
      </c>
      <c r="C182" s="253" t="s">
        <v>287</v>
      </c>
      <c r="D182" s="254" t="s">
        <v>511</v>
      </c>
      <c r="E182" s="255">
        <v>0</v>
      </c>
      <c r="F182" s="255">
        <v>0</v>
      </c>
      <c r="G182" s="255">
        <v>0</v>
      </c>
      <c r="H182" s="403">
        <v>0</v>
      </c>
      <c r="I182" s="654">
        <v>0</v>
      </c>
      <c r="J182" s="654">
        <v>0</v>
      </c>
      <c r="K182" s="434">
        <f t="shared" si="2"/>
        <v>0</v>
      </c>
      <c r="L182" s="256">
        <v>2022</v>
      </c>
      <c r="N182" s="257"/>
      <c r="O182" s="9"/>
      <c r="P182" s="9"/>
    </row>
    <row r="183" spans="1:16">
      <c r="A183" s="260">
        <v>2010</v>
      </c>
      <c r="B183" s="252">
        <v>4675</v>
      </c>
      <c r="C183" s="253" t="s">
        <v>288</v>
      </c>
      <c r="D183" s="254" t="s">
        <v>512</v>
      </c>
      <c r="E183" s="255">
        <v>0</v>
      </c>
      <c r="F183" s="255">
        <v>777114.28509999986</v>
      </c>
      <c r="G183" s="255">
        <v>2441124.8474000003</v>
      </c>
      <c r="H183" s="403">
        <v>2201131.1747999997</v>
      </c>
      <c r="I183" s="654">
        <v>0</v>
      </c>
      <c r="J183" s="654">
        <v>537120.61250000005</v>
      </c>
      <c r="K183" s="434">
        <f t="shared" si="2"/>
        <v>-537120.61250000005</v>
      </c>
      <c r="L183" s="256">
        <v>3004</v>
      </c>
      <c r="N183" s="257"/>
      <c r="O183" s="9"/>
      <c r="P183" s="9"/>
    </row>
    <row r="184" spans="1:16">
      <c r="A184" s="260">
        <v>1005</v>
      </c>
      <c r="B184" s="252">
        <v>4676</v>
      </c>
      <c r="C184" s="253" t="s">
        <v>289</v>
      </c>
      <c r="D184" s="254" t="s">
        <v>511</v>
      </c>
      <c r="E184" s="255">
        <v>3179400</v>
      </c>
      <c r="F184" s="255">
        <v>0</v>
      </c>
      <c r="G184" s="255">
        <v>0</v>
      </c>
      <c r="H184" s="403">
        <v>0</v>
      </c>
      <c r="I184" s="654">
        <v>3179400</v>
      </c>
      <c r="J184" s="654">
        <v>0</v>
      </c>
      <c r="K184" s="434">
        <f t="shared" si="2"/>
        <v>3179400</v>
      </c>
      <c r="L184" s="256">
        <v>2025</v>
      </c>
      <c r="N184" s="257"/>
      <c r="O184" s="9"/>
      <c r="P184" s="9"/>
    </row>
    <row r="185" spans="1:16">
      <c r="A185" s="260">
        <v>1005</v>
      </c>
      <c r="B185" s="252">
        <v>4677</v>
      </c>
      <c r="C185" s="253" t="s">
        <v>290</v>
      </c>
      <c r="D185" s="254" t="s">
        <v>511</v>
      </c>
      <c r="E185" s="255">
        <v>0</v>
      </c>
      <c r="F185" s="255">
        <v>0</v>
      </c>
      <c r="G185" s="255">
        <v>0</v>
      </c>
      <c r="H185" s="403">
        <v>0</v>
      </c>
      <c r="I185" s="654">
        <v>0</v>
      </c>
      <c r="J185" s="654">
        <v>0</v>
      </c>
      <c r="K185" s="434">
        <f t="shared" si="2"/>
        <v>0</v>
      </c>
      <c r="L185" s="256">
        <v>2025</v>
      </c>
      <c r="N185" s="257"/>
      <c r="O185" s="9"/>
      <c r="P185" s="9"/>
    </row>
    <row r="186" spans="1:16">
      <c r="A186" s="260">
        <v>1005</v>
      </c>
      <c r="B186" s="252">
        <v>4678</v>
      </c>
      <c r="C186" s="253" t="s">
        <v>291</v>
      </c>
      <c r="D186" s="254" t="s">
        <v>511</v>
      </c>
      <c r="E186" s="255">
        <v>5418270</v>
      </c>
      <c r="F186" s="255">
        <v>0</v>
      </c>
      <c r="G186" s="255">
        <v>0</v>
      </c>
      <c r="H186" s="403">
        <v>5418270</v>
      </c>
      <c r="I186" s="654">
        <v>0</v>
      </c>
      <c r="J186" s="654">
        <v>0</v>
      </c>
      <c r="K186" s="434">
        <f t="shared" si="2"/>
        <v>0</v>
      </c>
      <c r="L186" s="256">
        <v>2025</v>
      </c>
      <c r="N186" s="257"/>
      <c r="O186" s="9"/>
      <c r="P186" s="9"/>
    </row>
    <row r="187" spans="1:16">
      <c r="A187" s="260">
        <v>1005</v>
      </c>
      <c r="B187" s="252">
        <v>46799</v>
      </c>
      <c r="C187" s="253" t="s">
        <v>292</v>
      </c>
      <c r="D187" s="254" t="s">
        <v>512</v>
      </c>
      <c r="E187" s="255">
        <v>0</v>
      </c>
      <c r="F187" s="255">
        <v>0.2084</v>
      </c>
      <c r="G187" s="255">
        <v>0</v>
      </c>
      <c r="H187" s="403">
        <v>0</v>
      </c>
      <c r="I187" s="654">
        <v>0</v>
      </c>
      <c r="J187" s="654">
        <v>0.2084</v>
      </c>
      <c r="K187" s="434">
        <f t="shared" si="2"/>
        <v>-0.2084</v>
      </c>
      <c r="L187" s="256"/>
      <c r="N187" s="257"/>
      <c r="O187" s="9"/>
      <c r="P187" s="9"/>
    </row>
    <row r="188" spans="1:16">
      <c r="A188" s="260">
        <v>1005</v>
      </c>
      <c r="B188" s="252">
        <v>4679</v>
      </c>
      <c r="C188" s="253" t="s">
        <v>293</v>
      </c>
      <c r="D188" s="254" t="s">
        <v>511</v>
      </c>
      <c r="E188" s="255">
        <v>0</v>
      </c>
      <c r="F188" s="255">
        <v>19272</v>
      </c>
      <c r="G188" s="255">
        <v>19272</v>
      </c>
      <c r="H188" s="403">
        <v>0</v>
      </c>
      <c r="I188" s="654">
        <v>0</v>
      </c>
      <c r="J188" s="654">
        <v>0</v>
      </c>
      <c r="K188" s="434">
        <f t="shared" si="2"/>
        <v>0</v>
      </c>
      <c r="L188" s="256">
        <v>2022</v>
      </c>
      <c r="N188" s="257"/>
      <c r="O188" s="9"/>
      <c r="P188" s="9"/>
    </row>
    <row r="189" spans="1:16">
      <c r="A189" s="260">
        <v>2021</v>
      </c>
      <c r="B189" s="252">
        <v>468120</v>
      </c>
      <c r="C189" s="253" t="s">
        <v>294</v>
      </c>
      <c r="D189" s="254" t="s">
        <v>512</v>
      </c>
      <c r="E189" s="255">
        <v>0</v>
      </c>
      <c r="F189" s="255">
        <v>0</v>
      </c>
      <c r="G189" s="255">
        <v>0</v>
      </c>
      <c r="H189" s="403">
        <v>0</v>
      </c>
      <c r="I189" s="654">
        <v>0</v>
      </c>
      <c r="J189" s="654">
        <v>0</v>
      </c>
      <c r="K189" s="434">
        <f t="shared" si="2"/>
        <v>0</v>
      </c>
      <c r="L189" s="256"/>
      <c r="N189" s="257"/>
      <c r="O189" s="9"/>
      <c r="P189" s="9"/>
    </row>
    <row r="190" spans="1:16">
      <c r="A190" s="260">
        <v>2021</v>
      </c>
      <c r="B190" s="252">
        <v>468122</v>
      </c>
      <c r="C190" s="253" t="s">
        <v>295</v>
      </c>
      <c r="D190" s="254" t="s">
        <v>512</v>
      </c>
      <c r="E190" s="255">
        <v>0</v>
      </c>
      <c r="F190" s="255">
        <v>0</v>
      </c>
      <c r="G190" s="255">
        <v>0</v>
      </c>
      <c r="H190" s="403">
        <v>0</v>
      </c>
      <c r="I190" s="654">
        <v>0</v>
      </c>
      <c r="J190" s="654">
        <v>0</v>
      </c>
      <c r="K190" s="434">
        <f t="shared" si="2"/>
        <v>0</v>
      </c>
      <c r="L190" s="256"/>
      <c r="N190" s="257"/>
      <c r="O190" s="9"/>
      <c r="P190" s="9"/>
    </row>
    <row r="191" spans="1:16">
      <c r="A191" s="260">
        <v>2021</v>
      </c>
      <c r="B191" s="252">
        <v>468123</v>
      </c>
      <c r="C191" s="253" t="s">
        <v>296</v>
      </c>
      <c r="D191" s="254" t="s">
        <v>511</v>
      </c>
      <c r="E191" s="255">
        <v>0</v>
      </c>
      <c r="F191" s="255">
        <v>4237299.7</v>
      </c>
      <c r="G191" s="255">
        <v>4237299.7</v>
      </c>
      <c r="H191" s="403">
        <v>0</v>
      </c>
      <c r="I191" s="654">
        <v>0</v>
      </c>
      <c r="J191" s="654">
        <v>0</v>
      </c>
      <c r="K191" s="434">
        <f t="shared" si="2"/>
        <v>0</v>
      </c>
      <c r="L191" s="256">
        <v>1002</v>
      </c>
      <c r="N191" s="257"/>
      <c r="O191" s="9"/>
      <c r="P191" s="9"/>
    </row>
    <row r="192" spans="1:16">
      <c r="A192" s="260">
        <v>2021</v>
      </c>
      <c r="B192" s="252">
        <v>468124</v>
      </c>
      <c r="C192" s="253" t="s">
        <v>297</v>
      </c>
      <c r="D192" s="254" t="s">
        <v>512</v>
      </c>
      <c r="E192" s="255">
        <v>0</v>
      </c>
      <c r="F192" s="255">
        <v>5103544.9244999997</v>
      </c>
      <c r="G192" s="255">
        <v>5112300.0580000002</v>
      </c>
      <c r="H192" s="403">
        <v>8755.1299999999992</v>
      </c>
      <c r="I192" s="654">
        <v>3.4999996423721313E-3</v>
      </c>
      <c r="J192" s="654">
        <v>0</v>
      </c>
      <c r="K192" s="434">
        <f t="shared" si="2"/>
        <v>3.4999996423721313E-3</v>
      </c>
      <c r="L192" s="256">
        <v>1007</v>
      </c>
      <c r="N192" s="257"/>
      <c r="O192" s="9"/>
      <c r="P192" s="9"/>
    </row>
    <row r="193" spans="1:16">
      <c r="A193" s="260">
        <v>2021</v>
      </c>
      <c r="B193" s="252">
        <v>468125</v>
      </c>
      <c r="C193" s="253" t="s">
        <v>298</v>
      </c>
      <c r="D193" s="254" t="s">
        <v>512</v>
      </c>
      <c r="E193" s="255">
        <v>0</v>
      </c>
      <c r="F193" s="255">
        <v>91395549.243900001</v>
      </c>
      <c r="G193" s="255">
        <v>128196682.0931</v>
      </c>
      <c r="H193" s="403">
        <v>91084101.245400012</v>
      </c>
      <c r="I193" s="654">
        <v>0</v>
      </c>
      <c r="J193" s="654">
        <v>54282968.396200016</v>
      </c>
      <c r="K193" s="434">
        <f t="shared" si="2"/>
        <v>-54282968.396200016</v>
      </c>
      <c r="L193" s="256">
        <v>1000</v>
      </c>
      <c r="N193" s="257"/>
      <c r="O193" s="9"/>
      <c r="P193" s="9"/>
    </row>
    <row r="194" spans="1:16">
      <c r="A194" s="260">
        <v>2021</v>
      </c>
      <c r="B194" s="252">
        <v>468126</v>
      </c>
      <c r="C194" s="253" t="s">
        <v>299</v>
      </c>
      <c r="D194" s="254" t="s">
        <v>512</v>
      </c>
      <c r="E194" s="255">
        <v>0</v>
      </c>
      <c r="F194" s="255">
        <v>0</v>
      </c>
      <c r="G194" s="255">
        <v>0</v>
      </c>
      <c r="H194" s="403">
        <v>0</v>
      </c>
      <c r="I194" s="654">
        <v>0</v>
      </c>
      <c r="J194" s="654">
        <v>0</v>
      </c>
      <c r="K194" s="434">
        <f t="shared" si="2"/>
        <v>0</v>
      </c>
      <c r="L194" s="256"/>
      <c r="N194" s="257"/>
      <c r="O194" s="9"/>
      <c r="P194" s="9"/>
    </row>
    <row r="195" spans="1:16">
      <c r="A195" s="260">
        <v>2021</v>
      </c>
      <c r="B195" s="252">
        <v>468127</v>
      </c>
      <c r="C195" s="253" t="s">
        <v>300</v>
      </c>
      <c r="D195" s="254" t="s">
        <v>512</v>
      </c>
      <c r="E195" s="255">
        <v>0</v>
      </c>
      <c r="F195" s="255">
        <v>0.54179999999999995</v>
      </c>
      <c r="G195" s="255">
        <v>0.55000000000000004</v>
      </c>
      <c r="H195" s="403">
        <v>0</v>
      </c>
      <c r="I195" s="654">
        <v>8.2000000000000024E-3</v>
      </c>
      <c r="J195" s="654">
        <v>0</v>
      </c>
      <c r="K195" s="434">
        <f t="shared" si="2"/>
        <v>8.2000000000000024E-3</v>
      </c>
      <c r="L195" s="256"/>
      <c r="N195" s="257"/>
      <c r="O195" s="9"/>
      <c r="P195" s="9"/>
    </row>
    <row r="196" spans="1:16">
      <c r="A196" s="260">
        <v>2021</v>
      </c>
      <c r="B196" s="252">
        <v>4681240</v>
      </c>
      <c r="C196" s="253" t="s">
        <v>301</v>
      </c>
      <c r="D196" s="254" t="s">
        <v>512</v>
      </c>
      <c r="E196" s="255">
        <v>0</v>
      </c>
      <c r="F196" s="255">
        <v>528739932.93000001</v>
      </c>
      <c r="G196" s="255">
        <v>20938500</v>
      </c>
      <c r="H196" s="403">
        <v>228768653.19</v>
      </c>
      <c r="I196" s="654">
        <v>0</v>
      </c>
      <c r="J196" s="654">
        <v>736570086.12</v>
      </c>
      <c r="K196" s="434">
        <f t="shared" si="2"/>
        <v>-736570086.12</v>
      </c>
      <c r="L196" s="256">
        <v>1001</v>
      </c>
      <c r="N196" s="257"/>
      <c r="O196" s="9"/>
      <c r="P196" s="9"/>
    </row>
    <row r="197" spans="1:16" s="698" customFormat="1">
      <c r="A197" s="690">
        <v>2002</v>
      </c>
      <c r="B197" s="691" t="s">
        <v>1364</v>
      </c>
      <c r="C197" s="692" t="s">
        <v>1366</v>
      </c>
      <c r="D197" s="693" t="s">
        <v>512</v>
      </c>
      <c r="E197" s="694"/>
      <c r="F197" s="694"/>
      <c r="G197" s="694"/>
      <c r="H197" s="694">
        <v>19380379</v>
      </c>
      <c r="I197" s="695"/>
      <c r="J197" s="695">
        <v>19380379</v>
      </c>
      <c r="K197" s="696">
        <f t="shared" si="2"/>
        <v>-19380379</v>
      </c>
      <c r="L197" s="697">
        <v>1111</v>
      </c>
      <c r="N197" s="699"/>
      <c r="O197" s="700"/>
      <c r="P197" s="700"/>
    </row>
    <row r="198" spans="1:16" s="698" customFormat="1">
      <c r="A198" s="690">
        <v>2002</v>
      </c>
      <c r="B198" s="691" t="s">
        <v>1364</v>
      </c>
      <c r="C198" s="692" t="s">
        <v>1365</v>
      </c>
      <c r="D198" s="693" t="s">
        <v>512</v>
      </c>
      <c r="E198" s="694"/>
      <c r="F198" s="694"/>
      <c r="G198" s="694"/>
      <c r="H198" s="694">
        <v>20938500</v>
      </c>
      <c r="I198" s="695"/>
      <c r="J198" s="695">
        <v>20938500</v>
      </c>
      <c r="K198" s="696">
        <f t="shared" si="2"/>
        <v>-20938500</v>
      </c>
      <c r="L198" s="697">
        <v>11111</v>
      </c>
      <c r="N198" s="699"/>
      <c r="O198" s="700"/>
      <c r="P198" s="700"/>
    </row>
    <row r="199" spans="1:16">
      <c r="A199" s="260">
        <v>2021</v>
      </c>
      <c r="B199" s="252">
        <v>4683</v>
      </c>
      <c r="C199" s="253" t="s">
        <v>302</v>
      </c>
      <c r="D199" s="254" t="s">
        <v>512</v>
      </c>
      <c r="E199" s="255">
        <v>0</v>
      </c>
      <c r="F199" s="255">
        <v>0.65300000000000002</v>
      </c>
      <c r="G199" s="255">
        <v>0.66</v>
      </c>
      <c r="H199" s="403">
        <v>0</v>
      </c>
      <c r="I199" s="654">
        <v>7.0000000000000288E-3</v>
      </c>
      <c r="J199" s="654">
        <v>0</v>
      </c>
      <c r="K199" s="434">
        <f t="shared" ref="K199:K262" si="3">I199-J199</f>
        <v>7.0000000000000288E-3</v>
      </c>
      <c r="L199" s="256"/>
      <c r="N199" s="257"/>
      <c r="O199" s="9"/>
      <c r="P199" s="9"/>
    </row>
    <row r="200" spans="1:16">
      <c r="A200" s="260">
        <v>2021</v>
      </c>
      <c r="B200" s="252">
        <v>4685</v>
      </c>
      <c r="C200" s="253" t="s">
        <v>303</v>
      </c>
      <c r="D200" s="254" t="s">
        <v>511</v>
      </c>
      <c r="E200" s="255">
        <v>0</v>
      </c>
      <c r="F200" s="255">
        <v>0</v>
      </c>
      <c r="G200" s="255">
        <v>0</v>
      </c>
      <c r="H200" s="403">
        <v>0</v>
      </c>
      <c r="I200" s="654">
        <v>0</v>
      </c>
      <c r="J200" s="654">
        <v>0</v>
      </c>
      <c r="K200" s="434">
        <f t="shared" si="3"/>
        <v>0</v>
      </c>
      <c r="L200" s="256"/>
      <c r="N200" s="257"/>
      <c r="O200" s="9"/>
      <c r="P200" s="9"/>
    </row>
    <row r="201" spans="1:16">
      <c r="A201" s="260">
        <v>2021</v>
      </c>
      <c r="B201" s="252">
        <v>4686</v>
      </c>
      <c r="C201" s="253" t="s">
        <v>304</v>
      </c>
      <c r="D201" s="254" t="s">
        <v>511</v>
      </c>
      <c r="E201" s="255">
        <v>0</v>
      </c>
      <c r="F201" s="255">
        <v>10000000</v>
      </c>
      <c r="G201" s="255">
        <v>0</v>
      </c>
      <c r="H201" s="403">
        <v>0</v>
      </c>
      <c r="I201" s="654">
        <v>0</v>
      </c>
      <c r="J201" s="654">
        <v>10000000</v>
      </c>
      <c r="K201" s="434">
        <f t="shared" si="3"/>
        <v>-10000000</v>
      </c>
      <c r="L201" s="256">
        <v>1011</v>
      </c>
      <c r="N201" s="257"/>
      <c r="O201" s="9"/>
      <c r="P201" s="9"/>
    </row>
    <row r="202" spans="1:16">
      <c r="A202" s="260">
        <v>2002</v>
      </c>
      <c r="B202" s="252">
        <v>4687</v>
      </c>
      <c r="C202" s="253" t="s">
        <v>305</v>
      </c>
      <c r="D202" s="254" t="s">
        <v>511</v>
      </c>
      <c r="E202" s="255">
        <v>0</v>
      </c>
      <c r="F202" s="255">
        <v>3394025</v>
      </c>
      <c r="G202" s="255">
        <v>9900000</v>
      </c>
      <c r="H202" s="403">
        <v>12500000</v>
      </c>
      <c r="I202" s="654">
        <v>0</v>
      </c>
      <c r="J202" s="654">
        <v>5994025</v>
      </c>
      <c r="K202" s="434">
        <f t="shared" si="3"/>
        <v>-5994025</v>
      </c>
      <c r="L202" s="256">
        <v>1112</v>
      </c>
      <c r="N202" s="257"/>
      <c r="O202" s="9"/>
      <c r="P202" s="9"/>
    </row>
    <row r="203" spans="1:16">
      <c r="A203" s="260">
        <v>1006</v>
      </c>
      <c r="B203" s="252">
        <v>46901</v>
      </c>
      <c r="C203" s="253" t="s">
        <v>300</v>
      </c>
      <c r="D203" s="254" t="s">
        <v>511</v>
      </c>
      <c r="E203" s="255">
        <v>4933700</v>
      </c>
      <c r="F203" s="255">
        <v>0</v>
      </c>
      <c r="G203" s="255">
        <v>0</v>
      </c>
      <c r="H203" s="403">
        <v>0</v>
      </c>
      <c r="I203" s="654">
        <v>4933700</v>
      </c>
      <c r="J203" s="654">
        <v>0</v>
      </c>
      <c r="K203" s="434">
        <f t="shared" si="3"/>
        <v>4933700</v>
      </c>
      <c r="L203" s="256">
        <v>2178</v>
      </c>
      <c r="N203" s="257"/>
      <c r="O203" s="9"/>
      <c r="P203" s="9"/>
    </row>
    <row r="204" spans="1:16">
      <c r="A204" s="260">
        <v>1006</v>
      </c>
      <c r="B204" s="252">
        <v>46902</v>
      </c>
      <c r="C204" s="253" t="s">
        <v>1020</v>
      </c>
      <c r="D204" s="254" t="s">
        <v>511</v>
      </c>
      <c r="E204" s="255">
        <v>0</v>
      </c>
      <c r="F204" s="255">
        <v>0</v>
      </c>
      <c r="G204" s="255">
        <v>500000</v>
      </c>
      <c r="H204" s="403">
        <v>0</v>
      </c>
      <c r="I204" s="654">
        <v>500000</v>
      </c>
      <c r="J204" s="654">
        <v>0</v>
      </c>
      <c r="K204" s="434">
        <f t="shared" si="3"/>
        <v>500000</v>
      </c>
      <c r="L204" s="256">
        <v>2178</v>
      </c>
      <c r="N204" s="257"/>
      <c r="O204" s="9"/>
      <c r="P204" s="9"/>
    </row>
    <row r="205" spans="1:16">
      <c r="A205" s="260">
        <v>1006</v>
      </c>
      <c r="B205" s="252">
        <v>46903</v>
      </c>
      <c r="C205" s="253" t="s">
        <v>1021</v>
      </c>
      <c r="D205" s="254" t="s">
        <v>512</v>
      </c>
      <c r="E205" s="255">
        <v>0</v>
      </c>
      <c r="F205" s="255">
        <v>0</v>
      </c>
      <c r="G205" s="255">
        <v>4006233</v>
      </c>
      <c r="H205" s="403">
        <v>0</v>
      </c>
      <c r="I205" s="654">
        <v>4006233</v>
      </c>
      <c r="J205" s="654">
        <v>0</v>
      </c>
      <c r="K205" s="434">
        <f t="shared" si="3"/>
        <v>4006233</v>
      </c>
      <c r="L205" s="256">
        <v>2178</v>
      </c>
      <c r="N205" s="257"/>
      <c r="O205" s="9"/>
      <c r="P205" s="9"/>
    </row>
    <row r="206" spans="1:16">
      <c r="A206" s="260">
        <v>1015</v>
      </c>
      <c r="B206" s="252">
        <v>48111</v>
      </c>
      <c r="C206" s="253" t="s">
        <v>306</v>
      </c>
      <c r="D206" s="254" t="s">
        <v>511</v>
      </c>
      <c r="E206" s="255">
        <v>4474373.42</v>
      </c>
      <c r="F206" s="255">
        <v>0</v>
      </c>
      <c r="G206" s="255">
        <v>502452.8</v>
      </c>
      <c r="H206" s="403">
        <v>0</v>
      </c>
      <c r="I206" s="654">
        <v>4976826.22</v>
      </c>
      <c r="J206" s="654">
        <v>0</v>
      </c>
      <c r="K206" s="543">
        <f t="shared" si="3"/>
        <v>4976826.22</v>
      </c>
      <c r="L206" s="256">
        <v>2051</v>
      </c>
      <c r="N206" s="257"/>
      <c r="O206" s="9"/>
      <c r="P206" s="9"/>
    </row>
    <row r="207" spans="1:16">
      <c r="A207" s="260">
        <v>1015</v>
      </c>
      <c r="B207" s="252">
        <v>48110</v>
      </c>
      <c r="C207" s="253" t="s">
        <v>307</v>
      </c>
      <c r="D207" s="254" t="s">
        <v>511</v>
      </c>
      <c r="E207" s="255">
        <v>0</v>
      </c>
      <c r="F207" s="255">
        <v>0</v>
      </c>
      <c r="G207" s="255">
        <v>0</v>
      </c>
      <c r="H207" s="403">
        <v>0</v>
      </c>
      <c r="I207" s="654">
        <v>0</v>
      </c>
      <c r="J207" s="654">
        <v>0</v>
      </c>
      <c r="K207" s="543">
        <f t="shared" si="3"/>
        <v>0</v>
      </c>
      <c r="L207" s="256">
        <v>2051</v>
      </c>
      <c r="N207" s="257"/>
      <c r="O207" s="9"/>
      <c r="P207" s="9"/>
    </row>
    <row r="208" spans="1:16">
      <c r="A208" s="260">
        <v>1015</v>
      </c>
      <c r="B208" s="252">
        <v>4811126</v>
      </c>
      <c r="C208" s="253" t="s">
        <v>308</v>
      </c>
      <c r="D208" s="254" t="s">
        <v>511</v>
      </c>
      <c r="E208" s="255">
        <v>3.4000000000000002E-3</v>
      </c>
      <c r="F208" s="255">
        <v>0</v>
      </c>
      <c r="G208" s="255">
        <v>0</v>
      </c>
      <c r="H208" s="403">
        <v>0</v>
      </c>
      <c r="I208" s="654">
        <v>3.4000000000000002E-3</v>
      </c>
      <c r="J208" s="654">
        <v>0</v>
      </c>
      <c r="K208" s="543">
        <f t="shared" si="3"/>
        <v>3.4000000000000002E-3</v>
      </c>
      <c r="L208" s="256">
        <v>2051</v>
      </c>
      <c r="N208" s="257"/>
      <c r="O208" s="9"/>
      <c r="P208" s="9"/>
    </row>
    <row r="209" spans="1:16">
      <c r="A209" s="260">
        <v>1015</v>
      </c>
      <c r="B209" s="252">
        <v>4811128</v>
      </c>
      <c r="C209" s="253" t="s">
        <v>538</v>
      </c>
      <c r="D209" s="254" t="s">
        <v>511</v>
      </c>
      <c r="E209" s="255">
        <v>0</v>
      </c>
      <c r="F209" s="255">
        <v>2.0000000000000001E-4</v>
      </c>
      <c r="G209" s="255">
        <v>3433560.99</v>
      </c>
      <c r="H209" s="403">
        <v>3433561</v>
      </c>
      <c r="I209" s="654">
        <v>0</v>
      </c>
      <c r="J209" s="654">
        <v>1.0199999809265137E-2</v>
      </c>
      <c r="K209" s="543">
        <f t="shared" si="3"/>
        <v>-1.0199999809265137E-2</v>
      </c>
      <c r="L209" s="256">
        <v>2051</v>
      </c>
      <c r="N209" s="257"/>
      <c r="O209" s="9"/>
      <c r="P209" s="9"/>
    </row>
    <row r="210" spans="1:16">
      <c r="A210" s="260">
        <v>1015</v>
      </c>
      <c r="B210" s="252">
        <v>4811127</v>
      </c>
      <c r="C210" s="253" t="s">
        <v>309</v>
      </c>
      <c r="D210" s="254" t="s">
        <v>511</v>
      </c>
      <c r="E210" s="255">
        <v>0</v>
      </c>
      <c r="F210" s="255">
        <v>1.2999999999999999E-3</v>
      </c>
      <c r="G210" s="255">
        <v>0</v>
      </c>
      <c r="H210" s="403">
        <v>0</v>
      </c>
      <c r="I210" s="654">
        <v>0</v>
      </c>
      <c r="J210" s="654">
        <v>1.2999999999999999E-3</v>
      </c>
      <c r="K210" s="543">
        <f t="shared" si="3"/>
        <v>-1.2999999999999999E-3</v>
      </c>
      <c r="L210" s="256">
        <v>2051</v>
      </c>
      <c r="N210" s="257"/>
      <c r="O210" s="9"/>
      <c r="P210" s="9"/>
    </row>
    <row r="211" spans="1:16">
      <c r="A211" s="260">
        <v>1015</v>
      </c>
      <c r="B211" s="252">
        <v>481121</v>
      </c>
      <c r="C211" s="253" t="s">
        <v>310</v>
      </c>
      <c r="D211" s="254" t="s">
        <v>511</v>
      </c>
      <c r="E211" s="255">
        <v>25800374.260000002</v>
      </c>
      <c r="F211" s="255">
        <v>0</v>
      </c>
      <c r="G211" s="255">
        <v>0</v>
      </c>
      <c r="H211" s="403">
        <v>1947198</v>
      </c>
      <c r="I211" s="654">
        <v>23853176.260000002</v>
      </c>
      <c r="J211" s="654">
        <v>0</v>
      </c>
      <c r="K211" s="543">
        <f t="shared" si="3"/>
        <v>23853176.260000002</v>
      </c>
      <c r="L211" s="256">
        <v>2051</v>
      </c>
      <c r="N211" s="257"/>
      <c r="O211" s="9"/>
      <c r="P211" s="9"/>
    </row>
    <row r="212" spans="1:16">
      <c r="A212" s="260">
        <v>1015</v>
      </c>
      <c r="B212" s="252">
        <v>4811210</v>
      </c>
      <c r="C212" s="253" t="s">
        <v>311</v>
      </c>
      <c r="D212" s="254" t="s">
        <v>511</v>
      </c>
      <c r="E212" s="255">
        <v>837007.26</v>
      </c>
      <c r="F212" s="255">
        <v>0</v>
      </c>
      <c r="G212" s="255">
        <v>0</v>
      </c>
      <c r="H212" s="403">
        <v>63169.66</v>
      </c>
      <c r="I212" s="654">
        <v>773837.6</v>
      </c>
      <c r="J212" s="654">
        <v>0</v>
      </c>
      <c r="K212" s="543">
        <f t="shared" si="3"/>
        <v>773837.6</v>
      </c>
      <c r="L212" s="256">
        <v>2051</v>
      </c>
      <c r="N212" s="257"/>
      <c r="O212" s="9"/>
      <c r="P212" s="9"/>
    </row>
    <row r="213" spans="1:16">
      <c r="A213" s="260">
        <v>1015</v>
      </c>
      <c r="B213" s="252">
        <v>481122</v>
      </c>
      <c r="C213" s="253" t="s">
        <v>312</v>
      </c>
      <c r="D213" s="254" t="s">
        <v>511</v>
      </c>
      <c r="E213" s="255">
        <v>52525439.960000001</v>
      </c>
      <c r="F213" s="255">
        <v>0</v>
      </c>
      <c r="G213" s="255">
        <v>0</v>
      </c>
      <c r="H213" s="403">
        <v>3964183.57</v>
      </c>
      <c r="I213" s="654">
        <v>48561256.390000001</v>
      </c>
      <c r="J213" s="654">
        <v>0</v>
      </c>
      <c r="K213" s="543">
        <f t="shared" si="3"/>
        <v>48561256.390000001</v>
      </c>
      <c r="L213" s="256">
        <v>2051</v>
      </c>
      <c r="N213" s="257"/>
      <c r="O213" s="9"/>
      <c r="P213" s="9"/>
    </row>
    <row r="214" spans="1:16">
      <c r="A214" s="260">
        <v>1015</v>
      </c>
      <c r="B214" s="252">
        <v>481123</v>
      </c>
      <c r="C214" s="253" t="s">
        <v>313</v>
      </c>
      <c r="D214" s="254" t="s">
        <v>511</v>
      </c>
      <c r="E214" s="255">
        <v>0</v>
      </c>
      <c r="F214" s="255">
        <v>0</v>
      </c>
      <c r="G214" s="255">
        <v>0</v>
      </c>
      <c r="H214" s="403">
        <v>0</v>
      </c>
      <c r="I214" s="654">
        <v>0</v>
      </c>
      <c r="J214" s="654">
        <v>0</v>
      </c>
      <c r="K214" s="543">
        <f t="shared" si="3"/>
        <v>0</v>
      </c>
      <c r="L214" s="256">
        <v>2051</v>
      </c>
      <c r="N214" s="257"/>
      <c r="O214" s="9"/>
      <c r="P214" s="9"/>
    </row>
    <row r="215" spans="1:16">
      <c r="A215" s="260">
        <v>1015</v>
      </c>
      <c r="B215" s="252">
        <v>481125</v>
      </c>
      <c r="C215" s="253" t="s">
        <v>314</v>
      </c>
      <c r="D215" s="254" t="s">
        <v>511</v>
      </c>
      <c r="E215" s="255">
        <v>0</v>
      </c>
      <c r="F215" s="255">
        <v>0</v>
      </c>
      <c r="G215" s="255">
        <v>0</v>
      </c>
      <c r="H215" s="403">
        <v>0</v>
      </c>
      <c r="I215" s="654">
        <v>0</v>
      </c>
      <c r="J215" s="654">
        <v>0</v>
      </c>
      <c r="K215" s="543">
        <f t="shared" si="3"/>
        <v>0</v>
      </c>
      <c r="L215" s="256">
        <v>2051</v>
      </c>
      <c r="N215" s="257"/>
      <c r="O215" s="9"/>
      <c r="P215" s="9"/>
    </row>
    <row r="216" spans="1:16">
      <c r="A216" s="260">
        <v>1015</v>
      </c>
      <c r="B216" s="252">
        <v>481126</v>
      </c>
      <c r="C216" s="253" t="s">
        <v>315</v>
      </c>
      <c r="D216" s="254" t="s">
        <v>511</v>
      </c>
      <c r="E216" s="255">
        <v>566062.93999999994</v>
      </c>
      <c r="F216" s="255">
        <v>0</v>
      </c>
      <c r="G216" s="255">
        <v>104240.17</v>
      </c>
      <c r="H216" s="403">
        <v>670303.12</v>
      </c>
      <c r="I216" s="654">
        <v>0</v>
      </c>
      <c r="J216" s="654">
        <v>1.0000000074505806E-2</v>
      </c>
      <c r="K216" s="543">
        <f t="shared" si="3"/>
        <v>-1.0000000074505806E-2</v>
      </c>
      <c r="L216" s="256">
        <v>2051</v>
      </c>
      <c r="N216" s="257"/>
      <c r="O216" s="9"/>
      <c r="P216" s="9"/>
    </row>
    <row r="217" spans="1:16">
      <c r="A217" s="260">
        <v>1015</v>
      </c>
      <c r="B217" s="252">
        <v>481129</v>
      </c>
      <c r="C217" s="253" t="s">
        <v>316</v>
      </c>
      <c r="D217" s="254" t="s">
        <v>511</v>
      </c>
      <c r="E217" s="255">
        <v>258443.97</v>
      </c>
      <c r="F217" s="255">
        <v>0</v>
      </c>
      <c r="G217" s="255">
        <v>0</v>
      </c>
      <c r="H217" s="403">
        <v>46287.7</v>
      </c>
      <c r="I217" s="654">
        <v>212156.27</v>
      </c>
      <c r="J217" s="654">
        <v>0</v>
      </c>
      <c r="K217" s="543">
        <f t="shared" si="3"/>
        <v>212156.27</v>
      </c>
      <c r="L217" s="256">
        <v>2051</v>
      </c>
      <c r="N217" s="257"/>
      <c r="O217" s="9"/>
      <c r="P217" s="9"/>
    </row>
    <row r="218" spans="1:16">
      <c r="A218" s="260">
        <v>1015</v>
      </c>
      <c r="B218" s="252">
        <v>4811130</v>
      </c>
      <c r="C218" s="253" t="s">
        <v>317</v>
      </c>
      <c r="D218" s="254" t="s">
        <v>511</v>
      </c>
      <c r="E218" s="255">
        <v>317407.40999999997</v>
      </c>
      <c r="F218" s="255">
        <v>0</v>
      </c>
      <c r="G218" s="255">
        <v>0</v>
      </c>
      <c r="H218" s="403">
        <v>317407.8</v>
      </c>
      <c r="I218" s="654">
        <v>0</v>
      </c>
      <c r="J218" s="654">
        <v>0.39000000003725288</v>
      </c>
      <c r="K218" s="543">
        <f t="shared" si="3"/>
        <v>-0.39000000003725288</v>
      </c>
      <c r="L218" s="256">
        <v>2051</v>
      </c>
      <c r="N218" s="257"/>
      <c r="O218" s="9"/>
      <c r="P218" s="9"/>
    </row>
    <row r="219" spans="1:16">
      <c r="A219" s="260">
        <v>1015</v>
      </c>
      <c r="B219" s="252">
        <v>481132</v>
      </c>
      <c r="C219" s="253" t="s">
        <v>318</v>
      </c>
      <c r="D219" s="254" t="s">
        <v>511</v>
      </c>
      <c r="E219" s="255">
        <v>168104.76</v>
      </c>
      <c r="F219" s="255">
        <v>0</v>
      </c>
      <c r="G219" s="255">
        <v>120693.84</v>
      </c>
      <c r="H219" s="403">
        <v>201726</v>
      </c>
      <c r="I219" s="654">
        <v>87072.6</v>
      </c>
      <c r="J219" s="654">
        <v>0</v>
      </c>
      <c r="K219" s="543">
        <f t="shared" si="3"/>
        <v>87072.6</v>
      </c>
      <c r="L219" s="256">
        <v>2051</v>
      </c>
      <c r="N219" s="257"/>
      <c r="O219" s="9"/>
      <c r="P219" s="9"/>
    </row>
    <row r="220" spans="1:16">
      <c r="A220" s="260">
        <v>1015</v>
      </c>
      <c r="B220" s="252">
        <v>481133</v>
      </c>
      <c r="C220" s="253" t="s">
        <v>319</v>
      </c>
      <c r="D220" s="254" t="s">
        <v>511</v>
      </c>
      <c r="E220" s="255">
        <v>169431</v>
      </c>
      <c r="F220" s="255">
        <v>0</v>
      </c>
      <c r="G220" s="255">
        <v>90350</v>
      </c>
      <c r="H220" s="403">
        <v>103137</v>
      </c>
      <c r="I220" s="654">
        <v>156644</v>
      </c>
      <c r="J220" s="654">
        <v>0</v>
      </c>
      <c r="K220" s="543">
        <f t="shared" si="3"/>
        <v>156644</v>
      </c>
      <c r="L220" s="256">
        <v>2051</v>
      </c>
      <c r="N220" s="257"/>
      <c r="O220" s="9"/>
      <c r="P220" s="9"/>
    </row>
    <row r="221" spans="1:16">
      <c r="A221" s="260">
        <v>1015</v>
      </c>
      <c r="B221" s="252">
        <v>481134</v>
      </c>
      <c r="C221" s="253" t="s">
        <v>320</v>
      </c>
      <c r="D221" s="254" t="s">
        <v>511</v>
      </c>
      <c r="E221" s="255">
        <v>160484.71</v>
      </c>
      <c r="F221" s="255">
        <v>0</v>
      </c>
      <c r="G221" s="255">
        <v>0</v>
      </c>
      <c r="H221" s="403">
        <v>28743.5</v>
      </c>
      <c r="I221" s="654">
        <v>131741.21</v>
      </c>
      <c r="J221" s="654">
        <v>0</v>
      </c>
      <c r="K221" s="543">
        <f t="shared" si="3"/>
        <v>131741.21</v>
      </c>
      <c r="L221" s="256">
        <v>2051</v>
      </c>
      <c r="N221" s="257"/>
      <c r="O221" s="9"/>
      <c r="P221" s="9"/>
    </row>
    <row r="222" spans="1:16">
      <c r="A222" s="260">
        <v>1015</v>
      </c>
      <c r="B222" s="252">
        <v>481137</v>
      </c>
      <c r="C222" s="253" t="s">
        <v>539</v>
      </c>
      <c r="D222" s="254" t="s">
        <v>511</v>
      </c>
      <c r="E222" s="255">
        <v>4527507.8</v>
      </c>
      <c r="F222" s="255">
        <v>0</v>
      </c>
      <c r="G222" s="255">
        <v>7614727.79</v>
      </c>
      <c r="H222" s="403">
        <v>6610888</v>
      </c>
      <c r="I222" s="654">
        <v>5531347.5899999999</v>
      </c>
      <c r="J222" s="654">
        <v>0</v>
      </c>
      <c r="K222" s="543">
        <f t="shared" si="3"/>
        <v>5531347.5899999999</v>
      </c>
      <c r="L222" s="256">
        <v>2051</v>
      </c>
      <c r="N222" s="257"/>
      <c r="O222" s="9"/>
      <c r="P222" s="9"/>
    </row>
    <row r="223" spans="1:16">
      <c r="A223" s="260">
        <v>1015</v>
      </c>
      <c r="B223" s="252">
        <v>481141</v>
      </c>
      <c r="C223" s="253" t="s">
        <v>321</v>
      </c>
      <c r="D223" s="254" t="s">
        <v>511</v>
      </c>
      <c r="E223" s="255">
        <v>0</v>
      </c>
      <c r="F223" s="255">
        <v>0</v>
      </c>
      <c r="G223" s="255">
        <v>1604446.75</v>
      </c>
      <c r="H223" s="403">
        <v>802223.5</v>
      </c>
      <c r="I223" s="654">
        <v>802223.25</v>
      </c>
      <c r="J223" s="654">
        <v>0</v>
      </c>
      <c r="K223" s="543">
        <f t="shared" si="3"/>
        <v>802223.25</v>
      </c>
      <c r="L223" s="256">
        <v>2051</v>
      </c>
      <c r="N223" s="257"/>
      <c r="O223" s="9"/>
      <c r="P223" s="9"/>
    </row>
    <row r="224" spans="1:16">
      <c r="A224" s="260">
        <v>1015</v>
      </c>
      <c r="B224" s="252">
        <v>481142</v>
      </c>
      <c r="C224" s="253" t="s">
        <v>322</v>
      </c>
      <c r="D224" s="254" t="s">
        <v>511</v>
      </c>
      <c r="E224" s="255">
        <v>0</v>
      </c>
      <c r="F224" s="255">
        <v>0</v>
      </c>
      <c r="G224" s="255">
        <v>1404222.14</v>
      </c>
      <c r="H224" s="403">
        <v>702111</v>
      </c>
      <c r="I224" s="654">
        <v>702111.14</v>
      </c>
      <c r="J224" s="654">
        <v>0</v>
      </c>
      <c r="K224" s="543">
        <f t="shared" si="3"/>
        <v>702111.14</v>
      </c>
      <c r="L224" s="256">
        <v>2051</v>
      </c>
      <c r="N224" s="257"/>
      <c r="O224" s="9"/>
      <c r="P224" s="9"/>
    </row>
    <row r="225" spans="1:16">
      <c r="A225" s="260">
        <v>1015</v>
      </c>
      <c r="B225" s="252">
        <v>481143</v>
      </c>
      <c r="C225" s="253" t="s">
        <v>323</v>
      </c>
      <c r="D225" s="254" t="s">
        <v>511</v>
      </c>
      <c r="E225" s="255">
        <v>0</v>
      </c>
      <c r="F225" s="255">
        <v>5.9999999999999995E-4</v>
      </c>
      <c r="G225" s="255">
        <v>4788664.84</v>
      </c>
      <c r="H225" s="403">
        <v>4788664.84</v>
      </c>
      <c r="I225" s="654">
        <v>0</v>
      </c>
      <c r="J225" s="654">
        <v>5.9999942779541014E-4</v>
      </c>
      <c r="K225" s="543">
        <f t="shared" si="3"/>
        <v>-5.9999942779541014E-4</v>
      </c>
      <c r="L225" s="256">
        <v>2051</v>
      </c>
      <c r="N225" s="257"/>
      <c r="O225" s="9"/>
      <c r="P225" s="9"/>
    </row>
    <row r="226" spans="1:16">
      <c r="A226" s="260">
        <v>1015</v>
      </c>
      <c r="B226" s="252">
        <v>481144</v>
      </c>
      <c r="C226" s="253" t="s">
        <v>324</v>
      </c>
      <c r="D226" s="254" t="s">
        <v>511</v>
      </c>
      <c r="E226" s="255">
        <v>2.5000000000000001E-3</v>
      </c>
      <c r="F226" s="255">
        <v>0</v>
      </c>
      <c r="G226" s="255">
        <v>0</v>
      </c>
      <c r="H226" s="403">
        <v>0</v>
      </c>
      <c r="I226" s="654">
        <v>2.5000000000000001E-3</v>
      </c>
      <c r="J226" s="654">
        <v>0</v>
      </c>
      <c r="K226" s="543">
        <f t="shared" si="3"/>
        <v>2.5000000000000001E-3</v>
      </c>
      <c r="L226" s="256">
        <v>2051</v>
      </c>
      <c r="N226" s="257"/>
      <c r="O226" s="9"/>
      <c r="P226" s="9"/>
    </row>
    <row r="227" spans="1:16">
      <c r="A227" s="260">
        <v>1015</v>
      </c>
      <c r="B227" s="252">
        <v>481145</v>
      </c>
      <c r="C227" s="253" t="s">
        <v>1022</v>
      </c>
      <c r="D227" s="254" t="s">
        <v>511</v>
      </c>
      <c r="E227" s="255">
        <v>845316.04500000004</v>
      </c>
      <c r="F227" s="255">
        <v>0</v>
      </c>
      <c r="G227" s="255">
        <v>3368397.88</v>
      </c>
      <c r="H227" s="403">
        <v>758739</v>
      </c>
      <c r="I227" s="654">
        <v>3454974.9249999998</v>
      </c>
      <c r="J227" s="654">
        <v>0</v>
      </c>
      <c r="K227" s="543">
        <f t="shared" si="3"/>
        <v>3454974.9249999998</v>
      </c>
      <c r="L227" s="256">
        <v>2051</v>
      </c>
      <c r="N227" s="257"/>
      <c r="O227" s="9"/>
      <c r="P227" s="9"/>
    </row>
    <row r="228" spans="1:16">
      <c r="A228" s="260">
        <v>1015</v>
      </c>
      <c r="B228" s="252">
        <v>4811480</v>
      </c>
      <c r="C228" s="253" t="s">
        <v>326</v>
      </c>
      <c r="D228" s="254" t="s">
        <v>511</v>
      </c>
      <c r="E228" s="255">
        <v>2.9999999999999997E-4</v>
      </c>
      <c r="F228" s="255">
        <v>0</v>
      </c>
      <c r="G228" s="255">
        <v>31509905.391400002</v>
      </c>
      <c r="H228" s="403">
        <v>31509905</v>
      </c>
      <c r="I228" s="654">
        <v>0.39170001506805419</v>
      </c>
      <c r="J228" s="654">
        <v>0</v>
      </c>
      <c r="K228" s="543">
        <f t="shared" si="3"/>
        <v>0.39170001506805419</v>
      </c>
      <c r="L228" s="256">
        <v>2051</v>
      </c>
      <c r="N228" s="257"/>
      <c r="O228" s="9"/>
      <c r="P228" s="9"/>
    </row>
    <row r="229" spans="1:16">
      <c r="A229" s="260">
        <v>1015</v>
      </c>
      <c r="B229" s="252">
        <v>481146</v>
      </c>
      <c r="C229" s="253" t="s">
        <v>327</v>
      </c>
      <c r="D229" s="254" t="s">
        <v>511</v>
      </c>
      <c r="E229" s="255">
        <v>0</v>
      </c>
      <c r="F229" s="255">
        <v>0</v>
      </c>
      <c r="G229" s="255">
        <v>0</v>
      </c>
      <c r="H229" s="403">
        <v>0</v>
      </c>
      <c r="I229" s="654">
        <v>0</v>
      </c>
      <c r="J229" s="654">
        <v>0</v>
      </c>
      <c r="K229" s="543">
        <f t="shared" si="3"/>
        <v>0</v>
      </c>
      <c r="L229" s="256">
        <v>2051</v>
      </c>
      <c r="N229" s="257"/>
      <c r="O229" s="9"/>
      <c r="P229" s="9"/>
    </row>
    <row r="230" spans="1:16">
      <c r="A230" s="260">
        <v>1015</v>
      </c>
      <c r="B230" s="252">
        <v>481149</v>
      </c>
      <c r="C230" s="253" t="s">
        <v>328</v>
      </c>
      <c r="D230" s="254" t="s">
        <v>511</v>
      </c>
      <c r="E230" s="255">
        <v>0</v>
      </c>
      <c r="F230" s="255">
        <v>5.0000000000000001E-3</v>
      </c>
      <c r="G230" s="255">
        <v>0</v>
      </c>
      <c r="H230" s="403">
        <v>0</v>
      </c>
      <c r="I230" s="654">
        <v>0</v>
      </c>
      <c r="J230" s="654">
        <v>5.0000000000000001E-3</v>
      </c>
      <c r="K230" s="543">
        <f t="shared" si="3"/>
        <v>-5.0000000000000001E-3</v>
      </c>
      <c r="L230" s="256">
        <v>2051</v>
      </c>
      <c r="N230" s="257"/>
      <c r="O230" s="9"/>
      <c r="P230" s="9"/>
    </row>
    <row r="231" spans="1:16">
      <c r="A231" s="260">
        <v>1015</v>
      </c>
      <c r="B231" s="252">
        <v>481150</v>
      </c>
      <c r="C231" s="253" t="s">
        <v>329</v>
      </c>
      <c r="D231" s="254" t="s">
        <v>511</v>
      </c>
      <c r="E231" s="255">
        <v>1149806.8799999999</v>
      </c>
      <c r="F231" s="255">
        <v>0</v>
      </c>
      <c r="G231" s="255">
        <v>312153.61</v>
      </c>
      <c r="H231" s="403">
        <v>0</v>
      </c>
      <c r="I231" s="654">
        <v>1461960.49</v>
      </c>
      <c r="J231" s="654">
        <v>0</v>
      </c>
      <c r="K231" s="543">
        <f t="shared" si="3"/>
        <v>1461960.49</v>
      </c>
      <c r="L231" s="256">
        <v>2051</v>
      </c>
      <c r="N231" s="257"/>
      <c r="O231" s="9"/>
      <c r="P231" s="9"/>
    </row>
    <row r="232" spans="1:16">
      <c r="A232" s="260">
        <v>1015</v>
      </c>
      <c r="B232" s="252">
        <v>481152</v>
      </c>
      <c r="C232" s="253" t="s">
        <v>330</v>
      </c>
      <c r="D232" s="254" t="s">
        <v>511</v>
      </c>
      <c r="E232" s="255">
        <v>2.1999999999999997E-3</v>
      </c>
      <c r="F232" s="255">
        <v>0</v>
      </c>
      <c r="G232" s="255">
        <v>5930746.6799999997</v>
      </c>
      <c r="H232" s="403">
        <v>5930746.6799999997</v>
      </c>
      <c r="I232" s="654">
        <v>2.2000014781951905E-3</v>
      </c>
      <c r="J232" s="654">
        <v>0</v>
      </c>
      <c r="K232" s="543">
        <f t="shared" si="3"/>
        <v>2.2000014781951905E-3</v>
      </c>
      <c r="L232" s="256">
        <v>2051</v>
      </c>
      <c r="N232" s="257"/>
      <c r="O232" s="9"/>
      <c r="P232" s="9"/>
    </row>
    <row r="233" spans="1:16">
      <c r="A233" s="260">
        <v>1015</v>
      </c>
      <c r="B233" s="252">
        <v>481153</v>
      </c>
      <c r="C233" s="253" t="s">
        <v>331</v>
      </c>
      <c r="D233" s="254" t="s">
        <v>511</v>
      </c>
      <c r="E233" s="255">
        <v>2084458.85</v>
      </c>
      <c r="F233" s="255">
        <v>0</v>
      </c>
      <c r="G233" s="255">
        <v>0</v>
      </c>
      <c r="H233" s="403">
        <v>0</v>
      </c>
      <c r="I233" s="654">
        <v>2084458.85</v>
      </c>
      <c r="J233" s="654">
        <v>0</v>
      </c>
      <c r="K233" s="543">
        <f t="shared" si="3"/>
        <v>2084458.85</v>
      </c>
      <c r="L233" s="256">
        <v>2051</v>
      </c>
      <c r="N233" s="257"/>
      <c r="O233" s="9"/>
      <c r="P233" s="9"/>
    </row>
    <row r="234" spans="1:16">
      <c r="A234" s="260">
        <v>1015</v>
      </c>
      <c r="B234" s="252">
        <v>481154</v>
      </c>
      <c r="C234" s="253" t="s">
        <v>332</v>
      </c>
      <c r="D234" s="254" t="s">
        <v>511</v>
      </c>
      <c r="E234" s="255">
        <v>8429225.0700000003</v>
      </c>
      <c r="F234" s="255">
        <v>0</v>
      </c>
      <c r="G234" s="255">
        <v>0</v>
      </c>
      <c r="H234" s="403">
        <v>0</v>
      </c>
      <c r="I234" s="654">
        <v>8429225.0700000003</v>
      </c>
      <c r="J234" s="654">
        <v>0</v>
      </c>
      <c r="K234" s="543">
        <f t="shared" si="3"/>
        <v>8429225.0700000003</v>
      </c>
      <c r="L234" s="256">
        <v>2051</v>
      </c>
      <c r="N234" s="257"/>
      <c r="O234" s="9"/>
      <c r="P234" s="9"/>
    </row>
    <row r="235" spans="1:16">
      <c r="A235" s="260">
        <v>1015</v>
      </c>
      <c r="B235" s="252">
        <v>481155</v>
      </c>
      <c r="C235" s="253" t="s">
        <v>333</v>
      </c>
      <c r="D235" s="254" t="s">
        <v>511</v>
      </c>
      <c r="E235" s="255">
        <v>1665799.175</v>
      </c>
      <c r="F235" s="255">
        <v>0</v>
      </c>
      <c r="G235" s="255">
        <v>0</v>
      </c>
      <c r="H235" s="403">
        <v>1665799</v>
      </c>
      <c r="I235" s="654">
        <v>0.17499999999999999</v>
      </c>
      <c r="J235" s="654">
        <v>0</v>
      </c>
      <c r="K235" s="543">
        <f t="shared" si="3"/>
        <v>0.17499999999999999</v>
      </c>
      <c r="L235" s="256">
        <v>2051</v>
      </c>
      <c r="N235" s="257"/>
      <c r="O235" s="9"/>
      <c r="P235" s="9"/>
    </row>
    <row r="236" spans="1:16">
      <c r="A236" s="260">
        <v>1015</v>
      </c>
      <c r="B236" s="252">
        <v>481156</v>
      </c>
      <c r="C236" s="253" t="s">
        <v>334</v>
      </c>
      <c r="D236" s="254" t="s">
        <v>511</v>
      </c>
      <c r="E236" s="255">
        <v>0</v>
      </c>
      <c r="F236" s="255">
        <v>0</v>
      </c>
      <c r="G236" s="255">
        <v>0</v>
      </c>
      <c r="H236" s="403">
        <v>0</v>
      </c>
      <c r="I236" s="654">
        <v>0</v>
      </c>
      <c r="J236" s="654">
        <v>0</v>
      </c>
      <c r="K236" s="543">
        <f t="shared" si="3"/>
        <v>0</v>
      </c>
      <c r="L236" s="256">
        <v>2051</v>
      </c>
      <c r="N236" s="257"/>
      <c r="O236" s="9"/>
      <c r="P236" s="9"/>
    </row>
    <row r="237" spans="1:16">
      <c r="A237" s="260">
        <v>1015</v>
      </c>
      <c r="B237" s="252">
        <v>481157</v>
      </c>
      <c r="C237" s="253" t="s">
        <v>335</v>
      </c>
      <c r="D237" s="254" t="s">
        <v>511</v>
      </c>
      <c r="E237" s="255">
        <v>565666.46</v>
      </c>
      <c r="F237" s="255">
        <v>0</v>
      </c>
      <c r="G237" s="255">
        <v>266083.15000000002</v>
      </c>
      <c r="H237" s="403">
        <v>565666.4</v>
      </c>
      <c r="I237" s="654">
        <v>266083.21000000002</v>
      </c>
      <c r="J237" s="654">
        <v>0</v>
      </c>
      <c r="K237" s="543">
        <f t="shared" si="3"/>
        <v>266083.21000000002</v>
      </c>
      <c r="L237" s="256">
        <v>2051</v>
      </c>
      <c r="N237" s="257"/>
      <c r="O237" s="9"/>
      <c r="P237" s="9"/>
    </row>
    <row r="238" spans="1:16">
      <c r="A238" s="260">
        <v>1015</v>
      </c>
      <c r="B238" s="252">
        <v>481158</v>
      </c>
      <c r="C238" s="253" t="s">
        <v>336</v>
      </c>
      <c r="D238" s="254" t="s">
        <v>511</v>
      </c>
      <c r="E238" s="255">
        <v>0</v>
      </c>
      <c r="F238" s="255">
        <v>3.5000000000000005E-3</v>
      </c>
      <c r="G238" s="255">
        <v>0</v>
      </c>
      <c r="H238" s="403">
        <v>0</v>
      </c>
      <c r="I238" s="654">
        <v>0</v>
      </c>
      <c r="J238" s="654">
        <v>3.5000000000000005E-3</v>
      </c>
      <c r="K238" s="543">
        <f t="shared" si="3"/>
        <v>-3.5000000000000005E-3</v>
      </c>
      <c r="L238" s="256">
        <v>2051</v>
      </c>
      <c r="N238" s="257"/>
      <c r="O238" s="9"/>
      <c r="P238" s="9"/>
    </row>
    <row r="239" spans="1:16">
      <c r="A239" s="260">
        <v>1015</v>
      </c>
      <c r="B239" s="252">
        <v>481159</v>
      </c>
      <c r="C239" s="253" t="s">
        <v>337</v>
      </c>
      <c r="D239" s="254" t="s">
        <v>511</v>
      </c>
      <c r="E239" s="255">
        <v>32134508.677699998</v>
      </c>
      <c r="F239" s="255">
        <v>0</v>
      </c>
      <c r="G239" s="255">
        <v>0</v>
      </c>
      <c r="H239" s="403">
        <v>25707607.199999999</v>
      </c>
      <c r="I239" s="654">
        <v>6426901.4776999997</v>
      </c>
      <c r="J239" s="654">
        <v>0</v>
      </c>
      <c r="K239" s="543">
        <f t="shared" si="3"/>
        <v>6426901.4776999997</v>
      </c>
      <c r="L239" s="256">
        <v>2051</v>
      </c>
      <c r="N239" s="257"/>
      <c r="O239" s="9"/>
      <c r="P239" s="9"/>
    </row>
    <row r="240" spans="1:16">
      <c r="A240" s="260">
        <v>1015</v>
      </c>
      <c r="B240" s="252">
        <v>481160</v>
      </c>
      <c r="C240" s="253" t="s">
        <v>338</v>
      </c>
      <c r="D240" s="254" t="s">
        <v>511</v>
      </c>
      <c r="E240" s="255">
        <v>0</v>
      </c>
      <c r="F240" s="255">
        <v>0</v>
      </c>
      <c r="G240" s="255">
        <v>526829.54</v>
      </c>
      <c r="H240" s="403">
        <v>526830</v>
      </c>
      <c r="I240" s="654">
        <v>0</v>
      </c>
      <c r="J240" s="654">
        <v>0.46</v>
      </c>
      <c r="K240" s="543">
        <f t="shared" si="3"/>
        <v>-0.46</v>
      </c>
      <c r="L240" s="256">
        <v>2051</v>
      </c>
      <c r="N240" s="257"/>
      <c r="O240" s="9"/>
      <c r="P240" s="9"/>
    </row>
    <row r="241" spans="1:16">
      <c r="A241" s="260">
        <v>1015</v>
      </c>
      <c r="B241" s="252">
        <v>481164</v>
      </c>
      <c r="C241" s="253" t="s">
        <v>339</v>
      </c>
      <c r="D241" s="254" t="s">
        <v>511</v>
      </c>
      <c r="E241" s="255">
        <v>0</v>
      </c>
      <c r="F241" s="255">
        <v>0</v>
      </c>
      <c r="G241" s="255">
        <v>0</v>
      </c>
      <c r="H241" s="403">
        <v>0</v>
      </c>
      <c r="I241" s="654">
        <v>0</v>
      </c>
      <c r="J241" s="654">
        <v>0</v>
      </c>
      <c r="K241" s="543">
        <f t="shared" si="3"/>
        <v>0</v>
      </c>
      <c r="L241" s="256">
        <v>2051</v>
      </c>
      <c r="N241" s="257"/>
      <c r="O241" s="9"/>
      <c r="P241" s="9"/>
    </row>
    <row r="242" spans="1:16">
      <c r="A242" s="260">
        <v>1015</v>
      </c>
      <c r="B242" s="252">
        <v>481165</v>
      </c>
      <c r="C242" s="253" t="s">
        <v>340</v>
      </c>
      <c r="D242" s="254" t="s">
        <v>511</v>
      </c>
      <c r="E242" s="255">
        <v>4.4999999999999997E-3</v>
      </c>
      <c r="F242" s="255">
        <v>0</v>
      </c>
      <c r="G242" s="255">
        <v>0</v>
      </c>
      <c r="H242" s="403">
        <v>0</v>
      </c>
      <c r="I242" s="654">
        <v>4.4999999999999997E-3</v>
      </c>
      <c r="J242" s="654">
        <v>0</v>
      </c>
      <c r="K242" s="543">
        <f t="shared" si="3"/>
        <v>4.4999999999999997E-3</v>
      </c>
      <c r="L242" s="256">
        <v>2051</v>
      </c>
      <c r="N242" s="257"/>
      <c r="O242" s="9"/>
      <c r="P242" s="9"/>
    </row>
    <row r="243" spans="1:16">
      <c r="A243" s="260">
        <v>1015</v>
      </c>
      <c r="B243" s="252">
        <v>481166</v>
      </c>
      <c r="C243" s="253" t="s">
        <v>1023</v>
      </c>
      <c r="D243" s="254" t="s">
        <v>511</v>
      </c>
      <c r="E243" s="255">
        <v>0</v>
      </c>
      <c r="F243" s="255">
        <v>0</v>
      </c>
      <c r="G243" s="255">
        <v>4768097.8899999997</v>
      </c>
      <c r="H243" s="403">
        <v>0</v>
      </c>
      <c r="I243" s="654">
        <v>4768097.8899999997</v>
      </c>
      <c r="J243" s="654">
        <v>0</v>
      </c>
      <c r="K243" s="543">
        <f t="shared" si="3"/>
        <v>4768097.8899999997</v>
      </c>
      <c r="L243" s="256">
        <v>2051</v>
      </c>
      <c r="N243" s="257"/>
      <c r="O243" s="9"/>
      <c r="P243" s="9"/>
    </row>
    <row r="244" spans="1:16">
      <c r="A244" s="260">
        <v>1015</v>
      </c>
      <c r="B244" s="252">
        <v>481167</v>
      </c>
      <c r="C244" s="253" t="s">
        <v>1024</v>
      </c>
      <c r="D244" s="254" t="s">
        <v>511</v>
      </c>
      <c r="E244" s="255">
        <v>0</v>
      </c>
      <c r="F244" s="255">
        <v>0</v>
      </c>
      <c r="G244" s="255">
        <v>1117668.6000000001</v>
      </c>
      <c r="H244" s="403">
        <v>0</v>
      </c>
      <c r="I244" s="654">
        <v>1117668.6000000001</v>
      </c>
      <c r="J244" s="654">
        <v>0</v>
      </c>
      <c r="K244" s="543">
        <f t="shared" si="3"/>
        <v>1117668.6000000001</v>
      </c>
      <c r="L244" s="256">
        <v>2051</v>
      </c>
      <c r="N244" s="257"/>
      <c r="O244" s="9"/>
      <c r="P244" s="9"/>
    </row>
    <row r="245" spans="1:16">
      <c r="A245" s="260">
        <v>1015</v>
      </c>
      <c r="B245" s="252">
        <v>481168</v>
      </c>
      <c r="C245" s="253" t="s">
        <v>1025</v>
      </c>
      <c r="D245" s="254" t="s">
        <v>511</v>
      </c>
      <c r="E245" s="255">
        <v>0</v>
      </c>
      <c r="F245" s="255">
        <v>0</v>
      </c>
      <c r="G245" s="255">
        <v>2919444.89</v>
      </c>
      <c r="H245" s="403">
        <v>1459722.5</v>
      </c>
      <c r="I245" s="654">
        <v>1459722.39</v>
      </c>
      <c r="J245" s="654">
        <v>0</v>
      </c>
      <c r="K245" s="543">
        <f t="shared" si="3"/>
        <v>1459722.39</v>
      </c>
      <c r="L245" s="256">
        <v>2051</v>
      </c>
      <c r="N245" s="257"/>
      <c r="O245" s="9"/>
      <c r="P245" s="9"/>
    </row>
    <row r="246" spans="1:16">
      <c r="A246" s="260">
        <v>1015</v>
      </c>
      <c r="B246" s="252">
        <v>481169</v>
      </c>
      <c r="C246" s="253" t="s">
        <v>1026</v>
      </c>
      <c r="D246" s="254" t="s">
        <v>511</v>
      </c>
      <c r="E246" s="255">
        <v>0</v>
      </c>
      <c r="F246" s="255">
        <v>0</v>
      </c>
      <c r="G246" s="255">
        <v>1556788.13</v>
      </c>
      <c r="H246" s="403">
        <v>778394</v>
      </c>
      <c r="I246" s="654">
        <v>778394.13</v>
      </c>
      <c r="J246" s="654">
        <v>0</v>
      </c>
      <c r="K246" s="543">
        <f t="shared" si="3"/>
        <v>778394.13</v>
      </c>
      <c r="L246" s="256">
        <v>2051</v>
      </c>
      <c r="N246" s="257"/>
      <c r="O246" s="9"/>
      <c r="P246" s="9"/>
    </row>
    <row r="247" spans="1:16">
      <c r="A247" s="260">
        <v>1015</v>
      </c>
      <c r="B247" s="252">
        <v>4812</v>
      </c>
      <c r="C247" s="253" t="s">
        <v>341</v>
      </c>
      <c r="D247" s="254" t="s">
        <v>511</v>
      </c>
      <c r="E247" s="255">
        <v>1700486</v>
      </c>
      <c r="F247" s="255">
        <v>0</v>
      </c>
      <c r="G247" s="255">
        <v>468708</v>
      </c>
      <c r="H247" s="403">
        <v>597047</v>
      </c>
      <c r="I247" s="654">
        <v>1572147</v>
      </c>
      <c r="J247" s="654">
        <v>0</v>
      </c>
      <c r="K247" s="543">
        <f t="shared" si="3"/>
        <v>1572147</v>
      </c>
      <c r="L247" s="256">
        <v>2051</v>
      </c>
      <c r="N247" s="257"/>
      <c r="O247" s="9"/>
      <c r="P247" s="9"/>
    </row>
    <row r="248" spans="1:16">
      <c r="A248" s="260">
        <v>1015</v>
      </c>
      <c r="B248" s="252">
        <v>48120</v>
      </c>
      <c r="C248" s="253" t="s">
        <v>342</v>
      </c>
      <c r="D248" s="254" t="s">
        <v>511</v>
      </c>
      <c r="E248" s="255">
        <v>9.0000000000000008E-4</v>
      </c>
      <c r="F248" s="255">
        <v>0</v>
      </c>
      <c r="G248" s="255">
        <v>0</v>
      </c>
      <c r="H248" s="403">
        <v>0</v>
      </c>
      <c r="I248" s="654">
        <v>9.0000000000000008E-4</v>
      </c>
      <c r="J248" s="654">
        <v>0</v>
      </c>
      <c r="K248" s="543">
        <f t="shared" si="3"/>
        <v>9.0000000000000008E-4</v>
      </c>
      <c r="L248" s="256">
        <v>2051</v>
      </c>
      <c r="N248" s="257"/>
      <c r="O248" s="9"/>
      <c r="P248" s="9"/>
    </row>
    <row r="249" spans="1:16">
      <c r="A249" s="260">
        <v>1015</v>
      </c>
      <c r="B249" s="252">
        <v>48138</v>
      </c>
      <c r="C249" s="253" t="s">
        <v>343</v>
      </c>
      <c r="D249" s="254" t="s">
        <v>511</v>
      </c>
      <c r="E249" s="255">
        <v>2744175.14</v>
      </c>
      <c r="F249" s="255">
        <v>0</v>
      </c>
      <c r="G249" s="255">
        <v>0</v>
      </c>
      <c r="H249" s="403">
        <v>491493.88</v>
      </c>
      <c r="I249" s="654">
        <v>2252681.2599999998</v>
      </c>
      <c r="J249" s="654">
        <v>0</v>
      </c>
      <c r="K249" s="543">
        <f t="shared" si="3"/>
        <v>2252681.2599999998</v>
      </c>
      <c r="L249" s="256">
        <v>2051</v>
      </c>
      <c r="N249" s="257"/>
      <c r="O249" s="9"/>
      <c r="P249" s="9"/>
    </row>
    <row r="250" spans="1:16">
      <c r="A250" s="260">
        <v>1015</v>
      </c>
      <c r="B250" s="252">
        <v>4814</v>
      </c>
      <c r="C250" s="253" t="s">
        <v>344</v>
      </c>
      <c r="D250" s="254" t="s">
        <v>512</v>
      </c>
      <c r="E250" s="255">
        <v>1.2999999999999999E-3</v>
      </c>
      <c r="F250" s="255">
        <v>0</v>
      </c>
      <c r="G250" s="255">
        <v>0</v>
      </c>
      <c r="H250" s="403">
        <v>0</v>
      </c>
      <c r="I250" s="654">
        <v>1.2999999999999999E-3</v>
      </c>
      <c r="J250" s="654">
        <v>0</v>
      </c>
      <c r="K250" s="543">
        <f t="shared" si="3"/>
        <v>1.2999999999999999E-3</v>
      </c>
      <c r="L250" s="256">
        <v>2051</v>
      </c>
      <c r="N250" s="257"/>
      <c r="O250" s="9"/>
      <c r="P250" s="9"/>
    </row>
    <row r="251" spans="1:16">
      <c r="A251" s="260">
        <v>1015</v>
      </c>
      <c r="B251" s="252">
        <v>486</v>
      </c>
      <c r="C251" s="253" t="s">
        <v>345</v>
      </c>
      <c r="D251" s="254" t="s">
        <v>511</v>
      </c>
      <c r="E251" s="255">
        <v>33332.83</v>
      </c>
      <c r="F251" s="255">
        <v>0</v>
      </c>
      <c r="G251" s="255">
        <v>895521.41159999999</v>
      </c>
      <c r="H251" s="403">
        <v>33333</v>
      </c>
      <c r="I251" s="654">
        <v>895521.24160000007</v>
      </c>
      <c r="J251" s="654">
        <v>0</v>
      </c>
      <c r="K251" s="543">
        <f t="shared" si="3"/>
        <v>895521.24160000007</v>
      </c>
      <c r="L251" s="256">
        <v>2051</v>
      </c>
      <c r="N251" s="257"/>
      <c r="O251" s="9"/>
      <c r="P251" s="9"/>
    </row>
    <row r="252" spans="1:16">
      <c r="A252" s="260">
        <v>1015</v>
      </c>
      <c r="B252" s="252">
        <v>48600</v>
      </c>
      <c r="C252" s="253" t="s">
        <v>346</v>
      </c>
      <c r="D252" s="254" t="s">
        <v>511</v>
      </c>
      <c r="E252" s="255">
        <v>0</v>
      </c>
      <c r="F252" s="255">
        <v>0</v>
      </c>
      <c r="G252" s="255">
        <v>0</v>
      </c>
      <c r="H252" s="403">
        <v>0</v>
      </c>
      <c r="I252" s="654">
        <v>0</v>
      </c>
      <c r="J252" s="654">
        <v>0</v>
      </c>
      <c r="K252" s="543">
        <f t="shared" si="3"/>
        <v>0</v>
      </c>
      <c r="L252" s="256">
        <v>2051</v>
      </c>
      <c r="N252" s="257"/>
      <c r="O252" s="9"/>
      <c r="P252" s="9"/>
    </row>
    <row r="253" spans="1:16">
      <c r="A253" s="260">
        <v>1015</v>
      </c>
      <c r="B253" s="252">
        <v>48606</v>
      </c>
      <c r="C253" s="253" t="s">
        <v>540</v>
      </c>
      <c r="D253" s="254" t="s">
        <v>511</v>
      </c>
      <c r="E253" s="255">
        <v>35344.769999999997</v>
      </c>
      <c r="F253" s="255">
        <v>0</v>
      </c>
      <c r="G253" s="255">
        <v>843356</v>
      </c>
      <c r="H253" s="403">
        <v>878701</v>
      </c>
      <c r="I253" s="654">
        <v>0</v>
      </c>
      <c r="J253" s="654">
        <v>0.23</v>
      </c>
      <c r="K253" s="543">
        <f t="shared" si="3"/>
        <v>-0.23</v>
      </c>
      <c r="L253" s="256">
        <v>2051</v>
      </c>
      <c r="N253" s="257"/>
      <c r="O253" s="9"/>
      <c r="P253" s="9"/>
    </row>
    <row r="254" spans="1:16">
      <c r="A254" s="260">
        <v>1015</v>
      </c>
      <c r="B254" s="252">
        <v>48608</v>
      </c>
      <c r="C254" s="253" t="s">
        <v>347</v>
      </c>
      <c r="D254" s="254" t="s">
        <v>511</v>
      </c>
      <c r="E254" s="255">
        <v>2.0000000000000005E-3</v>
      </c>
      <c r="F254" s="255">
        <v>0</v>
      </c>
      <c r="G254" s="255">
        <v>0</v>
      </c>
      <c r="H254" s="403">
        <v>0</v>
      </c>
      <c r="I254" s="654">
        <v>2.0000000000000005E-3</v>
      </c>
      <c r="J254" s="654">
        <v>0</v>
      </c>
      <c r="K254" s="543">
        <f t="shared" si="3"/>
        <v>2.0000000000000005E-3</v>
      </c>
      <c r="L254" s="256">
        <v>2051</v>
      </c>
      <c r="N254" s="257"/>
      <c r="O254" s="9"/>
      <c r="P254" s="9"/>
    </row>
    <row r="255" spans="1:16">
      <c r="A255" s="260">
        <v>1015</v>
      </c>
      <c r="B255" s="252">
        <v>48609</v>
      </c>
      <c r="C255" s="253" t="s">
        <v>348</v>
      </c>
      <c r="D255" s="254" t="s">
        <v>511</v>
      </c>
      <c r="E255" s="255">
        <v>1.1999999999999999E-3</v>
      </c>
      <c r="F255" s="255">
        <v>0</v>
      </c>
      <c r="G255" s="255">
        <v>0</v>
      </c>
      <c r="H255" s="403">
        <v>0</v>
      </c>
      <c r="I255" s="654">
        <v>1.1999999999999999E-3</v>
      </c>
      <c r="J255" s="654">
        <v>0</v>
      </c>
      <c r="K255" s="543">
        <f t="shared" si="3"/>
        <v>1.1999999999999999E-3</v>
      </c>
      <c r="L255" s="256">
        <v>2051</v>
      </c>
      <c r="N255" s="257"/>
      <c r="O255" s="9"/>
      <c r="P255" s="9"/>
    </row>
    <row r="256" spans="1:16">
      <c r="A256" s="260">
        <v>1015</v>
      </c>
      <c r="B256" s="252">
        <v>4861</v>
      </c>
      <c r="C256" s="253" t="s">
        <v>349</v>
      </c>
      <c r="D256" s="254" t="s">
        <v>511</v>
      </c>
      <c r="E256" s="255">
        <v>28202.501200000006</v>
      </c>
      <c r="F256" s="255">
        <v>0</v>
      </c>
      <c r="G256" s="255">
        <v>18802</v>
      </c>
      <c r="H256" s="403">
        <v>28203</v>
      </c>
      <c r="I256" s="654">
        <v>18801.50120000001</v>
      </c>
      <c r="J256" s="654">
        <v>0</v>
      </c>
      <c r="K256" s="543">
        <f t="shared" si="3"/>
        <v>18801.50120000001</v>
      </c>
      <c r="L256" s="256">
        <v>2051</v>
      </c>
      <c r="N256" s="257"/>
      <c r="O256" s="9"/>
      <c r="P256" s="9"/>
    </row>
    <row r="257" spans="1:16">
      <c r="A257" s="260">
        <v>1015</v>
      </c>
      <c r="B257" s="252">
        <v>48610</v>
      </c>
      <c r="C257" s="253" t="s">
        <v>350</v>
      </c>
      <c r="D257" s="254" t="s">
        <v>511</v>
      </c>
      <c r="E257" s="255">
        <v>1.0499999999999999E-2</v>
      </c>
      <c r="F257" s="255">
        <v>0</v>
      </c>
      <c r="G257" s="255">
        <v>35357787.908599995</v>
      </c>
      <c r="H257" s="403">
        <v>35357788</v>
      </c>
      <c r="I257" s="654">
        <v>0</v>
      </c>
      <c r="J257" s="654">
        <v>8.0900006294250482E-2</v>
      </c>
      <c r="K257" s="543">
        <f t="shared" si="3"/>
        <v>-8.0900006294250482E-2</v>
      </c>
      <c r="L257" s="256">
        <v>2051</v>
      </c>
      <c r="N257" s="257"/>
      <c r="O257" s="9"/>
      <c r="P257" s="9"/>
    </row>
    <row r="258" spans="1:16">
      <c r="A258" s="260">
        <v>1015</v>
      </c>
      <c r="B258" s="252">
        <v>48611</v>
      </c>
      <c r="C258" s="253" t="s">
        <v>351</v>
      </c>
      <c r="D258" s="254" t="s">
        <v>511</v>
      </c>
      <c r="E258" s="255">
        <v>46811855.755199999</v>
      </c>
      <c r="F258" s="255">
        <v>0</v>
      </c>
      <c r="G258" s="255">
        <v>18941198.286600001</v>
      </c>
      <c r="H258" s="403">
        <v>46500112.5</v>
      </c>
      <c r="I258" s="654">
        <v>19252941.541799992</v>
      </c>
      <c r="J258" s="654">
        <v>0</v>
      </c>
      <c r="K258" s="719">
        <f t="shared" si="3"/>
        <v>19252941.541799992</v>
      </c>
      <c r="L258" s="256">
        <v>2051</v>
      </c>
      <c r="N258" s="257"/>
      <c r="O258" s="9"/>
      <c r="P258" s="9"/>
    </row>
    <row r="259" spans="1:16">
      <c r="A259" s="260">
        <v>1015</v>
      </c>
      <c r="B259" s="252">
        <v>4863</v>
      </c>
      <c r="C259" s="253" t="s">
        <v>352</v>
      </c>
      <c r="D259" s="254" t="s">
        <v>511</v>
      </c>
      <c r="E259" s="255">
        <v>575541.84</v>
      </c>
      <c r="F259" s="255">
        <v>0</v>
      </c>
      <c r="G259" s="255">
        <v>0</v>
      </c>
      <c r="H259" s="403">
        <v>115108</v>
      </c>
      <c r="I259" s="654">
        <v>460433.84</v>
      </c>
      <c r="J259" s="654">
        <v>0</v>
      </c>
      <c r="K259" s="543">
        <f t="shared" si="3"/>
        <v>460433.84</v>
      </c>
      <c r="L259" s="256">
        <v>2051</v>
      </c>
      <c r="N259" s="257"/>
      <c r="O259" s="9"/>
      <c r="P259" s="9"/>
    </row>
    <row r="260" spans="1:16">
      <c r="A260" s="260">
        <v>1015</v>
      </c>
      <c r="B260" s="252">
        <v>4864</v>
      </c>
      <c r="C260" s="253" t="s">
        <v>541</v>
      </c>
      <c r="D260" s="254" t="s">
        <v>511</v>
      </c>
      <c r="E260" s="255">
        <v>36333.33</v>
      </c>
      <c r="F260" s="255">
        <v>0</v>
      </c>
      <c r="G260" s="255">
        <v>1918708.5976</v>
      </c>
      <c r="H260" s="403">
        <v>36333.33</v>
      </c>
      <c r="I260" s="654">
        <v>1918708.5976</v>
      </c>
      <c r="J260" s="654">
        <v>0</v>
      </c>
      <c r="K260" s="543">
        <f t="shared" si="3"/>
        <v>1918708.5976</v>
      </c>
      <c r="L260" s="256">
        <v>2051</v>
      </c>
      <c r="N260" s="257"/>
      <c r="O260" s="9"/>
      <c r="P260" s="9"/>
    </row>
    <row r="261" spans="1:16">
      <c r="A261" s="260">
        <v>1015</v>
      </c>
      <c r="B261" s="252">
        <v>4865</v>
      </c>
      <c r="C261" s="253" t="s">
        <v>1027</v>
      </c>
      <c r="D261" s="254" t="s">
        <v>511</v>
      </c>
      <c r="E261" s="255">
        <v>0</v>
      </c>
      <c r="F261" s="255">
        <v>0</v>
      </c>
      <c r="G261" s="255">
        <v>4340000</v>
      </c>
      <c r="H261" s="403">
        <v>0</v>
      </c>
      <c r="I261" s="654">
        <v>4340000</v>
      </c>
      <c r="J261" s="654">
        <v>0</v>
      </c>
      <c r="K261" s="543">
        <f t="shared" si="3"/>
        <v>4340000</v>
      </c>
      <c r="L261" s="256">
        <v>2051</v>
      </c>
      <c r="N261" s="257"/>
      <c r="O261" s="9"/>
      <c r="P261" s="9"/>
    </row>
    <row r="262" spans="1:16">
      <c r="A262" s="260">
        <v>1015</v>
      </c>
      <c r="B262" s="252">
        <v>487201</v>
      </c>
      <c r="C262" s="253" t="s">
        <v>353</v>
      </c>
      <c r="D262" s="254" t="s">
        <v>511</v>
      </c>
      <c r="E262" s="255">
        <v>0</v>
      </c>
      <c r="F262" s="255">
        <v>3.7000000000000006E-3</v>
      </c>
      <c r="G262" s="255">
        <v>0</v>
      </c>
      <c r="H262" s="403">
        <v>0</v>
      </c>
      <c r="I262" s="654">
        <v>0</v>
      </c>
      <c r="J262" s="654">
        <v>3.7000000000000006E-3</v>
      </c>
      <c r="K262" s="543">
        <f t="shared" si="3"/>
        <v>-3.7000000000000006E-3</v>
      </c>
      <c r="L262" s="256">
        <v>2051</v>
      </c>
      <c r="N262" s="257"/>
      <c r="O262" s="9"/>
      <c r="P262" s="9"/>
    </row>
    <row r="263" spans="1:16">
      <c r="A263" s="260">
        <v>1015</v>
      </c>
      <c r="B263" s="252">
        <v>487202</v>
      </c>
      <c r="C263" s="253" t="s">
        <v>542</v>
      </c>
      <c r="D263" s="254" t="s">
        <v>511</v>
      </c>
      <c r="E263" s="255">
        <v>0</v>
      </c>
      <c r="F263" s="255">
        <v>0</v>
      </c>
      <c r="G263" s="255">
        <v>863967.4</v>
      </c>
      <c r="H263" s="403">
        <v>863967</v>
      </c>
      <c r="I263" s="654">
        <v>0.4</v>
      </c>
      <c r="J263" s="654">
        <v>0</v>
      </c>
      <c r="K263" s="543">
        <f t="shared" ref="K263:K326" si="4">I263-J263</f>
        <v>0.4</v>
      </c>
      <c r="L263" s="256">
        <v>2051</v>
      </c>
      <c r="N263" s="257"/>
      <c r="O263" s="9"/>
      <c r="P263" s="9"/>
    </row>
    <row r="264" spans="1:16">
      <c r="A264" s="260">
        <v>1015</v>
      </c>
      <c r="B264" s="252">
        <v>487224</v>
      </c>
      <c r="C264" s="253" t="s">
        <v>354</v>
      </c>
      <c r="D264" s="254" t="s">
        <v>511</v>
      </c>
      <c r="E264" s="255">
        <v>2.1999999999999997E-3</v>
      </c>
      <c r="F264" s="255">
        <v>0</v>
      </c>
      <c r="G264" s="255">
        <v>0</v>
      </c>
      <c r="H264" s="403">
        <v>0</v>
      </c>
      <c r="I264" s="654">
        <v>2.1999999999999997E-3</v>
      </c>
      <c r="J264" s="654">
        <v>0</v>
      </c>
      <c r="K264" s="543">
        <f t="shared" si="4"/>
        <v>2.1999999999999997E-3</v>
      </c>
      <c r="L264" s="256">
        <v>2051</v>
      </c>
      <c r="N264" s="257"/>
      <c r="O264" s="9"/>
      <c r="P264" s="9"/>
    </row>
    <row r="265" spans="1:16">
      <c r="A265" s="260">
        <v>1015</v>
      </c>
      <c r="B265" s="252">
        <v>487225</v>
      </c>
      <c r="C265" s="253" t="s">
        <v>355</v>
      </c>
      <c r="D265" s="254" t="s">
        <v>511</v>
      </c>
      <c r="E265" s="255">
        <v>2.0000000000000005E-3</v>
      </c>
      <c r="F265" s="255">
        <v>0</v>
      </c>
      <c r="G265" s="255">
        <v>0</v>
      </c>
      <c r="H265" s="403">
        <v>0</v>
      </c>
      <c r="I265" s="654">
        <v>2.0000000000000005E-3</v>
      </c>
      <c r="J265" s="654">
        <v>0</v>
      </c>
      <c r="K265" s="543">
        <f t="shared" si="4"/>
        <v>2.0000000000000005E-3</v>
      </c>
      <c r="L265" s="256">
        <v>2051</v>
      </c>
      <c r="N265" s="257"/>
      <c r="O265" s="9"/>
      <c r="P265" s="9"/>
    </row>
    <row r="266" spans="1:16">
      <c r="A266" s="260">
        <v>1015</v>
      </c>
      <c r="B266" s="252">
        <v>487226</v>
      </c>
      <c r="C266" s="253" t="s">
        <v>356</v>
      </c>
      <c r="D266" s="254" t="s">
        <v>511</v>
      </c>
      <c r="E266" s="255">
        <v>5.0000000000000001E-3</v>
      </c>
      <c r="F266" s="255">
        <v>0</v>
      </c>
      <c r="G266" s="255">
        <v>0</v>
      </c>
      <c r="H266" s="403">
        <v>0</v>
      </c>
      <c r="I266" s="654">
        <v>5.0000000000000001E-3</v>
      </c>
      <c r="J266" s="654">
        <v>0</v>
      </c>
      <c r="K266" s="543">
        <f t="shared" si="4"/>
        <v>5.0000000000000001E-3</v>
      </c>
      <c r="L266" s="256">
        <v>2051</v>
      </c>
      <c r="N266" s="257"/>
      <c r="O266" s="9"/>
      <c r="P266" s="9"/>
    </row>
    <row r="267" spans="1:16">
      <c r="A267" s="260">
        <v>1015</v>
      </c>
      <c r="B267" s="252">
        <v>487227</v>
      </c>
      <c r="C267" s="253" t="s">
        <v>357</v>
      </c>
      <c r="D267" s="254" t="s">
        <v>511</v>
      </c>
      <c r="E267" s="255">
        <v>5894812</v>
      </c>
      <c r="F267" s="255">
        <v>0</v>
      </c>
      <c r="G267" s="255">
        <v>6730475.4500000002</v>
      </c>
      <c r="H267" s="403">
        <v>5894812</v>
      </c>
      <c r="I267" s="654">
        <v>6730475.4500000002</v>
      </c>
      <c r="J267" s="654">
        <v>0</v>
      </c>
      <c r="K267" s="543">
        <f t="shared" si="4"/>
        <v>6730475.4500000002</v>
      </c>
      <c r="L267" s="256">
        <v>2051</v>
      </c>
      <c r="N267" s="257"/>
      <c r="O267" s="9"/>
      <c r="P267" s="9"/>
    </row>
    <row r="268" spans="1:16">
      <c r="A268" s="260">
        <v>1015</v>
      </c>
      <c r="B268" s="252">
        <v>48726</v>
      </c>
      <c r="C268" s="253" t="s">
        <v>358</v>
      </c>
      <c r="D268" s="254" t="s">
        <v>513</v>
      </c>
      <c r="E268" s="255">
        <v>0</v>
      </c>
      <c r="F268" s="255">
        <v>3.5000000000000005E-3</v>
      </c>
      <c r="G268" s="255">
        <v>0</v>
      </c>
      <c r="H268" s="403">
        <v>0</v>
      </c>
      <c r="I268" s="654">
        <v>0</v>
      </c>
      <c r="J268" s="654">
        <v>3.5000000000000005E-3</v>
      </c>
      <c r="K268" s="543">
        <f t="shared" si="4"/>
        <v>-3.5000000000000005E-3</v>
      </c>
      <c r="L268" s="256">
        <v>2051</v>
      </c>
      <c r="N268" s="257"/>
      <c r="O268" s="9"/>
      <c r="P268" s="9"/>
    </row>
    <row r="269" spans="1:16">
      <c r="A269" s="260">
        <v>1015</v>
      </c>
      <c r="B269" s="252">
        <v>48739</v>
      </c>
      <c r="C269" s="253" t="s">
        <v>359</v>
      </c>
      <c r="D269" s="254" t="s">
        <v>511</v>
      </c>
      <c r="E269" s="255">
        <v>0</v>
      </c>
      <c r="F269" s="255">
        <v>0</v>
      </c>
      <c r="G269" s="255">
        <v>0</v>
      </c>
      <c r="H269" s="403">
        <v>0</v>
      </c>
      <c r="I269" s="654">
        <v>0</v>
      </c>
      <c r="J269" s="654">
        <v>0</v>
      </c>
      <c r="K269" s="543">
        <f t="shared" si="4"/>
        <v>0</v>
      </c>
      <c r="L269" s="256">
        <v>2051</v>
      </c>
      <c r="N269" s="257"/>
      <c r="O269" s="9"/>
      <c r="P269" s="9"/>
    </row>
    <row r="270" spans="1:16">
      <c r="A270" s="260">
        <v>2010</v>
      </c>
      <c r="B270" s="252">
        <v>48800</v>
      </c>
      <c r="C270" s="253" t="s">
        <v>360</v>
      </c>
      <c r="D270" s="254" t="s">
        <v>511</v>
      </c>
      <c r="E270" s="255">
        <v>0</v>
      </c>
      <c r="F270" s="255">
        <v>1114788.7</v>
      </c>
      <c r="G270" s="255">
        <v>563700</v>
      </c>
      <c r="H270" s="403">
        <v>0</v>
      </c>
      <c r="I270" s="654">
        <v>0</v>
      </c>
      <c r="J270" s="654">
        <v>551088.69999999995</v>
      </c>
      <c r="K270" s="434">
        <f t="shared" si="4"/>
        <v>-551088.69999999995</v>
      </c>
      <c r="L270" s="256">
        <v>3003</v>
      </c>
      <c r="M270" s="9"/>
      <c r="N270" s="257"/>
      <c r="O270" s="9"/>
      <c r="P270" s="9"/>
    </row>
    <row r="271" spans="1:16">
      <c r="A271" s="260">
        <v>1001</v>
      </c>
      <c r="B271" s="252">
        <v>51200</v>
      </c>
      <c r="C271" s="253" t="s">
        <v>361</v>
      </c>
      <c r="D271" s="254" t="s">
        <v>511</v>
      </c>
      <c r="E271" s="255">
        <v>10990.91</v>
      </c>
      <c r="F271" s="255">
        <v>0</v>
      </c>
      <c r="G271" s="255">
        <v>4143732.41</v>
      </c>
      <c r="H271" s="403">
        <v>4102506.61</v>
      </c>
      <c r="I271" s="654">
        <v>52216.71</v>
      </c>
      <c r="J271" s="654">
        <v>0</v>
      </c>
      <c r="K271" s="434">
        <f t="shared" si="4"/>
        <v>52216.71</v>
      </c>
      <c r="L271" s="256">
        <v>2239</v>
      </c>
      <c r="N271" s="257"/>
      <c r="O271" s="9"/>
      <c r="P271" s="9"/>
    </row>
    <row r="272" spans="1:16">
      <c r="A272" s="260">
        <v>1001</v>
      </c>
      <c r="B272" s="252">
        <v>512000</v>
      </c>
      <c r="C272" s="253" t="s">
        <v>362</v>
      </c>
      <c r="D272" s="254" t="s">
        <v>511</v>
      </c>
      <c r="E272" s="255">
        <v>147230.84</v>
      </c>
      <c r="F272" s="255">
        <v>0</v>
      </c>
      <c r="G272" s="255">
        <v>140747961.24000001</v>
      </c>
      <c r="H272" s="403">
        <v>138860045.08000001</v>
      </c>
      <c r="I272" s="654">
        <v>2035147</v>
      </c>
      <c r="J272" s="654">
        <v>0</v>
      </c>
      <c r="K272" s="434">
        <f t="shared" si="4"/>
        <v>2035147</v>
      </c>
      <c r="L272" s="256">
        <v>2239</v>
      </c>
      <c r="N272" s="257"/>
      <c r="O272" s="9"/>
      <c r="P272" s="9"/>
    </row>
    <row r="273" spans="1:16">
      <c r="A273" s="260">
        <v>1001</v>
      </c>
      <c r="B273" s="252">
        <v>512001</v>
      </c>
      <c r="C273" s="253" t="s">
        <v>363</v>
      </c>
      <c r="D273" s="254" t="s">
        <v>513</v>
      </c>
      <c r="E273" s="255">
        <v>3416.5458000000003</v>
      </c>
      <c r="F273" s="255">
        <v>0</v>
      </c>
      <c r="G273" s="255">
        <v>0</v>
      </c>
      <c r="H273" s="403">
        <v>2096.6009999999997</v>
      </c>
      <c r="I273" s="654">
        <v>1319.9448000000004</v>
      </c>
      <c r="J273" s="654">
        <v>0</v>
      </c>
      <c r="K273" s="434">
        <f t="shared" si="4"/>
        <v>1319.9448000000004</v>
      </c>
      <c r="L273" s="256">
        <v>2239</v>
      </c>
      <c r="N273" s="257"/>
      <c r="O273" s="9"/>
      <c r="P273" s="9"/>
    </row>
    <row r="274" spans="1:16">
      <c r="A274" s="260">
        <v>1001</v>
      </c>
      <c r="B274" s="252">
        <v>512002</v>
      </c>
      <c r="C274" s="253" t="s">
        <v>364</v>
      </c>
      <c r="D274" s="254" t="s">
        <v>512</v>
      </c>
      <c r="E274" s="255">
        <v>271366.41180000006</v>
      </c>
      <c r="F274" s="255">
        <v>0</v>
      </c>
      <c r="G274" s="255">
        <v>57765133.527900003</v>
      </c>
      <c r="H274" s="403">
        <v>58022614.919000007</v>
      </c>
      <c r="I274" s="654">
        <v>13885.020699996949</v>
      </c>
      <c r="J274" s="654">
        <v>0</v>
      </c>
      <c r="K274" s="434">
        <f t="shared" si="4"/>
        <v>13885.020699996949</v>
      </c>
      <c r="L274" s="256">
        <v>2239</v>
      </c>
      <c r="N274" s="257"/>
      <c r="O274" s="9"/>
      <c r="P274" s="9"/>
    </row>
    <row r="275" spans="1:16">
      <c r="A275" s="260">
        <v>1001</v>
      </c>
      <c r="B275" s="252">
        <v>51201</v>
      </c>
      <c r="C275" s="253" t="s">
        <v>365</v>
      </c>
      <c r="D275" s="254" t="s">
        <v>513</v>
      </c>
      <c r="E275" s="255">
        <v>9.0000000000000008E-4</v>
      </c>
      <c r="F275" s="255">
        <v>0</v>
      </c>
      <c r="G275" s="255">
        <v>0</v>
      </c>
      <c r="H275" s="403">
        <v>0</v>
      </c>
      <c r="I275" s="654">
        <v>9.0000000000000008E-4</v>
      </c>
      <c r="J275" s="654">
        <v>0</v>
      </c>
      <c r="K275" s="434">
        <f t="shared" si="4"/>
        <v>9.0000000000000008E-4</v>
      </c>
      <c r="L275" s="256">
        <v>2239</v>
      </c>
      <c r="N275" s="257"/>
      <c r="O275" s="9"/>
      <c r="P275" s="9"/>
    </row>
    <row r="276" spans="1:16">
      <c r="A276" s="260">
        <v>1001</v>
      </c>
      <c r="B276" s="252">
        <v>512010</v>
      </c>
      <c r="C276" s="253" t="s">
        <v>366</v>
      </c>
      <c r="D276" s="254" t="s">
        <v>511</v>
      </c>
      <c r="E276" s="255">
        <v>42715.41</v>
      </c>
      <c r="F276" s="255">
        <v>0</v>
      </c>
      <c r="G276" s="255">
        <v>169074868</v>
      </c>
      <c r="H276" s="403">
        <v>168994131.71000001</v>
      </c>
      <c r="I276" s="654">
        <v>123451.7</v>
      </c>
      <c r="J276" s="654">
        <v>0</v>
      </c>
      <c r="K276" s="434">
        <f t="shared" si="4"/>
        <v>123451.7</v>
      </c>
      <c r="L276" s="256">
        <v>2239</v>
      </c>
      <c r="N276" s="257"/>
      <c r="O276" s="9"/>
      <c r="P276" s="9"/>
    </row>
    <row r="277" spans="1:16">
      <c r="A277" s="260">
        <v>1001</v>
      </c>
      <c r="B277" s="252">
        <v>512011</v>
      </c>
      <c r="C277" s="253" t="s">
        <v>367</v>
      </c>
      <c r="D277" s="254" t="s">
        <v>513</v>
      </c>
      <c r="E277" s="255">
        <v>13652.202999999998</v>
      </c>
      <c r="F277" s="255">
        <v>0</v>
      </c>
      <c r="G277" s="255">
        <v>0</v>
      </c>
      <c r="H277" s="403">
        <v>4262.2538999999997</v>
      </c>
      <c r="I277" s="654">
        <v>9389.9490999999962</v>
      </c>
      <c r="J277" s="654">
        <v>0</v>
      </c>
      <c r="K277" s="434">
        <f t="shared" si="4"/>
        <v>9389.9490999999962</v>
      </c>
      <c r="L277" s="256">
        <v>2239</v>
      </c>
      <c r="N277" s="257"/>
      <c r="O277" s="9"/>
      <c r="P277" s="9"/>
    </row>
    <row r="278" spans="1:16">
      <c r="A278" s="260">
        <v>1001</v>
      </c>
      <c r="B278" s="252">
        <v>512012</v>
      </c>
      <c r="C278" s="253" t="s">
        <v>368</v>
      </c>
      <c r="D278" s="254" t="s">
        <v>512</v>
      </c>
      <c r="E278" s="255">
        <v>490213.11569999991</v>
      </c>
      <c r="F278" s="255">
        <v>0</v>
      </c>
      <c r="G278" s="255">
        <v>16033430.890000001</v>
      </c>
      <c r="H278" s="403">
        <v>16379677.863</v>
      </c>
      <c r="I278" s="654">
        <v>143966.14269999744</v>
      </c>
      <c r="J278" s="654">
        <v>0</v>
      </c>
      <c r="K278" s="434">
        <f t="shared" si="4"/>
        <v>143966.14269999744</v>
      </c>
      <c r="L278" s="256">
        <v>2239</v>
      </c>
      <c r="N278" s="257"/>
      <c r="O278" s="9"/>
      <c r="P278" s="9"/>
    </row>
    <row r="279" spans="1:16">
      <c r="A279" s="260">
        <v>1001</v>
      </c>
      <c r="B279" s="252">
        <v>51202</v>
      </c>
      <c r="C279" s="253" t="s">
        <v>369</v>
      </c>
      <c r="D279" s="254" t="s">
        <v>512</v>
      </c>
      <c r="E279" s="255">
        <v>177138.52859999999</v>
      </c>
      <c r="F279" s="255">
        <v>0</v>
      </c>
      <c r="G279" s="255">
        <v>390.12510000000003</v>
      </c>
      <c r="H279" s="403">
        <v>127587.54</v>
      </c>
      <c r="I279" s="654">
        <v>49941.113700000009</v>
      </c>
      <c r="J279" s="654">
        <v>0</v>
      </c>
      <c r="K279" s="434">
        <f t="shared" si="4"/>
        <v>49941.113700000009</v>
      </c>
      <c r="L279" s="256">
        <v>2239</v>
      </c>
      <c r="N279" s="257"/>
      <c r="O279" s="9"/>
      <c r="P279" s="9"/>
    </row>
    <row r="280" spans="1:16">
      <c r="A280" s="260">
        <v>1001</v>
      </c>
      <c r="B280" s="252">
        <v>512020</v>
      </c>
      <c r="C280" s="253" t="s">
        <v>370</v>
      </c>
      <c r="D280" s="254" t="s">
        <v>511</v>
      </c>
      <c r="E280" s="255">
        <v>668195.37</v>
      </c>
      <c r="F280" s="255">
        <v>0</v>
      </c>
      <c r="G280" s="255">
        <v>33016062.690000001</v>
      </c>
      <c r="H280" s="403">
        <v>33470001.899999999</v>
      </c>
      <c r="I280" s="654">
        <v>214256.16</v>
      </c>
      <c r="J280" s="654">
        <v>0</v>
      </c>
      <c r="K280" s="434">
        <f t="shared" si="4"/>
        <v>214256.16</v>
      </c>
      <c r="L280" s="256">
        <v>2239</v>
      </c>
      <c r="N280" s="257"/>
      <c r="O280" s="9"/>
      <c r="P280" s="9"/>
    </row>
    <row r="281" spans="1:16">
      <c r="A281" s="260">
        <v>1001</v>
      </c>
      <c r="B281" s="252">
        <v>512022</v>
      </c>
      <c r="C281" s="253" t="s">
        <v>371</v>
      </c>
      <c r="D281" s="254" t="s">
        <v>513</v>
      </c>
      <c r="E281" s="255">
        <v>23952.3842</v>
      </c>
      <c r="F281" s="255">
        <v>0</v>
      </c>
      <c r="G281" s="255">
        <v>1164961.5919000001</v>
      </c>
      <c r="H281" s="403">
        <v>1188061.8799999999</v>
      </c>
      <c r="I281" s="654">
        <v>852.09609999999407</v>
      </c>
      <c r="J281" s="654">
        <v>0</v>
      </c>
      <c r="K281" s="434">
        <f t="shared" si="4"/>
        <v>852.09609999999407</v>
      </c>
      <c r="L281" s="256">
        <v>2239</v>
      </c>
      <c r="N281" s="257"/>
      <c r="O281" s="9"/>
      <c r="P281" s="9"/>
    </row>
    <row r="282" spans="1:16">
      <c r="A282" s="260">
        <v>2002</v>
      </c>
      <c r="B282" s="252">
        <v>512023</v>
      </c>
      <c r="C282" s="253" t="s">
        <v>372</v>
      </c>
      <c r="D282" s="254" t="s">
        <v>513</v>
      </c>
      <c r="E282" s="255">
        <v>0</v>
      </c>
      <c r="F282" s="255">
        <v>4.5999999999999999E-3</v>
      </c>
      <c r="G282" s="255">
        <v>0</v>
      </c>
      <c r="H282" s="403">
        <v>0</v>
      </c>
      <c r="I282" s="654">
        <v>0</v>
      </c>
      <c r="J282" s="654">
        <v>4.5999999999999999E-3</v>
      </c>
      <c r="K282" s="434">
        <f t="shared" si="4"/>
        <v>-4.5999999999999999E-3</v>
      </c>
      <c r="L282" s="256">
        <v>2239</v>
      </c>
      <c r="N282" s="257"/>
      <c r="O282" s="9"/>
      <c r="P282" s="9"/>
    </row>
    <row r="283" spans="1:16">
      <c r="A283" s="260">
        <v>1001</v>
      </c>
      <c r="B283" s="252">
        <v>512024</v>
      </c>
      <c r="C283" s="253" t="s">
        <v>373</v>
      </c>
      <c r="D283" s="254" t="s">
        <v>512</v>
      </c>
      <c r="E283" s="255">
        <v>225184.69049999997</v>
      </c>
      <c r="F283" s="255">
        <v>0</v>
      </c>
      <c r="G283" s="255">
        <v>36601708.993600003</v>
      </c>
      <c r="H283" s="403">
        <v>36765721.156199999</v>
      </c>
      <c r="I283" s="654">
        <v>61172.52789999485</v>
      </c>
      <c r="J283" s="654">
        <v>0</v>
      </c>
      <c r="K283" s="434">
        <f t="shared" si="4"/>
        <v>61172.52789999485</v>
      </c>
      <c r="L283" s="256">
        <v>2239</v>
      </c>
      <c r="N283" s="257"/>
      <c r="O283" s="9"/>
      <c r="P283" s="9"/>
    </row>
    <row r="284" spans="1:16">
      <c r="A284" s="260">
        <v>1001</v>
      </c>
      <c r="B284" s="252">
        <v>512025</v>
      </c>
      <c r="C284" s="253" t="s">
        <v>374</v>
      </c>
      <c r="D284" s="254" t="s">
        <v>512</v>
      </c>
      <c r="E284" s="255">
        <v>2.0000000000000001E-4</v>
      </c>
      <c r="F284" s="255">
        <v>0</v>
      </c>
      <c r="G284" s="255">
        <v>0</v>
      </c>
      <c r="H284" s="403">
        <v>0</v>
      </c>
      <c r="I284" s="654">
        <v>2.0000000000000001E-4</v>
      </c>
      <c r="J284" s="654">
        <v>0</v>
      </c>
      <c r="K284" s="434">
        <f t="shared" si="4"/>
        <v>2.0000000000000001E-4</v>
      </c>
      <c r="L284" s="256">
        <v>2239</v>
      </c>
      <c r="N284" s="257"/>
      <c r="O284" s="9"/>
      <c r="P284" s="9"/>
    </row>
    <row r="285" spans="1:16">
      <c r="A285" s="260">
        <v>1001</v>
      </c>
      <c r="B285" s="252">
        <v>512026</v>
      </c>
      <c r="C285" s="253" t="s">
        <v>375</v>
      </c>
      <c r="D285" s="254" t="s">
        <v>515</v>
      </c>
      <c r="E285" s="255">
        <v>133083.78660000002</v>
      </c>
      <c r="F285" s="255">
        <v>0</v>
      </c>
      <c r="G285" s="255">
        <v>710925.98800000001</v>
      </c>
      <c r="H285" s="403">
        <v>686595.08640000015</v>
      </c>
      <c r="I285" s="654">
        <v>157414.68819999948</v>
      </c>
      <c r="J285" s="654">
        <v>0</v>
      </c>
      <c r="K285" s="434">
        <f t="shared" si="4"/>
        <v>157414.68819999948</v>
      </c>
      <c r="L285" s="256">
        <v>2239</v>
      </c>
      <c r="N285" s="257"/>
      <c r="O285" s="9"/>
      <c r="P285" s="9"/>
    </row>
    <row r="286" spans="1:16">
      <c r="A286" s="260">
        <v>1001</v>
      </c>
      <c r="B286" s="252">
        <v>512027</v>
      </c>
      <c r="C286" s="253" t="s">
        <v>376</v>
      </c>
      <c r="D286" s="254" t="s">
        <v>514</v>
      </c>
      <c r="E286" s="255">
        <v>28266.131200000007</v>
      </c>
      <c r="F286" s="255">
        <v>0</v>
      </c>
      <c r="G286" s="255">
        <v>218170.02</v>
      </c>
      <c r="H286" s="403">
        <v>226055.45600000001</v>
      </c>
      <c r="I286" s="654">
        <v>20380.695199999958</v>
      </c>
      <c r="J286" s="654">
        <v>0</v>
      </c>
      <c r="K286" s="434">
        <f t="shared" si="4"/>
        <v>20380.695199999958</v>
      </c>
      <c r="L286" s="256">
        <v>2239</v>
      </c>
      <c r="N286" s="257"/>
      <c r="O286" s="9"/>
      <c r="P286" s="9"/>
    </row>
    <row r="287" spans="1:16">
      <c r="A287" s="260">
        <v>2002</v>
      </c>
      <c r="B287" s="252">
        <v>512029</v>
      </c>
      <c r="C287" s="253" t="s">
        <v>1028</v>
      </c>
      <c r="D287" s="254" t="s">
        <v>511</v>
      </c>
      <c r="E287" s="255">
        <v>0</v>
      </c>
      <c r="F287" s="255">
        <v>0</v>
      </c>
      <c r="G287" s="255">
        <v>595009.80000000005</v>
      </c>
      <c r="H287" s="403">
        <v>638225.17519999994</v>
      </c>
      <c r="I287" s="654">
        <v>0</v>
      </c>
      <c r="J287" s="654">
        <v>43215.375200000031</v>
      </c>
      <c r="K287" s="434">
        <f t="shared" si="4"/>
        <v>-43215.375200000031</v>
      </c>
      <c r="L287" s="256">
        <v>1112</v>
      </c>
      <c r="N287" s="257"/>
      <c r="O287" s="9"/>
      <c r="P287" s="9"/>
    </row>
    <row r="288" spans="1:16">
      <c r="A288" s="260">
        <v>1001</v>
      </c>
      <c r="B288" s="252">
        <v>512030</v>
      </c>
      <c r="C288" s="253" t="s">
        <v>378</v>
      </c>
      <c r="D288" s="254" t="s">
        <v>511</v>
      </c>
      <c r="E288" s="255">
        <v>0</v>
      </c>
      <c r="F288" s="255">
        <v>3044012.69</v>
      </c>
      <c r="G288" s="255">
        <v>147631274</v>
      </c>
      <c r="H288" s="403">
        <v>143875633.44999999</v>
      </c>
      <c r="I288" s="654">
        <v>711627.86</v>
      </c>
      <c r="J288" s="654">
        <v>0</v>
      </c>
      <c r="K288" s="434">
        <f t="shared" si="4"/>
        <v>711627.86</v>
      </c>
      <c r="L288" s="256">
        <v>2239</v>
      </c>
      <c r="N288" s="257"/>
      <c r="O288" s="9"/>
      <c r="P288" s="9"/>
    </row>
    <row r="289" spans="1:16">
      <c r="A289" s="260">
        <v>1001</v>
      </c>
      <c r="B289" s="252">
        <v>512031</v>
      </c>
      <c r="C289" s="253" t="s">
        <v>379</v>
      </c>
      <c r="D289" s="254" t="s">
        <v>513</v>
      </c>
      <c r="E289" s="255">
        <v>146332.90419999999</v>
      </c>
      <c r="F289" s="255">
        <v>0</v>
      </c>
      <c r="G289" s="255">
        <v>24686925.467600003</v>
      </c>
      <c r="H289" s="403">
        <v>24795751.479799997</v>
      </c>
      <c r="I289" s="654">
        <v>37506.892000007632</v>
      </c>
      <c r="J289" s="654">
        <v>0</v>
      </c>
      <c r="K289" s="434">
        <f t="shared" si="4"/>
        <v>37506.892000007632</v>
      </c>
      <c r="L289" s="256">
        <v>2239</v>
      </c>
      <c r="N289" s="257"/>
      <c r="O289" s="9"/>
      <c r="P289" s="9"/>
    </row>
    <row r="290" spans="1:16">
      <c r="A290" s="260">
        <v>1001</v>
      </c>
      <c r="B290" s="252">
        <v>512032</v>
      </c>
      <c r="C290" s="253" t="s">
        <v>380</v>
      </c>
      <c r="D290" s="254" t="s">
        <v>512</v>
      </c>
      <c r="E290" s="255">
        <v>79681.912200000021</v>
      </c>
      <c r="F290" s="255">
        <v>0</v>
      </c>
      <c r="G290" s="255">
        <v>78573718.087400004</v>
      </c>
      <c r="H290" s="403">
        <v>78589014.109099984</v>
      </c>
      <c r="I290" s="654">
        <v>64385.890500030517</v>
      </c>
      <c r="J290" s="654">
        <v>0</v>
      </c>
      <c r="K290" s="434">
        <f t="shared" si="4"/>
        <v>64385.890500030517</v>
      </c>
      <c r="L290" s="256">
        <v>2239</v>
      </c>
      <c r="N290" s="257"/>
      <c r="O290" s="9"/>
      <c r="P290" s="9"/>
    </row>
    <row r="291" spans="1:16">
      <c r="A291" s="260">
        <v>1001</v>
      </c>
      <c r="B291" s="252">
        <v>512033</v>
      </c>
      <c r="C291" s="253" t="s">
        <v>381</v>
      </c>
      <c r="D291" s="254" t="s">
        <v>513</v>
      </c>
      <c r="E291" s="255">
        <v>2374.4832000000006</v>
      </c>
      <c r="F291" s="255">
        <v>0</v>
      </c>
      <c r="G291" s="255">
        <v>1300027.4221999999</v>
      </c>
      <c r="H291" s="403">
        <v>1302401.9094999998</v>
      </c>
      <c r="I291" s="654">
        <v>0</v>
      </c>
      <c r="J291" s="654">
        <v>4.0999998152256014E-3</v>
      </c>
      <c r="K291" s="434">
        <f t="shared" si="4"/>
        <v>-4.0999998152256014E-3</v>
      </c>
      <c r="L291" s="256">
        <v>2239</v>
      </c>
      <c r="N291" s="257"/>
      <c r="O291" s="9"/>
      <c r="P291" s="9"/>
    </row>
    <row r="292" spans="1:16">
      <c r="A292" s="260">
        <v>1001</v>
      </c>
      <c r="B292" s="252">
        <v>512034</v>
      </c>
      <c r="C292" s="253" t="s">
        <v>382</v>
      </c>
      <c r="D292" s="254" t="s">
        <v>511</v>
      </c>
      <c r="E292" s="255">
        <v>135968.48000000001</v>
      </c>
      <c r="F292" s="255">
        <v>0</v>
      </c>
      <c r="G292" s="255">
        <v>10513.84</v>
      </c>
      <c r="H292" s="403">
        <v>146482.32</v>
      </c>
      <c r="I292" s="654">
        <v>0</v>
      </c>
      <c r="J292" s="654">
        <v>0</v>
      </c>
      <c r="K292" s="434">
        <f t="shared" si="4"/>
        <v>0</v>
      </c>
      <c r="L292" s="256">
        <v>2239</v>
      </c>
      <c r="N292" s="257"/>
      <c r="O292" s="9"/>
      <c r="P292" s="9"/>
    </row>
    <row r="293" spans="1:16">
      <c r="A293" s="260">
        <v>2002</v>
      </c>
      <c r="B293" s="252">
        <v>512040</v>
      </c>
      <c r="C293" s="253" t="s">
        <v>383</v>
      </c>
      <c r="D293" s="254" t="s">
        <v>511</v>
      </c>
      <c r="E293" s="255">
        <v>0</v>
      </c>
      <c r="F293" s="255">
        <v>13328808.310000001</v>
      </c>
      <c r="G293" s="255">
        <v>775828893.13999999</v>
      </c>
      <c r="H293" s="403">
        <v>773848324.38999999</v>
      </c>
      <c r="I293" s="654">
        <v>0</v>
      </c>
      <c r="J293" s="654">
        <v>11348239.560000001</v>
      </c>
      <c r="K293" s="434">
        <f t="shared" si="4"/>
        <v>-11348239.560000001</v>
      </c>
      <c r="L293" s="256">
        <v>1006</v>
      </c>
      <c r="N293" s="257"/>
      <c r="O293" s="9"/>
      <c r="P293" s="9"/>
    </row>
    <row r="294" spans="1:16">
      <c r="A294" s="260">
        <v>1001</v>
      </c>
      <c r="B294" s="252">
        <v>5120401</v>
      </c>
      <c r="C294" s="253" t="s">
        <v>383</v>
      </c>
      <c r="D294" s="254" t="s">
        <v>511</v>
      </c>
      <c r="E294" s="255">
        <v>0</v>
      </c>
      <c r="F294" s="255">
        <v>0</v>
      </c>
      <c r="G294" s="255">
        <v>28065494</v>
      </c>
      <c r="H294" s="403">
        <v>28065494</v>
      </c>
      <c r="I294" s="654">
        <v>0</v>
      </c>
      <c r="J294" s="654">
        <v>0</v>
      </c>
      <c r="K294" s="434">
        <f t="shared" si="4"/>
        <v>0</v>
      </c>
      <c r="L294" s="256">
        <v>2239</v>
      </c>
      <c r="N294" s="257"/>
      <c r="O294" s="9"/>
      <c r="P294" s="9"/>
    </row>
    <row r="295" spans="1:16">
      <c r="A295" s="260">
        <v>1001</v>
      </c>
      <c r="B295" s="252">
        <v>512041</v>
      </c>
      <c r="C295" s="253" t="s">
        <v>384</v>
      </c>
      <c r="D295" s="254" t="s">
        <v>513</v>
      </c>
      <c r="E295" s="255">
        <v>535084.62719999999</v>
      </c>
      <c r="F295" s="255">
        <v>0</v>
      </c>
      <c r="G295" s="255">
        <v>29253041.940400001</v>
      </c>
      <c r="H295" s="403">
        <v>29765638.735999998</v>
      </c>
      <c r="I295" s="654">
        <v>22487.831600003243</v>
      </c>
      <c r="J295" s="654">
        <v>0</v>
      </c>
      <c r="K295" s="434">
        <f t="shared" si="4"/>
        <v>22487.831600003243</v>
      </c>
      <c r="L295" s="256">
        <v>2239</v>
      </c>
      <c r="N295" s="257"/>
      <c r="O295" s="9"/>
      <c r="P295" s="9"/>
    </row>
    <row r="296" spans="1:16">
      <c r="A296" s="260">
        <v>2002</v>
      </c>
      <c r="B296" s="252">
        <v>512042</v>
      </c>
      <c r="C296" s="253" t="s">
        <v>385</v>
      </c>
      <c r="D296" s="254" t="s">
        <v>512</v>
      </c>
      <c r="E296" s="255">
        <v>0</v>
      </c>
      <c r="F296" s="255">
        <v>10718124.4038</v>
      </c>
      <c r="G296" s="255">
        <v>497578828.96149987</v>
      </c>
      <c r="H296" s="403">
        <v>498688075.92349976</v>
      </c>
      <c r="I296" s="654">
        <v>0</v>
      </c>
      <c r="J296" s="654">
        <v>11827371.365799867</v>
      </c>
      <c r="K296" s="434">
        <f t="shared" si="4"/>
        <v>-11827371.365799867</v>
      </c>
      <c r="L296" s="256">
        <v>1009</v>
      </c>
      <c r="N296" s="257"/>
      <c r="O296" s="9"/>
      <c r="P296" s="9"/>
    </row>
    <row r="297" spans="1:16">
      <c r="A297" s="260">
        <v>1001</v>
      </c>
      <c r="B297" s="252">
        <v>5120420</v>
      </c>
      <c r="C297" s="253" t="s">
        <v>1029</v>
      </c>
      <c r="D297" s="254" t="s">
        <v>512</v>
      </c>
      <c r="E297" s="255">
        <v>0</v>
      </c>
      <c r="F297" s="255">
        <v>0</v>
      </c>
      <c r="G297" s="255">
        <v>21065190.057999998</v>
      </c>
      <c r="H297" s="403">
        <v>21065064.429000001</v>
      </c>
      <c r="I297" s="654">
        <v>125.6289999961853</v>
      </c>
      <c r="J297" s="654">
        <v>0</v>
      </c>
      <c r="K297" s="434">
        <f t="shared" si="4"/>
        <v>125.6289999961853</v>
      </c>
      <c r="L297" s="256">
        <v>2239</v>
      </c>
      <c r="N297" s="257"/>
      <c r="O297" s="9"/>
      <c r="P297" s="9"/>
    </row>
    <row r="298" spans="1:16">
      <c r="A298" s="260">
        <v>2002</v>
      </c>
      <c r="B298" s="252">
        <v>512043</v>
      </c>
      <c r="C298" s="253" t="s">
        <v>543</v>
      </c>
      <c r="D298" s="254" t="s">
        <v>511</v>
      </c>
      <c r="E298" s="255">
        <v>0</v>
      </c>
      <c r="F298" s="255">
        <v>45337649.310000002</v>
      </c>
      <c r="G298" s="255">
        <v>38667533.68</v>
      </c>
      <c r="H298" s="403">
        <v>38668985.210000001</v>
      </c>
      <c r="I298" s="654">
        <v>0</v>
      </c>
      <c r="J298" s="654">
        <v>45339100.840000004</v>
      </c>
      <c r="K298" s="434">
        <f t="shared" si="4"/>
        <v>-45339100.840000004</v>
      </c>
      <c r="L298" s="256">
        <v>1010</v>
      </c>
      <c r="N298" s="257"/>
      <c r="O298" s="9"/>
      <c r="P298" s="9"/>
    </row>
    <row r="299" spans="1:16">
      <c r="A299" s="260">
        <v>2002</v>
      </c>
      <c r="B299" s="252">
        <v>512050</v>
      </c>
      <c r="C299" s="253" t="s">
        <v>386</v>
      </c>
      <c r="D299" s="254" t="s">
        <v>511</v>
      </c>
      <c r="E299" s="255">
        <v>0</v>
      </c>
      <c r="F299" s="255">
        <v>9772542.6600000001</v>
      </c>
      <c r="G299" s="255">
        <v>94792869.560000002</v>
      </c>
      <c r="H299" s="403">
        <v>94994538.189999998</v>
      </c>
      <c r="I299" s="654">
        <v>0</v>
      </c>
      <c r="J299" s="654">
        <v>9974211.2899999991</v>
      </c>
      <c r="K299" s="434">
        <f t="shared" si="4"/>
        <v>-9974211.2899999991</v>
      </c>
      <c r="L299" s="256">
        <v>1003</v>
      </c>
      <c r="N299" s="257"/>
      <c r="O299" s="9"/>
      <c r="P299" s="9"/>
    </row>
    <row r="300" spans="1:16">
      <c r="A300" s="260">
        <v>2002</v>
      </c>
      <c r="B300" s="252">
        <v>5120501</v>
      </c>
      <c r="C300" s="253" t="s">
        <v>1030</v>
      </c>
      <c r="D300" s="254" t="s">
        <v>511</v>
      </c>
      <c r="E300" s="255">
        <v>0</v>
      </c>
      <c r="F300" s="255">
        <v>0</v>
      </c>
      <c r="G300" s="255">
        <v>10000000</v>
      </c>
      <c r="H300" s="403">
        <v>10000000</v>
      </c>
      <c r="I300" s="654">
        <v>0</v>
      </c>
      <c r="J300" s="654">
        <v>0</v>
      </c>
      <c r="K300" s="434">
        <f t="shared" si="4"/>
        <v>0</v>
      </c>
      <c r="L300" s="256"/>
      <c r="N300" s="257"/>
      <c r="O300" s="9"/>
      <c r="P300" s="9"/>
    </row>
    <row r="301" spans="1:16">
      <c r="A301" s="260">
        <v>1001</v>
      </c>
      <c r="B301" s="252">
        <v>512051</v>
      </c>
      <c r="C301" s="253" t="s">
        <v>387</v>
      </c>
      <c r="D301" s="254" t="s">
        <v>513</v>
      </c>
      <c r="E301" s="255">
        <v>20336.8894</v>
      </c>
      <c r="F301" s="255">
        <v>0</v>
      </c>
      <c r="G301" s="255">
        <v>31658661.911199998</v>
      </c>
      <c r="H301" s="403">
        <v>31678944.361200005</v>
      </c>
      <c r="I301" s="654">
        <v>54.439400005340573</v>
      </c>
      <c r="J301" s="654">
        <v>0</v>
      </c>
      <c r="K301" s="434">
        <f t="shared" si="4"/>
        <v>54.439400005340573</v>
      </c>
      <c r="L301" s="256">
        <v>2239</v>
      </c>
      <c r="N301" s="257"/>
      <c r="O301" s="9"/>
      <c r="P301" s="9"/>
    </row>
    <row r="302" spans="1:16">
      <c r="A302" s="260">
        <v>1001</v>
      </c>
      <c r="B302" s="252">
        <v>512052</v>
      </c>
      <c r="C302" s="253" t="s">
        <v>388</v>
      </c>
      <c r="D302" s="254" t="s">
        <v>512</v>
      </c>
      <c r="E302" s="255">
        <v>42545.92319999999</v>
      </c>
      <c r="F302" s="255">
        <v>0</v>
      </c>
      <c r="G302" s="255">
        <v>76758885.047299996</v>
      </c>
      <c r="H302" s="403">
        <v>76790950.552499995</v>
      </c>
      <c r="I302" s="654">
        <v>10480.417999992371</v>
      </c>
      <c r="J302" s="654">
        <v>0</v>
      </c>
      <c r="K302" s="434">
        <f t="shared" si="4"/>
        <v>10480.417999992371</v>
      </c>
      <c r="L302" s="256">
        <v>2239</v>
      </c>
      <c r="N302" s="257"/>
      <c r="O302" s="9"/>
      <c r="P302" s="9"/>
    </row>
    <row r="303" spans="1:16">
      <c r="A303" s="260">
        <v>1001</v>
      </c>
      <c r="B303" s="252">
        <v>512053</v>
      </c>
      <c r="C303" s="253" t="s">
        <v>389</v>
      </c>
      <c r="D303" s="254" t="s">
        <v>511</v>
      </c>
      <c r="E303" s="255">
        <v>160484.54</v>
      </c>
      <c r="F303" s="255">
        <v>0</v>
      </c>
      <c r="G303" s="255">
        <v>964.01</v>
      </c>
      <c r="H303" s="403">
        <v>3000</v>
      </c>
      <c r="I303" s="654">
        <v>158448.54999999999</v>
      </c>
      <c r="J303" s="654">
        <v>0</v>
      </c>
      <c r="K303" s="434">
        <f t="shared" si="4"/>
        <v>158448.54999999999</v>
      </c>
      <c r="L303" s="256">
        <v>2239</v>
      </c>
      <c r="N303" s="257"/>
      <c r="O303" s="9"/>
      <c r="P303" s="9"/>
    </row>
    <row r="304" spans="1:16">
      <c r="A304" s="260">
        <v>1001</v>
      </c>
      <c r="B304" s="252">
        <v>512054</v>
      </c>
      <c r="C304" s="253" t="s">
        <v>1030</v>
      </c>
      <c r="D304" s="254"/>
      <c r="E304" s="255">
        <v>0</v>
      </c>
      <c r="F304" s="255">
        <v>0</v>
      </c>
      <c r="G304" s="255">
        <v>15584</v>
      </c>
      <c r="H304" s="403">
        <v>15584</v>
      </c>
      <c r="I304" s="654">
        <v>0</v>
      </c>
      <c r="J304" s="654">
        <v>0</v>
      </c>
      <c r="K304" s="434">
        <f t="shared" si="4"/>
        <v>0</v>
      </c>
      <c r="L304" s="256"/>
      <c r="N304" s="257"/>
      <c r="O304" s="9"/>
      <c r="P304" s="9"/>
    </row>
    <row r="305" spans="1:16">
      <c r="A305" s="260">
        <v>2002</v>
      </c>
      <c r="B305" s="252">
        <v>512055</v>
      </c>
      <c r="C305" s="253" t="s">
        <v>1031</v>
      </c>
      <c r="D305" s="254"/>
      <c r="E305" s="255">
        <v>0</v>
      </c>
      <c r="F305" s="255">
        <v>0</v>
      </c>
      <c r="G305" s="255">
        <v>163472.4</v>
      </c>
      <c r="H305" s="403">
        <v>169770.6991</v>
      </c>
      <c r="I305" s="654">
        <v>0</v>
      </c>
      <c r="J305" s="654">
        <v>6298.2990999999638</v>
      </c>
      <c r="K305" s="434">
        <f t="shared" si="4"/>
        <v>-6298.2990999999638</v>
      </c>
      <c r="L305" s="256">
        <v>1112</v>
      </c>
      <c r="N305" s="257"/>
      <c r="O305" s="9"/>
      <c r="P305" s="9"/>
    </row>
    <row r="306" spans="1:16">
      <c r="A306" s="260">
        <v>1001</v>
      </c>
      <c r="B306" s="252">
        <v>512056</v>
      </c>
      <c r="C306" s="253" t="s">
        <v>1032</v>
      </c>
      <c r="D306" s="254"/>
      <c r="E306" s="255">
        <v>0</v>
      </c>
      <c r="F306" s="255">
        <v>0</v>
      </c>
      <c r="G306" s="255">
        <v>1514629.05</v>
      </c>
      <c r="H306" s="403">
        <v>1511249.33</v>
      </c>
      <c r="I306" s="654">
        <v>3379.72</v>
      </c>
      <c r="J306" s="654">
        <v>0</v>
      </c>
      <c r="K306" s="434">
        <f t="shared" si="4"/>
        <v>3379.72</v>
      </c>
      <c r="L306" s="256">
        <v>2239</v>
      </c>
      <c r="N306" s="257"/>
      <c r="O306" s="9"/>
      <c r="P306" s="9"/>
    </row>
    <row r="307" spans="1:16">
      <c r="A307" s="260">
        <v>2002</v>
      </c>
      <c r="B307" s="252">
        <v>512060</v>
      </c>
      <c r="C307" s="253" t="s">
        <v>390</v>
      </c>
      <c r="D307" s="254" t="s">
        <v>511</v>
      </c>
      <c r="E307" s="255">
        <v>0</v>
      </c>
      <c r="F307" s="255">
        <v>35371408.460000001</v>
      </c>
      <c r="G307" s="255">
        <v>451941498</v>
      </c>
      <c r="H307" s="403">
        <v>448710044.63999999</v>
      </c>
      <c r="I307" s="654">
        <v>0</v>
      </c>
      <c r="J307" s="654">
        <v>32139955.100000001</v>
      </c>
      <c r="K307" s="434">
        <f t="shared" si="4"/>
        <v>-32139955.100000001</v>
      </c>
      <c r="L307" s="256">
        <v>1008</v>
      </c>
      <c r="N307" s="257"/>
      <c r="O307" s="9"/>
      <c r="P307" s="9"/>
    </row>
    <row r="308" spans="1:16">
      <c r="A308" s="260">
        <v>1001</v>
      </c>
      <c r="B308" s="252">
        <v>5120601</v>
      </c>
      <c r="C308" s="253" t="s">
        <v>1033</v>
      </c>
      <c r="D308" s="254"/>
      <c r="E308" s="255">
        <v>0</v>
      </c>
      <c r="F308" s="255">
        <v>0</v>
      </c>
      <c r="G308" s="255">
        <v>1237002.83</v>
      </c>
      <c r="H308" s="403">
        <v>1138491.54</v>
      </c>
      <c r="I308" s="654">
        <v>98511.29</v>
      </c>
      <c r="J308" s="654">
        <v>0</v>
      </c>
      <c r="K308" s="434">
        <f t="shared" si="4"/>
        <v>98511.29</v>
      </c>
      <c r="L308" s="256">
        <v>2239</v>
      </c>
      <c r="N308" s="257"/>
      <c r="O308" s="9"/>
      <c r="P308" s="9"/>
    </row>
    <row r="309" spans="1:16">
      <c r="A309" s="260">
        <v>1001</v>
      </c>
      <c r="B309" s="252">
        <v>512061</v>
      </c>
      <c r="C309" s="253" t="s">
        <v>391</v>
      </c>
      <c r="D309" s="254" t="s">
        <v>513</v>
      </c>
      <c r="E309" s="255">
        <v>13516.702599999997</v>
      </c>
      <c r="F309" s="255">
        <v>0</v>
      </c>
      <c r="G309" s="255">
        <v>8.5785</v>
      </c>
      <c r="H309" s="403">
        <v>8627.6049999999996</v>
      </c>
      <c r="I309" s="654">
        <v>4897.6761000000006</v>
      </c>
      <c r="J309" s="654">
        <v>0</v>
      </c>
      <c r="K309" s="434">
        <f t="shared" si="4"/>
        <v>4897.6761000000006</v>
      </c>
      <c r="L309" s="256">
        <v>2239</v>
      </c>
      <c r="N309" s="257"/>
      <c r="O309" s="9"/>
      <c r="P309" s="9"/>
    </row>
    <row r="310" spans="1:16">
      <c r="A310" s="260">
        <v>1001</v>
      </c>
      <c r="B310" s="252">
        <v>512062</v>
      </c>
      <c r="C310" s="253" t="s">
        <v>392</v>
      </c>
      <c r="D310" s="254" t="s">
        <v>512</v>
      </c>
      <c r="E310" s="255">
        <v>170676.89430000004</v>
      </c>
      <c r="F310" s="255">
        <v>0</v>
      </c>
      <c r="G310" s="255">
        <v>115803721.10330002</v>
      </c>
      <c r="H310" s="403">
        <v>115793045.46190001</v>
      </c>
      <c r="I310" s="654">
        <v>181352.53570001601</v>
      </c>
      <c r="J310" s="654">
        <v>0</v>
      </c>
      <c r="K310" s="434">
        <f t="shared" si="4"/>
        <v>181352.53570001601</v>
      </c>
      <c r="L310" s="256">
        <v>2239</v>
      </c>
      <c r="N310" s="257"/>
      <c r="O310" s="9"/>
      <c r="P310" s="9"/>
    </row>
    <row r="311" spans="1:16">
      <c r="A311" s="260">
        <v>2002</v>
      </c>
      <c r="B311" s="252">
        <v>512063</v>
      </c>
      <c r="C311" s="253" t="s">
        <v>544</v>
      </c>
      <c r="D311" s="254" t="s">
        <v>511</v>
      </c>
      <c r="E311" s="255">
        <v>0</v>
      </c>
      <c r="F311" s="255">
        <v>39977621.049999997</v>
      </c>
      <c r="G311" s="255">
        <v>14700000</v>
      </c>
      <c r="H311" s="403">
        <v>14666225.880000001</v>
      </c>
      <c r="I311" s="654">
        <v>0</v>
      </c>
      <c r="J311" s="654">
        <v>39943846.93</v>
      </c>
      <c r="K311" s="434">
        <f t="shared" si="4"/>
        <v>-39943846.93</v>
      </c>
      <c r="L311" s="256">
        <v>1004</v>
      </c>
      <c r="N311" s="257"/>
      <c r="O311" s="9"/>
      <c r="P311" s="9"/>
    </row>
    <row r="312" spans="1:16">
      <c r="A312" s="260">
        <v>1001</v>
      </c>
      <c r="B312" s="252">
        <v>512070</v>
      </c>
      <c r="C312" s="253" t="s">
        <v>393</v>
      </c>
      <c r="D312" s="254" t="s">
        <v>511</v>
      </c>
      <c r="E312" s="255">
        <v>48072.56</v>
      </c>
      <c r="F312" s="255">
        <v>0</v>
      </c>
      <c r="G312" s="255">
        <v>0</v>
      </c>
      <c r="H312" s="403">
        <v>3667.83</v>
      </c>
      <c r="I312" s="654">
        <v>44404.73</v>
      </c>
      <c r="J312" s="654">
        <v>0</v>
      </c>
      <c r="K312" s="434">
        <f t="shared" si="4"/>
        <v>44404.73</v>
      </c>
      <c r="L312" s="256">
        <v>2239</v>
      </c>
      <c r="N312" s="257"/>
      <c r="O312" s="9"/>
      <c r="P312" s="9"/>
    </row>
    <row r="313" spans="1:16">
      <c r="A313" s="260">
        <v>1001</v>
      </c>
      <c r="B313" s="252">
        <v>512071</v>
      </c>
      <c r="C313" s="253" t="s">
        <v>394</v>
      </c>
      <c r="D313" s="254" t="s">
        <v>513</v>
      </c>
      <c r="E313" s="255">
        <v>103.23840000000001</v>
      </c>
      <c r="F313" s="255">
        <v>0</v>
      </c>
      <c r="G313" s="255">
        <v>0</v>
      </c>
      <c r="H313" s="403">
        <v>1.62</v>
      </c>
      <c r="I313" s="654">
        <v>101.61840000000002</v>
      </c>
      <c r="J313" s="654">
        <v>0</v>
      </c>
      <c r="K313" s="434">
        <f t="shared" si="4"/>
        <v>101.61840000000002</v>
      </c>
      <c r="L313" s="256">
        <v>2239</v>
      </c>
      <c r="N313" s="257"/>
      <c r="O313" s="9"/>
      <c r="P313" s="9"/>
    </row>
    <row r="314" spans="1:16">
      <c r="A314" s="260">
        <v>1001</v>
      </c>
      <c r="B314" s="252">
        <v>512072</v>
      </c>
      <c r="C314" s="253" t="s">
        <v>395</v>
      </c>
      <c r="D314" s="254" t="s">
        <v>512</v>
      </c>
      <c r="E314" s="255">
        <v>16075.5903</v>
      </c>
      <c r="F314" s="255">
        <v>0</v>
      </c>
      <c r="G314" s="255">
        <v>88.07</v>
      </c>
      <c r="H314" s="403">
        <v>4199.3999999999996</v>
      </c>
      <c r="I314" s="654">
        <v>11964.2603</v>
      </c>
      <c r="J314" s="654">
        <v>0</v>
      </c>
      <c r="K314" s="434">
        <f t="shared" si="4"/>
        <v>11964.2603</v>
      </c>
      <c r="L314" s="256">
        <v>2239</v>
      </c>
      <c r="N314" s="257"/>
      <c r="O314" s="9"/>
      <c r="P314" s="9"/>
    </row>
    <row r="315" spans="1:16">
      <c r="A315" s="260">
        <v>1001</v>
      </c>
      <c r="B315" s="252">
        <v>512080</v>
      </c>
      <c r="C315" s="253" t="s">
        <v>396</v>
      </c>
      <c r="D315" s="254" t="s">
        <v>511</v>
      </c>
      <c r="E315" s="255">
        <v>79959.3</v>
      </c>
      <c r="F315" s="255">
        <v>0</v>
      </c>
      <c r="G315" s="255">
        <v>104222843</v>
      </c>
      <c r="H315" s="403">
        <v>104251820</v>
      </c>
      <c r="I315" s="654">
        <v>50982.3</v>
      </c>
      <c r="J315" s="654">
        <v>0</v>
      </c>
      <c r="K315" s="434">
        <f t="shared" si="4"/>
        <v>50982.3</v>
      </c>
      <c r="L315" s="256">
        <v>2239</v>
      </c>
      <c r="N315" s="257"/>
      <c r="O315" s="9"/>
      <c r="P315" s="9"/>
    </row>
    <row r="316" spans="1:16">
      <c r="A316" s="260">
        <v>1001</v>
      </c>
      <c r="B316" s="252">
        <v>512081</v>
      </c>
      <c r="C316" s="253" t="s">
        <v>397</v>
      </c>
      <c r="D316" s="254" t="s">
        <v>512</v>
      </c>
      <c r="E316" s="255">
        <v>70869.582299999995</v>
      </c>
      <c r="F316" s="255">
        <v>0</v>
      </c>
      <c r="G316" s="255">
        <v>96415227.012200013</v>
      </c>
      <c r="H316" s="403">
        <v>94300841.66230002</v>
      </c>
      <c r="I316" s="654">
        <v>2185254.9322000123</v>
      </c>
      <c r="J316" s="654">
        <v>0</v>
      </c>
      <c r="K316" s="434">
        <f t="shared" si="4"/>
        <v>2185254.9322000123</v>
      </c>
      <c r="L316" s="256">
        <v>2239</v>
      </c>
      <c r="N316" s="257"/>
      <c r="O316" s="9"/>
      <c r="P316" s="9"/>
    </row>
    <row r="317" spans="1:16">
      <c r="A317" s="260">
        <v>1001</v>
      </c>
      <c r="B317" s="252">
        <v>512082</v>
      </c>
      <c r="C317" s="253" t="s">
        <v>398</v>
      </c>
      <c r="D317" s="254" t="s">
        <v>513</v>
      </c>
      <c r="E317" s="255">
        <v>0</v>
      </c>
      <c r="F317" s="255">
        <v>0</v>
      </c>
      <c r="G317" s="255">
        <v>0</v>
      </c>
      <c r="H317" s="403">
        <v>0</v>
      </c>
      <c r="I317" s="654">
        <v>0</v>
      </c>
      <c r="J317" s="654">
        <v>0</v>
      </c>
      <c r="K317" s="434">
        <f t="shared" si="4"/>
        <v>0</v>
      </c>
      <c r="L317" s="256">
        <v>2239</v>
      </c>
      <c r="N317" s="257"/>
      <c r="O317" s="9"/>
      <c r="P317" s="9"/>
    </row>
    <row r="318" spans="1:16">
      <c r="A318" s="260">
        <v>1001</v>
      </c>
      <c r="B318" s="252">
        <v>512100</v>
      </c>
      <c r="C318" s="253" t="s">
        <v>399</v>
      </c>
      <c r="D318" s="254" t="s">
        <v>513</v>
      </c>
      <c r="E318" s="255">
        <v>0</v>
      </c>
      <c r="F318" s="255">
        <v>0</v>
      </c>
      <c r="G318" s="255">
        <v>0</v>
      </c>
      <c r="H318" s="403">
        <v>0</v>
      </c>
      <c r="I318" s="654">
        <v>0</v>
      </c>
      <c r="J318" s="654">
        <v>0</v>
      </c>
      <c r="K318" s="434">
        <f t="shared" si="4"/>
        <v>0</v>
      </c>
      <c r="L318" s="256">
        <v>2239</v>
      </c>
      <c r="N318" s="257"/>
      <c r="O318" s="9"/>
      <c r="P318" s="9"/>
    </row>
    <row r="319" spans="1:16">
      <c r="A319" s="260">
        <v>1001</v>
      </c>
      <c r="B319" s="252">
        <v>512101</v>
      </c>
      <c r="C319" s="253" t="s">
        <v>400</v>
      </c>
      <c r="D319" s="254" t="s">
        <v>512</v>
      </c>
      <c r="E319" s="255">
        <v>0</v>
      </c>
      <c r="F319" s="255">
        <v>0</v>
      </c>
      <c r="G319" s="255">
        <v>0</v>
      </c>
      <c r="H319" s="403">
        <v>0</v>
      </c>
      <c r="I319" s="654">
        <v>0</v>
      </c>
      <c r="J319" s="654">
        <v>0</v>
      </c>
      <c r="K319" s="434">
        <f t="shared" si="4"/>
        <v>0</v>
      </c>
      <c r="L319" s="256">
        <v>2239</v>
      </c>
      <c r="N319" s="257"/>
      <c r="O319" s="9"/>
      <c r="P319" s="9"/>
    </row>
    <row r="320" spans="1:16">
      <c r="A320" s="260">
        <v>1001</v>
      </c>
      <c r="B320" s="252">
        <v>512200</v>
      </c>
      <c r="C320" s="253" t="s">
        <v>401</v>
      </c>
      <c r="D320" s="254" t="s">
        <v>511</v>
      </c>
      <c r="E320" s="255">
        <v>50710.080000000002</v>
      </c>
      <c r="F320" s="255">
        <v>0</v>
      </c>
      <c r="G320" s="255">
        <v>3700588</v>
      </c>
      <c r="H320" s="403">
        <v>3743843.44</v>
      </c>
      <c r="I320" s="654">
        <v>7454.64</v>
      </c>
      <c r="J320" s="654">
        <v>0</v>
      </c>
      <c r="K320" s="434">
        <f t="shared" si="4"/>
        <v>7454.64</v>
      </c>
      <c r="L320" s="256">
        <v>2239</v>
      </c>
      <c r="N320" s="257"/>
      <c r="O320" s="9"/>
      <c r="P320" s="9"/>
    </row>
    <row r="321" spans="1:16">
      <c r="A321" s="260">
        <v>1001</v>
      </c>
      <c r="B321" s="252">
        <v>5122001</v>
      </c>
      <c r="C321" s="253" t="s">
        <v>402</v>
      </c>
      <c r="D321" s="254" t="s">
        <v>512</v>
      </c>
      <c r="E321" s="255">
        <v>15725.486699999999</v>
      </c>
      <c r="F321" s="255">
        <v>0</v>
      </c>
      <c r="G321" s="255">
        <v>4770543</v>
      </c>
      <c r="H321" s="403">
        <v>4770912.1956000002</v>
      </c>
      <c r="I321" s="654">
        <v>15356.291099998951</v>
      </c>
      <c r="J321" s="654">
        <v>0</v>
      </c>
      <c r="K321" s="434">
        <f t="shared" si="4"/>
        <v>15356.291099998951</v>
      </c>
      <c r="L321" s="256">
        <v>2239</v>
      </c>
      <c r="N321" s="257"/>
      <c r="O321" s="9"/>
      <c r="P321" s="9"/>
    </row>
    <row r="322" spans="1:16">
      <c r="A322" s="260">
        <v>1001</v>
      </c>
      <c r="B322" s="252">
        <v>512300</v>
      </c>
      <c r="C322" s="253" t="s">
        <v>403</v>
      </c>
      <c r="D322" s="254" t="s">
        <v>511</v>
      </c>
      <c r="E322" s="255">
        <v>13343.3</v>
      </c>
      <c r="F322" s="255">
        <v>0</v>
      </c>
      <c r="G322" s="255">
        <v>127505637</v>
      </c>
      <c r="H322" s="403">
        <v>127496168.09999999</v>
      </c>
      <c r="I322" s="654">
        <v>22812.2</v>
      </c>
      <c r="J322" s="654">
        <v>0</v>
      </c>
      <c r="K322" s="434">
        <f t="shared" si="4"/>
        <v>22812.2</v>
      </c>
      <c r="L322" s="256">
        <v>2239</v>
      </c>
      <c r="N322" s="257"/>
      <c r="O322" s="9"/>
      <c r="P322" s="9"/>
    </row>
    <row r="323" spans="1:16">
      <c r="A323" s="260">
        <v>1001</v>
      </c>
      <c r="B323" s="252">
        <v>512301</v>
      </c>
      <c r="C323" s="253" t="s">
        <v>404</v>
      </c>
      <c r="D323" s="254" t="s">
        <v>512</v>
      </c>
      <c r="E323" s="255">
        <v>38205.75</v>
      </c>
      <c r="F323" s="255">
        <v>0</v>
      </c>
      <c r="G323" s="255">
        <v>45896060.759999998</v>
      </c>
      <c r="H323" s="403">
        <v>45774029.7597</v>
      </c>
      <c r="I323" s="654">
        <v>160236.75029999734</v>
      </c>
      <c r="J323" s="654">
        <v>0</v>
      </c>
      <c r="K323" s="434">
        <f t="shared" si="4"/>
        <v>160236.75029999734</v>
      </c>
      <c r="L323" s="256">
        <v>2239</v>
      </c>
      <c r="N323" s="257"/>
      <c r="O323" s="9"/>
      <c r="P323" s="9"/>
    </row>
    <row r="324" spans="1:16">
      <c r="A324" s="260">
        <v>1001</v>
      </c>
      <c r="B324" s="252">
        <v>51901</v>
      </c>
      <c r="C324" s="253" t="s">
        <v>405</v>
      </c>
      <c r="D324" s="254" t="s">
        <v>511</v>
      </c>
      <c r="E324" s="255">
        <v>0</v>
      </c>
      <c r="F324" s="255">
        <v>0</v>
      </c>
      <c r="G324" s="255">
        <v>0</v>
      </c>
      <c r="H324" s="403">
        <v>0</v>
      </c>
      <c r="I324" s="654">
        <v>0</v>
      </c>
      <c r="J324" s="654">
        <v>0</v>
      </c>
      <c r="K324" s="434">
        <f t="shared" si="4"/>
        <v>0</v>
      </c>
      <c r="L324" s="256">
        <v>2239</v>
      </c>
      <c r="N324" s="257"/>
      <c r="O324" s="9"/>
      <c r="P324" s="9"/>
    </row>
    <row r="325" spans="1:16">
      <c r="A325" s="260">
        <v>1001</v>
      </c>
      <c r="B325" s="252">
        <v>5311</v>
      </c>
      <c r="C325" s="253" t="s">
        <v>406</v>
      </c>
      <c r="D325" s="254" t="s">
        <v>511</v>
      </c>
      <c r="E325" s="255">
        <v>406905.93</v>
      </c>
      <c r="F325" s="255">
        <v>0</v>
      </c>
      <c r="G325" s="255">
        <v>533662729</v>
      </c>
      <c r="H325" s="403">
        <v>533051036.29000002</v>
      </c>
      <c r="I325" s="654">
        <v>1018598.64</v>
      </c>
      <c r="J325" s="654">
        <v>0</v>
      </c>
      <c r="K325" s="434">
        <f t="shared" si="4"/>
        <v>1018598.64</v>
      </c>
      <c r="L325" s="256">
        <v>2240</v>
      </c>
      <c r="N325" s="257"/>
      <c r="O325" s="9"/>
      <c r="P325" s="9"/>
    </row>
    <row r="326" spans="1:16">
      <c r="A326" s="260">
        <v>1001</v>
      </c>
      <c r="B326" s="252">
        <v>53117</v>
      </c>
      <c r="C326" s="253" t="s">
        <v>545</v>
      </c>
      <c r="D326" s="254" t="s">
        <v>514</v>
      </c>
      <c r="E326" s="255">
        <v>0</v>
      </c>
      <c r="F326" s="255">
        <v>0</v>
      </c>
      <c r="G326" s="255">
        <v>0</v>
      </c>
      <c r="H326" s="403">
        <v>0</v>
      </c>
      <c r="I326" s="654">
        <v>0</v>
      </c>
      <c r="J326" s="654">
        <v>0</v>
      </c>
      <c r="K326" s="434">
        <f t="shared" si="4"/>
        <v>0</v>
      </c>
      <c r="L326" s="256">
        <v>2240</v>
      </c>
      <c r="N326" s="257"/>
      <c r="O326" s="9"/>
      <c r="P326" s="9"/>
    </row>
    <row r="327" spans="1:16">
      <c r="A327" s="260">
        <v>1001</v>
      </c>
      <c r="B327" s="252">
        <v>5312</v>
      </c>
      <c r="C327" s="253" t="s">
        <v>407</v>
      </c>
      <c r="D327" s="254" t="s">
        <v>513</v>
      </c>
      <c r="E327" s="255">
        <v>338.75099999999998</v>
      </c>
      <c r="F327" s="255">
        <v>0</v>
      </c>
      <c r="G327" s="255">
        <v>40086496.266900003</v>
      </c>
      <c r="H327" s="403">
        <v>40086501.590000004</v>
      </c>
      <c r="I327" s="654">
        <v>333.42790000438691</v>
      </c>
      <c r="J327" s="654">
        <v>0</v>
      </c>
      <c r="K327" s="434">
        <f t="shared" ref="K327:K386" si="5">I327-J327</f>
        <v>333.42790000438691</v>
      </c>
      <c r="L327" s="256">
        <v>2240</v>
      </c>
      <c r="N327" s="257"/>
      <c r="O327" s="9"/>
      <c r="P327" s="9"/>
    </row>
    <row r="328" spans="1:16">
      <c r="A328" s="260">
        <v>1001</v>
      </c>
      <c r="B328" s="252">
        <v>5313</v>
      </c>
      <c r="C328" s="253" t="s">
        <v>408</v>
      </c>
      <c r="D328" s="254" t="s">
        <v>512</v>
      </c>
      <c r="E328" s="255">
        <v>513571.41659999994</v>
      </c>
      <c r="F328" s="255">
        <v>0</v>
      </c>
      <c r="G328" s="255">
        <v>336264578.41910005</v>
      </c>
      <c r="H328" s="403">
        <v>334893906.66339999</v>
      </c>
      <c r="I328" s="654">
        <v>1884243.1723000717</v>
      </c>
      <c r="J328" s="654">
        <v>0</v>
      </c>
      <c r="K328" s="434">
        <f t="shared" si="5"/>
        <v>1884243.1723000717</v>
      </c>
      <c r="L328" s="256">
        <v>2240</v>
      </c>
      <c r="N328" s="257"/>
      <c r="O328" s="9"/>
      <c r="P328" s="9"/>
    </row>
    <row r="329" spans="1:16">
      <c r="A329" s="260">
        <v>1001</v>
      </c>
      <c r="B329" s="252">
        <v>5315</v>
      </c>
      <c r="C329" s="253" t="s">
        <v>546</v>
      </c>
      <c r="D329" s="254" t="s">
        <v>511</v>
      </c>
      <c r="E329" s="255">
        <v>0</v>
      </c>
      <c r="F329" s="255">
        <v>0</v>
      </c>
      <c r="G329" s="255">
        <v>0</v>
      </c>
      <c r="H329" s="403">
        <v>0</v>
      </c>
      <c r="I329" s="654">
        <v>0</v>
      </c>
      <c r="J329" s="654">
        <v>0</v>
      </c>
      <c r="K329" s="434">
        <f t="shared" si="5"/>
        <v>0</v>
      </c>
      <c r="L329" s="256">
        <v>2240</v>
      </c>
      <c r="N329" s="257"/>
      <c r="O329" s="9"/>
      <c r="P329" s="9"/>
    </row>
    <row r="330" spans="1:16">
      <c r="A330" s="260">
        <v>1001</v>
      </c>
      <c r="B330" s="252">
        <v>5316</v>
      </c>
      <c r="C330" s="253" t="s">
        <v>547</v>
      </c>
      <c r="D330" s="254" t="s">
        <v>512</v>
      </c>
      <c r="E330" s="255">
        <v>0</v>
      </c>
      <c r="F330" s="255">
        <v>0</v>
      </c>
      <c r="G330" s="255">
        <v>0</v>
      </c>
      <c r="H330" s="403">
        <v>0</v>
      </c>
      <c r="I330" s="654">
        <v>0</v>
      </c>
      <c r="J330" s="654">
        <v>0</v>
      </c>
      <c r="K330" s="434">
        <f t="shared" si="5"/>
        <v>0</v>
      </c>
      <c r="L330" s="256">
        <v>2240</v>
      </c>
      <c r="N330" s="257"/>
      <c r="O330" s="9"/>
      <c r="P330" s="9"/>
    </row>
    <row r="331" spans="1:16">
      <c r="A331" s="260">
        <v>1001</v>
      </c>
      <c r="B331" s="252">
        <v>5317</v>
      </c>
      <c r="C331" s="253" t="s">
        <v>409</v>
      </c>
      <c r="D331" s="254" t="s">
        <v>515</v>
      </c>
      <c r="E331" s="255">
        <v>0</v>
      </c>
      <c r="F331" s="255">
        <v>0</v>
      </c>
      <c r="G331" s="255">
        <v>416796</v>
      </c>
      <c r="H331" s="403">
        <v>150801</v>
      </c>
      <c r="I331" s="654">
        <v>265995</v>
      </c>
      <c r="J331" s="654">
        <v>0</v>
      </c>
      <c r="K331" s="434">
        <f t="shared" si="5"/>
        <v>265995</v>
      </c>
      <c r="L331" s="256">
        <v>2240</v>
      </c>
      <c r="N331" s="257"/>
      <c r="O331" s="9"/>
      <c r="P331" s="9"/>
    </row>
    <row r="332" spans="1:16">
      <c r="A332" s="260">
        <v>1001</v>
      </c>
      <c r="B332" s="252">
        <v>581</v>
      </c>
      <c r="C332" s="253" t="s">
        <v>410</v>
      </c>
      <c r="D332" s="254" t="s">
        <v>511</v>
      </c>
      <c r="E332" s="255">
        <v>0</v>
      </c>
      <c r="F332" s="255">
        <v>0</v>
      </c>
      <c r="G332" s="255">
        <v>0</v>
      </c>
      <c r="H332" s="403">
        <v>0</v>
      </c>
      <c r="I332" s="654">
        <v>0</v>
      </c>
      <c r="J332" s="654">
        <v>0</v>
      </c>
      <c r="K332" s="434">
        <f t="shared" si="5"/>
        <v>0</v>
      </c>
      <c r="L332" s="256">
        <v>2240</v>
      </c>
      <c r="N332" s="257"/>
      <c r="O332" s="9"/>
      <c r="P332" s="9"/>
    </row>
    <row r="333" spans="1:16">
      <c r="A333" s="260">
        <v>1001</v>
      </c>
      <c r="B333" s="252">
        <v>5810</v>
      </c>
      <c r="C333" s="253" t="s">
        <v>411</v>
      </c>
      <c r="D333" s="254" t="s">
        <v>511</v>
      </c>
      <c r="E333" s="255">
        <v>0.15</v>
      </c>
      <c r="F333" s="255">
        <v>0</v>
      </c>
      <c r="G333" s="255">
        <v>2368046355.5915999</v>
      </c>
      <c r="H333" s="403">
        <v>2368046355.7431998</v>
      </c>
      <c r="I333" s="654">
        <v>0</v>
      </c>
      <c r="J333" s="654">
        <v>1.5994262695312499E-3</v>
      </c>
      <c r="K333" s="434">
        <f t="shared" si="5"/>
        <v>-1.5994262695312499E-3</v>
      </c>
      <c r="L333" s="256">
        <v>2240</v>
      </c>
      <c r="N333" s="257"/>
      <c r="O333" s="9"/>
      <c r="P333" s="9"/>
    </row>
    <row r="334" spans="1:16">
      <c r="A334" s="260">
        <v>3001</v>
      </c>
      <c r="B334" s="252">
        <v>601</v>
      </c>
      <c r="C334" s="253" t="s">
        <v>548</v>
      </c>
      <c r="D334" s="254" t="s">
        <v>511</v>
      </c>
      <c r="E334" s="255">
        <v>0</v>
      </c>
      <c r="F334" s="255">
        <v>0</v>
      </c>
      <c r="G334" s="255">
        <v>0</v>
      </c>
      <c r="H334" s="403">
        <v>0</v>
      </c>
      <c r="I334" s="654">
        <v>0</v>
      </c>
      <c r="J334" s="654">
        <v>0</v>
      </c>
      <c r="K334" s="434">
        <f t="shared" si="5"/>
        <v>0</v>
      </c>
      <c r="L334" s="256">
        <v>4000</v>
      </c>
      <c r="N334" s="257"/>
      <c r="O334" s="9"/>
      <c r="P334" s="9"/>
    </row>
    <row r="335" spans="1:16">
      <c r="A335" s="260">
        <v>3001</v>
      </c>
      <c r="B335" s="252">
        <v>604</v>
      </c>
      <c r="C335" s="253" t="s">
        <v>412</v>
      </c>
      <c r="D335" s="254" t="s">
        <v>511</v>
      </c>
      <c r="E335" s="255">
        <v>0</v>
      </c>
      <c r="F335" s="255">
        <v>0</v>
      </c>
      <c r="G335" s="255">
        <v>0</v>
      </c>
      <c r="H335" s="403">
        <v>0</v>
      </c>
      <c r="I335" s="654">
        <v>0</v>
      </c>
      <c r="J335" s="654">
        <v>0</v>
      </c>
      <c r="K335" s="434">
        <f t="shared" si="5"/>
        <v>0</v>
      </c>
      <c r="L335" s="256">
        <v>4001</v>
      </c>
      <c r="N335" s="257"/>
      <c r="O335" s="9"/>
      <c r="P335" s="9"/>
    </row>
    <row r="336" spans="1:16">
      <c r="A336" s="260">
        <v>3001</v>
      </c>
      <c r="B336" s="252">
        <v>6040</v>
      </c>
      <c r="C336" s="253" t="s">
        <v>413</v>
      </c>
      <c r="D336" s="254" t="s">
        <v>511</v>
      </c>
      <c r="E336" s="255">
        <v>0</v>
      </c>
      <c r="F336" s="255">
        <v>0</v>
      </c>
      <c r="G336" s="255">
        <v>14835433.32</v>
      </c>
      <c r="H336" s="403">
        <v>0</v>
      </c>
      <c r="I336" s="654">
        <v>14835433.32</v>
      </c>
      <c r="J336" s="654">
        <v>0</v>
      </c>
      <c r="K336" s="434">
        <f t="shared" si="5"/>
        <v>14835433.32</v>
      </c>
      <c r="L336" s="256">
        <v>4002</v>
      </c>
      <c r="N336" s="257"/>
      <c r="O336" s="9"/>
      <c r="P336" s="9"/>
    </row>
    <row r="337" spans="1:16">
      <c r="A337" s="260">
        <v>3001</v>
      </c>
      <c r="B337" s="252">
        <v>6041</v>
      </c>
      <c r="C337" s="253" t="s">
        <v>549</v>
      </c>
      <c r="D337" s="254" t="s">
        <v>511</v>
      </c>
      <c r="E337" s="255">
        <v>0</v>
      </c>
      <c r="F337" s="255">
        <v>0</v>
      </c>
      <c r="G337" s="255">
        <v>14764663.85</v>
      </c>
      <c r="H337" s="403">
        <v>788094</v>
      </c>
      <c r="I337" s="654">
        <v>13976569.85</v>
      </c>
      <c r="J337" s="654">
        <v>0</v>
      </c>
      <c r="K337" s="434">
        <f t="shared" si="5"/>
        <v>13976569.85</v>
      </c>
      <c r="L337" s="256">
        <v>4001</v>
      </c>
      <c r="N337" s="257"/>
      <c r="O337" s="9"/>
      <c r="P337" s="9"/>
    </row>
    <row r="338" spans="1:16">
      <c r="A338" s="260">
        <v>3001</v>
      </c>
      <c r="B338" s="252">
        <v>605</v>
      </c>
      <c r="C338" s="253" t="s">
        <v>414</v>
      </c>
      <c r="D338" s="254" t="s">
        <v>511</v>
      </c>
      <c r="E338" s="255">
        <v>0</v>
      </c>
      <c r="F338" s="255">
        <v>0</v>
      </c>
      <c r="G338" s="255">
        <v>0</v>
      </c>
      <c r="H338" s="403">
        <v>0</v>
      </c>
      <c r="I338" s="654">
        <v>0</v>
      </c>
      <c r="J338" s="654">
        <v>0</v>
      </c>
      <c r="K338" s="434">
        <f t="shared" si="5"/>
        <v>0</v>
      </c>
      <c r="L338" s="256">
        <v>4003</v>
      </c>
      <c r="N338" s="257"/>
      <c r="O338" s="9"/>
      <c r="P338" s="9"/>
    </row>
    <row r="339" spans="1:16">
      <c r="A339" s="260">
        <v>3001</v>
      </c>
      <c r="B339" s="252">
        <v>6060</v>
      </c>
      <c r="C339" s="253" t="s">
        <v>415</v>
      </c>
      <c r="D339" s="254" t="s">
        <v>511</v>
      </c>
      <c r="E339" s="255">
        <v>0</v>
      </c>
      <c r="F339" s="255">
        <v>0</v>
      </c>
      <c r="G339" s="255">
        <v>4404533.4715</v>
      </c>
      <c r="H339" s="403">
        <v>0</v>
      </c>
      <c r="I339" s="654">
        <v>4404533.4715</v>
      </c>
      <c r="J339" s="654">
        <v>0</v>
      </c>
      <c r="K339" s="434">
        <f t="shared" si="5"/>
        <v>4404533.4715</v>
      </c>
      <c r="L339" s="256">
        <v>4003</v>
      </c>
      <c r="N339" s="257"/>
      <c r="O339" s="9"/>
      <c r="P339" s="9"/>
    </row>
    <row r="340" spans="1:16">
      <c r="A340" s="260">
        <v>3001</v>
      </c>
      <c r="B340" s="252">
        <v>6061</v>
      </c>
      <c r="C340" s="253" t="s">
        <v>416</v>
      </c>
      <c r="D340" s="254" t="s">
        <v>511</v>
      </c>
      <c r="E340" s="255">
        <v>0</v>
      </c>
      <c r="F340" s="255">
        <v>0</v>
      </c>
      <c r="G340" s="255">
        <v>2445627.88</v>
      </c>
      <c r="H340" s="403">
        <v>0</v>
      </c>
      <c r="I340" s="654">
        <v>2445627.88</v>
      </c>
      <c r="J340" s="654">
        <v>0</v>
      </c>
      <c r="K340" s="434">
        <f t="shared" si="5"/>
        <v>2445627.88</v>
      </c>
      <c r="L340" s="256">
        <v>4004</v>
      </c>
      <c r="N340" s="257"/>
      <c r="O340" s="9"/>
      <c r="P340" s="9"/>
    </row>
    <row r="341" spans="1:16">
      <c r="A341" s="260">
        <v>3001</v>
      </c>
      <c r="B341" s="252">
        <v>6062</v>
      </c>
      <c r="C341" s="253" t="s">
        <v>417</v>
      </c>
      <c r="D341" s="254" t="s">
        <v>511</v>
      </c>
      <c r="E341" s="255">
        <v>0</v>
      </c>
      <c r="F341" s="255">
        <v>0</v>
      </c>
      <c r="G341" s="255">
        <v>5956292.2767000012</v>
      </c>
      <c r="H341" s="403">
        <v>0</v>
      </c>
      <c r="I341" s="654">
        <v>5956292.2767000012</v>
      </c>
      <c r="J341" s="654">
        <v>0</v>
      </c>
      <c r="K341" s="434">
        <f t="shared" si="5"/>
        <v>5956292.2767000012</v>
      </c>
      <c r="L341" s="256">
        <v>4010</v>
      </c>
      <c r="N341" s="257"/>
      <c r="O341" s="9"/>
      <c r="P341" s="9"/>
    </row>
    <row r="342" spans="1:16">
      <c r="A342" s="260">
        <v>3001</v>
      </c>
      <c r="B342" s="252">
        <v>6063</v>
      </c>
      <c r="C342" s="253" t="s">
        <v>418</v>
      </c>
      <c r="D342" s="254" t="s">
        <v>511</v>
      </c>
      <c r="E342" s="255">
        <v>0</v>
      </c>
      <c r="F342" s="255">
        <v>0</v>
      </c>
      <c r="G342" s="255">
        <v>1526288.8765</v>
      </c>
      <c r="H342" s="403">
        <v>0</v>
      </c>
      <c r="I342" s="654">
        <v>1526288.8764999998</v>
      </c>
      <c r="J342" s="654">
        <v>0</v>
      </c>
      <c r="K342" s="434">
        <f t="shared" si="5"/>
        <v>1526288.8764999998</v>
      </c>
      <c r="L342" s="256">
        <v>4003</v>
      </c>
      <c r="N342" s="257"/>
      <c r="O342" s="9"/>
      <c r="P342" s="9"/>
    </row>
    <row r="343" spans="1:16">
      <c r="A343" s="260">
        <v>3001</v>
      </c>
      <c r="B343" s="252">
        <v>60630</v>
      </c>
      <c r="C343" s="253" t="s">
        <v>419</v>
      </c>
      <c r="D343" s="254" t="s">
        <v>511</v>
      </c>
      <c r="E343" s="255">
        <v>0</v>
      </c>
      <c r="F343" s="255">
        <v>0</v>
      </c>
      <c r="G343" s="255">
        <v>173487.04</v>
      </c>
      <c r="H343" s="403">
        <v>0</v>
      </c>
      <c r="I343" s="654">
        <v>173487.04</v>
      </c>
      <c r="J343" s="654">
        <v>0</v>
      </c>
      <c r="K343" s="434">
        <f t="shared" si="5"/>
        <v>173487.04</v>
      </c>
      <c r="L343" s="256">
        <v>4005</v>
      </c>
      <c r="N343" s="257"/>
      <c r="O343" s="9"/>
      <c r="P343" s="9"/>
    </row>
    <row r="344" spans="1:16">
      <c r="A344" s="260">
        <v>3001</v>
      </c>
      <c r="B344" s="252">
        <v>6064</v>
      </c>
      <c r="C344" s="253" t="s">
        <v>420</v>
      </c>
      <c r="D344" s="254" t="s">
        <v>511</v>
      </c>
      <c r="E344" s="255">
        <v>0</v>
      </c>
      <c r="F344" s="255">
        <v>0</v>
      </c>
      <c r="G344" s="255">
        <v>4825289.16</v>
      </c>
      <c r="H344" s="403">
        <v>0</v>
      </c>
      <c r="I344" s="654">
        <v>4825289.16</v>
      </c>
      <c r="J344" s="654">
        <v>0</v>
      </c>
      <c r="K344" s="434">
        <f t="shared" si="5"/>
        <v>4825289.16</v>
      </c>
      <c r="L344" s="256">
        <v>4003</v>
      </c>
      <c r="N344" s="257"/>
      <c r="O344" s="9"/>
      <c r="P344" s="9"/>
    </row>
    <row r="345" spans="1:16">
      <c r="A345" s="260">
        <v>3001</v>
      </c>
      <c r="B345" s="252">
        <v>6081</v>
      </c>
      <c r="C345" s="253" t="s">
        <v>421</v>
      </c>
      <c r="D345" s="254" t="s">
        <v>511</v>
      </c>
      <c r="E345" s="255">
        <v>0</v>
      </c>
      <c r="F345" s="255">
        <v>0</v>
      </c>
      <c r="G345" s="255">
        <v>1702614</v>
      </c>
      <c r="H345" s="403">
        <v>0</v>
      </c>
      <c r="I345" s="654">
        <v>1702614</v>
      </c>
      <c r="J345" s="654">
        <v>0</v>
      </c>
      <c r="K345" s="434">
        <f t="shared" si="5"/>
        <v>1702614</v>
      </c>
      <c r="L345" s="256">
        <v>4006</v>
      </c>
      <c r="N345" s="257"/>
      <c r="O345" s="9"/>
      <c r="P345" s="9"/>
    </row>
    <row r="346" spans="1:16">
      <c r="A346" s="260">
        <v>3001</v>
      </c>
      <c r="B346" s="252">
        <v>6082</v>
      </c>
      <c r="C346" s="253" t="s">
        <v>422</v>
      </c>
      <c r="D346" s="254" t="s">
        <v>511</v>
      </c>
      <c r="E346" s="255">
        <v>0</v>
      </c>
      <c r="F346" s="255">
        <v>0</v>
      </c>
      <c r="G346" s="255">
        <v>1260190.5344</v>
      </c>
      <c r="H346" s="403">
        <v>0</v>
      </c>
      <c r="I346" s="654">
        <v>1260190.5344</v>
      </c>
      <c r="J346" s="654">
        <v>0</v>
      </c>
      <c r="K346" s="434">
        <f t="shared" si="5"/>
        <v>1260190.5344</v>
      </c>
      <c r="L346" s="256">
        <v>4010</v>
      </c>
      <c r="N346" s="257"/>
      <c r="O346" s="9"/>
      <c r="P346" s="9"/>
    </row>
    <row r="347" spans="1:16">
      <c r="A347" s="260">
        <v>3001</v>
      </c>
      <c r="B347" s="252">
        <v>613</v>
      </c>
      <c r="C347" s="253" t="s">
        <v>423</v>
      </c>
      <c r="D347" s="254" t="s">
        <v>511</v>
      </c>
      <c r="E347" s="255">
        <v>0</v>
      </c>
      <c r="F347" s="255">
        <v>0</v>
      </c>
      <c r="G347" s="255">
        <v>0</v>
      </c>
      <c r="H347" s="403">
        <v>0</v>
      </c>
      <c r="I347" s="654">
        <v>0</v>
      </c>
      <c r="J347" s="654">
        <v>0</v>
      </c>
      <c r="K347" s="434">
        <f t="shared" si="5"/>
        <v>0</v>
      </c>
      <c r="L347" s="256">
        <v>4007</v>
      </c>
      <c r="N347" s="257"/>
      <c r="O347" s="9"/>
      <c r="P347" s="9"/>
    </row>
    <row r="348" spans="1:16">
      <c r="A348" s="260">
        <v>3001</v>
      </c>
      <c r="B348" s="252">
        <v>6130</v>
      </c>
      <c r="C348" s="253" t="s">
        <v>424</v>
      </c>
      <c r="D348" s="254" t="s">
        <v>511</v>
      </c>
      <c r="E348" s="255">
        <v>0</v>
      </c>
      <c r="F348" s="255">
        <v>0</v>
      </c>
      <c r="G348" s="255">
        <v>26594175.940000001</v>
      </c>
      <c r="H348" s="403">
        <v>868150.83</v>
      </c>
      <c r="I348" s="654">
        <v>25726025.109999999</v>
      </c>
      <c r="J348" s="654">
        <v>0</v>
      </c>
      <c r="K348" s="434">
        <f t="shared" si="5"/>
        <v>25726025.109999999</v>
      </c>
      <c r="L348" s="256">
        <v>4007</v>
      </c>
      <c r="N348" s="257"/>
      <c r="O348" s="9"/>
      <c r="P348" s="9"/>
    </row>
    <row r="349" spans="1:16">
      <c r="A349" s="260">
        <v>3001</v>
      </c>
      <c r="B349" s="252">
        <v>6131</v>
      </c>
      <c r="C349" s="253" t="s">
        <v>425</v>
      </c>
      <c r="D349" s="254" t="s">
        <v>511</v>
      </c>
      <c r="E349" s="255">
        <v>0</v>
      </c>
      <c r="F349" s="255">
        <v>0</v>
      </c>
      <c r="G349" s="255">
        <v>10397814.007000001</v>
      </c>
      <c r="H349" s="403">
        <v>860221</v>
      </c>
      <c r="I349" s="654">
        <v>9537593.0070000011</v>
      </c>
      <c r="J349" s="654">
        <v>0</v>
      </c>
      <c r="K349" s="434">
        <f t="shared" si="5"/>
        <v>9537593.0070000011</v>
      </c>
      <c r="L349" s="256">
        <v>4007</v>
      </c>
      <c r="N349" s="257"/>
      <c r="O349" s="9"/>
      <c r="P349" s="9"/>
    </row>
    <row r="350" spans="1:16">
      <c r="A350" s="260">
        <v>3001</v>
      </c>
      <c r="B350" s="252">
        <v>6132</v>
      </c>
      <c r="C350" s="253" t="s">
        <v>426</v>
      </c>
      <c r="D350" s="254" t="s">
        <v>511</v>
      </c>
      <c r="E350" s="255">
        <v>0</v>
      </c>
      <c r="F350" s="255">
        <v>0</v>
      </c>
      <c r="G350" s="255">
        <v>12937353.5</v>
      </c>
      <c r="H350" s="403">
        <v>994279</v>
      </c>
      <c r="I350" s="654">
        <v>11943074.5</v>
      </c>
      <c r="J350" s="654">
        <v>0</v>
      </c>
      <c r="K350" s="434">
        <f t="shared" si="5"/>
        <v>11943074.5</v>
      </c>
      <c r="L350" s="256">
        <v>4007</v>
      </c>
      <c r="N350" s="257"/>
      <c r="O350" s="9"/>
      <c r="P350" s="9"/>
    </row>
    <row r="351" spans="1:16">
      <c r="A351" s="260">
        <v>3001</v>
      </c>
      <c r="B351" s="252">
        <v>6133</v>
      </c>
      <c r="C351" s="253" t="s">
        <v>427</v>
      </c>
      <c r="D351" s="254" t="s">
        <v>511</v>
      </c>
      <c r="E351" s="255">
        <v>0</v>
      </c>
      <c r="F351" s="255">
        <v>0</v>
      </c>
      <c r="G351" s="255">
        <v>20230093.114700001</v>
      </c>
      <c r="H351" s="403">
        <v>0</v>
      </c>
      <c r="I351" s="654">
        <v>20230093.114700001</v>
      </c>
      <c r="J351" s="654">
        <v>0</v>
      </c>
      <c r="K351" s="434">
        <f t="shared" si="5"/>
        <v>20230093.114700001</v>
      </c>
      <c r="L351" s="256">
        <v>4007</v>
      </c>
      <c r="N351" s="257"/>
      <c r="O351" s="9"/>
      <c r="P351" s="9"/>
    </row>
    <row r="352" spans="1:16">
      <c r="A352" s="260">
        <v>3001</v>
      </c>
      <c r="B352" s="252">
        <v>6136</v>
      </c>
      <c r="C352" s="253" t="s">
        <v>550</v>
      </c>
      <c r="D352" s="254" t="s">
        <v>511</v>
      </c>
      <c r="E352" s="255">
        <v>0</v>
      </c>
      <c r="F352" s="255">
        <v>0</v>
      </c>
      <c r="G352" s="255">
        <v>132401.54999999999</v>
      </c>
      <c r="H352" s="403">
        <v>0</v>
      </c>
      <c r="I352" s="654">
        <v>132401.54999999999</v>
      </c>
      <c r="J352" s="654">
        <v>0</v>
      </c>
      <c r="K352" s="434">
        <f t="shared" si="5"/>
        <v>132401.54999999999</v>
      </c>
      <c r="L352" s="256">
        <v>4019</v>
      </c>
      <c r="N352" s="257"/>
      <c r="O352" s="9"/>
      <c r="P352" s="9"/>
    </row>
    <row r="353" spans="1:16">
      <c r="A353" s="260">
        <v>3001</v>
      </c>
      <c r="B353" s="252">
        <v>6137</v>
      </c>
      <c r="C353" s="253" t="s">
        <v>551</v>
      </c>
      <c r="D353" s="254" t="s">
        <v>511</v>
      </c>
      <c r="E353" s="255">
        <v>0</v>
      </c>
      <c r="F353" s="255">
        <v>0</v>
      </c>
      <c r="G353" s="255">
        <v>14472250</v>
      </c>
      <c r="H353" s="403">
        <v>0</v>
      </c>
      <c r="I353" s="654">
        <v>14472250</v>
      </c>
      <c r="J353" s="654">
        <v>0</v>
      </c>
      <c r="K353" s="434">
        <f t="shared" si="5"/>
        <v>14472250</v>
      </c>
      <c r="L353" s="256">
        <v>4007</v>
      </c>
      <c r="N353" s="257"/>
      <c r="O353" s="9"/>
      <c r="P353" s="9"/>
    </row>
    <row r="354" spans="1:16">
      <c r="A354" s="260">
        <v>3001</v>
      </c>
      <c r="B354" s="252">
        <v>6138</v>
      </c>
      <c r="C354" s="253" t="s">
        <v>552</v>
      </c>
      <c r="D354" s="254" t="s">
        <v>511</v>
      </c>
      <c r="E354" s="255">
        <v>0</v>
      </c>
      <c r="F354" s="255">
        <v>0</v>
      </c>
      <c r="G354" s="255">
        <v>1834368</v>
      </c>
      <c r="H354" s="403">
        <v>0</v>
      </c>
      <c r="I354" s="654">
        <v>1834368</v>
      </c>
      <c r="J354" s="654">
        <v>0</v>
      </c>
      <c r="K354" s="434">
        <f t="shared" si="5"/>
        <v>1834368</v>
      </c>
      <c r="L354" s="256">
        <v>4007</v>
      </c>
      <c r="N354" s="257"/>
      <c r="O354" s="9"/>
      <c r="P354" s="9"/>
    </row>
    <row r="355" spans="1:16">
      <c r="A355" s="260">
        <v>3001</v>
      </c>
      <c r="B355" s="252">
        <v>6139</v>
      </c>
      <c r="C355" s="253" t="s">
        <v>553</v>
      </c>
      <c r="D355" s="254" t="s">
        <v>511</v>
      </c>
      <c r="E355" s="255">
        <v>0</v>
      </c>
      <c r="F355" s="255">
        <v>0</v>
      </c>
      <c r="G355" s="255">
        <v>804960</v>
      </c>
      <c r="H355" s="403">
        <v>0</v>
      </c>
      <c r="I355" s="654">
        <v>804960</v>
      </c>
      <c r="J355" s="654">
        <v>0</v>
      </c>
      <c r="K355" s="434">
        <f t="shared" si="5"/>
        <v>804960</v>
      </c>
      <c r="L355" s="256">
        <v>4007</v>
      </c>
      <c r="N355" s="257"/>
      <c r="O355" s="9"/>
      <c r="P355" s="9"/>
    </row>
    <row r="356" spans="1:16">
      <c r="A356" s="260">
        <v>3001</v>
      </c>
      <c r="B356" s="252">
        <v>615</v>
      </c>
      <c r="C356" s="253" t="s">
        <v>428</v>
      </c>
      <c r="D356" s="254" t="s">
        <v>511</v>
      </c>
      <c r="E356" s="255">
        <v>0</v>
      </c>
      <c r="F356" s="255">
        <v>0</v>
      </c>
      <c r="G356" s="255">
        <v>176082.0098</v>
      </c>
      <c r="H356" s="403">
        <v>0</v>
      </c>
      <c r="I356" s="654">
        <v>176082.0098</v>
      </c>
      <c r="J356" s="654">
        <v>0</v>
      </c>
      <c r="K356" s="434">
        <f t="shared" si="5"/>
        <v>176082.0098</v>
      </c>
      <c r="L356" s="256">
        <v>4008</v>
      </c>
      <c r="N356" s="257"/>
      <c r="O356" s="9"/>
      <c r="P356" s="9"/>
    </row>
    <row r="357" spans="1:16">
      <c r="A357" s="260">
        <v>3001</v>
      </c>
      <c r="B357" s="252">
        <v>6150</v>
      </c>
      <c r="C357" s="253" t="s">
        <v>429</v>
      </c>
      <c r="D357" s="254" t="s">
        <v>511</v>
      </c>
      <c r="E357" s="255">
        <v>0</v>
      </c>
      <c r="F357" s="255">
        <v>0</v>
      </c>
      <c r="G357" s="255">
        <v>5156660</v>
      </c>
      <c r="H357" s="403">
        <v>0</v>
      </c>
      <c r="I357" s="654">
        <v>5156660</v>
      </c>
      <c r="J357" s="654">
        <v>0</v>
      </c>
      <c r="K357" s="434">
        <f t="shared" si="5"/>
        <v>5156660</v>
      </c>
      <c r="L357" s="256">
        <v>4008</v>
      </c>
      <c r="N357" s="257"/>
      <c r="O357" s="9"/>
      <c r="P357" s="9"/>
    </row>
    <row r="358" spans="1:16">
      <c r="A358" s="260">
        <v>3001</v>
      </c>
      <c r="B358" s="252">
        <v>6151</v>
      </c>
      <c r="C358" s="253" t="s">
        <v>430</v>
      </c>
      <c r="D358" s="254" t="s">
        <v>511</v>
      </c>
      <c r="E358" s="255">
        <v>0</v>
      </c>
      <c r="F358" s="255">
        <v>0</v>
      </c>
      <c r="G358" s="255">
        <v>4190842.85</v>
      </c>
      <c r="H358" s="403">
        <v>0</v>
      </c>
      <c r="I358" s="654">
        <v>4190842.85</v>
      </c>
      <c r="J358" s="654">
        <v>0</v>
      </c>
      <c r="K358" s="434">
        <f t="shared" si="5"/>
        <v>4190842.85</v>
      </c>
      <c r="L358" s="256">
        <v>4008</v>
      </c>
      <c r="N358" s="257"/>
      <c r="O358" s="9"/>
      <c r="P358" s="9"/>
    </row>
    <row r="359" spans="1:16">
      <c r="A359" s="260">
        <v>3001</v>
      </c>
      <c r="B359" s="252">
        <v>6152</v>
      </c>
      <c r="C359" s="253" t="s">
        <v>431</v>
      </c>
      <c r="D359" s="254" t="s">
        <v>511</v>
      </c>
      <c r="E359" s="255">
        <v>0</v>
      </c>
      <c r="F359" s="255">
        <v>0</v>
      </c>
      <c r="G359" s="255">
        <v>1096915.8754</v>
      </c>
      <c r="H359" s="403">
        <v>455875.5</v>
      </c>
      <c r="I359" s="654">
        <v>641040.37540000002</v>
      </c>
      <c r="J359" s="654">
        <v>0</v>
      </c>
      <c r="K359" s="434">
        <f t="shared" si="5"/>
        <v>641040.37540000002</v>
      </c>
      <c r="L359" s="256">
        <v>4008</v>
      </c>
      <c r="N359" s="257"/>
      <c r="O359" s="9"/>
      <c r="P359" s="9"/>
    </row>
    <row r="360" spans="1:16">
      <c r="A360" s="260">
        <v>3001</v>
      </c>
      <c r="B360" s="252">
        <v>61520</v>
      </c>
      <c r="C360" s="253" t="s">
        <v>432</v>
      </c>
      <c r="D360" s="254" t="s">
        <v>511</v>
      </c>
      <c r="E360" s="255">
        <v>0</v>
      </c>
      <c r="F360" s="255">
        <v>0</v>
      </c>
      <c r="G360" s="255">
        <v>1492690.3794</v>
      </c>
      <c r="H360" s="403">
        <v>1067683.33</v>
      </c>
      <c r="I360" s="654">
        <v>425007.04940000025</v>
      </c>
      <c r="J360" s="654">
        <v>0</v>
      </c>
      <c r="K360" s="434">
        <f t="shared" si="5"/>
        <v>425007.04940000025</v>
      </c>
      <c r="L360" s="256">
        <v>4008</v>
      </c>
      <c r="N360" s="257"/>
      <c r="O360" s="9"/>
      <c r="P360" s="9"/>
    </row>
    <row r="361" spans="1:16">
      <c r="A361" s="260">
        <v>3001</v>
      </c>
      <c r="B361" s="252">
        <v>6153</v>
      </c>
      <c r="C361" s="253" t="s">
        <v>554</v>
      </c>
      <c r="D361" s="254" t="s">
        <v>511</v>
      </c>
      <c r="E361" s="255">
        <v>0</v>
      </c>
      <c r="F361" s="255">
        <v>0</v>
      </c>
      <c r="G361" s="255">
        <v>0</v>
      </c>
      <c r="H361" s="403">
        <v>0</v>
      </c>
      <c r="I361" s="654">
        <v>0</v>
      </c>
      <c r="J361" s="654">
        <v>0</v>
      </c>
      <c r="K361" s="434">
        <f t="shared" si="5"/>
        <v>0</v>
      </c>
      <c r="L361" s="256">
        <v>4008</v>
      </c>
      <c r="N361" s="257"/>
      <c r="O361" s="9"/>
      <c r="P361" s="9"/>
    </row>
    <row r="362" spans="1:16">
      <c r="A362" s="260">
        <v>3001</v>
      </c>
      <c r="B362" s="252">
        <v>616</v>
      </c>
      <c r="C362" s="253" t="s">
        <v>433</v>
      </c>
      <c r="D362" s="254" t="s">
        <v>511</v>
      </c>
      <c r="E362" s="255">
        <v>0</v>
      </c>
      <c r="F362" s="255">
        <v>0</v>
      </c>
      <c r="G362" s="255">
        <v>14195934.93</v>
      </c>
      <c r="H362" s="403">
        <v>0</v>
      </c>
      <c r="I362" s="654">
        <v>14195934.93</v>
      </c>
      <c r="J362" s="654">
        <v>0</v>
      </c>
      <c r="K362" s="434">
        <f t="shared" si="5"/>
        <v>14195934.93</v>
      </c>
      <c r="L362" s="256">
        <v>4009</v>
      </c>
      <c r="N362" s="257"/>
      <c r="O362" s="9"/>
      <c r="P362" s="9"/>
    </row>
    <row r="363" spans="1:16">
      <c r="A363" s="260">
        <v>3001</v>
      </c>
      <c r="B363" s="252">
        <v>6161</v>
      </c>
      <c r="C363" s="253" t="s">
        <v>555</v>
      </c>
      <c r="D363" s="254" t="s">
        <v>511</v>
      </c>
      <c r="E363" s="255">
        <v>0</v>
      </c>
      <c r="F363" s="255">
        <v>0</v>
      </c>
      <c r="G363" s="255">
        <v>0</v>
      </c>
      <c r="H363" s="403">
        <v>0</v>
      </c>
      <c r="I363" s="654">
        <v>0</v>
      </c>
      <c r="J363" s="654">
        <v>0</v>
      </c>
      <c r="K363" s="434">
        <f t="shared" si="5"/>
        <v>0</v>
      </c>
      <c r="L363" s="256">
        <v>4009</v>
      </c>
      <c r="N363" s="257"/>
      <c r="O363" s="9"/>
      <c r="P363" s="9"/>
    </row>
    <row r="364" spans="1:16">
      <c r="A364" s="260">
        <v>3001</v>
      </c>
      <c r="B364" s="252">
        <v>618</v>
      </c>
      <c r="C364" s="253" t="s">
        <v>168</v>
      </c>
      <c r="D364" s="254" t="s">
        <v>511</v>
      </c>
      <c r="E364" s="255">
        <v>0</v>
      </c>
      <c r="F364" s="255">
        <v>0</v>
      </c>
      <c r="G364" s="255">
        <v>2078158.06</v>
      </c>
      <c r="H364" s="403">
        <v>175002</v>
      </c>
      <c r="I364" s="654">
        <v>1903156.06</v>
      </c>
      <c r="J364" s="654">
        <v>0</v>
      </c>
      <c r="K364" s="434">
        <f t="shared" si="5"/>
        <v>1903156.06</v>
      </c>
      <c r="L364" s="256">
        <v>4010</v>
      </c>
      <c r="N364" s="257"/>
      <c r="O364" s="9"/>
      <c r="P364" s="9"/>
    </row>
    <row r="365" spans="1:16">
      <c r="A365" s="260">
        <v>3001</v>
      </c>
      <c r="B365" s="252">
        <v>6180</v>
      </c>
      <c r="C365" s="253" t="s">
        <v>434</v>
      </c>
      <c r="D365" s="254" t="s">
        <v>511</v>
      </c>
      <c r="E365" s="255">
        <v>0</v>
      </c>
      <c r="F365" s="255">
        <v>0</v>
      </c>
      <c r="G365" s="255">
        <v>0</v>
      </c>
      <c r="H365" s="403">
        <v>0</v>
      </c>
      <c r="I365" s="654">
        <v>0</v>
      </c>
      <c r="J365" s="654">
        <v>0</v>
      </c>
      <c r="K365" s="434">
        <f t="shared" si="5"/>
        <v>0</v>
      </c>
      <c r="L365" s="256">
        <v>4010</v>
      </c>
      <c r="N365" s="257"/>
      <c r="O365" s="9"/>
      <c r="P365" s="9"/>
    </row>
    <row r="366" spans="1:16">
      <c r="A366" s="260">
        <v>3001</v>
      </c>
      <c r="B366" s="252">
        <v>61800</v>
      </c>
      <c r="C366" s="253" t="s">
        <v>435</v>
      </c>
      <c r="D366" s="254" t="s">
        <v>511</v>
      </c>
      <c r="E366" s="255">
        <v>0</v>
      </c>
      <c r="F366" s="255">
        <v>0</v>
      </c>
      <c r="G366" s="255">
        <v>90789174.783999994</v>
      </c>
      <c r="H366" s="403">
        <v>361086.68</v>
      </c>
      <c r="I366" s="654">
        <v>90428088.104000002</v>
      </c>
      <c r="J366" s="654">
        <v>0</v>
      </c>
      <c r="K366" s="434">
        <f t="shared" si="5"/>
        <v>90428088.104000002</v>
      </c>
      <c r="L366" s="256">
        <v>4011</v>
      </c>
      <c r="N366" s="257"/>
      <c r="O366" s="9"/>
      <c r="P366" s="9"/>
    </row>
    <row r="367" spans="1:16">
      <c r="A367" s="260">
        <v>3001</v>
      </c>
      <c r="B367" s="252">
        <v>61801</v>
      </c>
      <c r="C367" s="253" t="s">
        <v>436</v>
      </c>
      <c r="D367" s="254" t="s">
        <v>511</v>
      </c>
      <c r="E367" s="255">
        <v>0</v>
      </c>
      <c r="F367" s="255">
        <v>0</v>
      </c>
      <c r="G367" s="255">
        <v>1103627.7439000001</v>
      </c>
      <c r="H367" s="403">
        <v>222823</v>
      </c>
      <c r="I367" s="654">
        <v>880804.74390000035</v>
      </c>
      <c r="J367" s="654">
        <v>0</v>
      </c>
      <c r="K367" s="434">
        <f t="shared" si="5"/>
        <v>880804.74390000035</v>
      </c>
      <c r="L367" s="256">
        <v>4011</v>
      </c>
      <c r="N367" s="257"/>
      <c r="O367" s="9"/>
      <c r="P367" s="9"/>
    </row>
    <row r="368" spans="1:16">
      <c r="A368" s="260">
        <v>3001</v>
      </c>
      <c r="B368" s="252">
        <v>61802</v>
      </c>
      <c r="C368" s="253" t="s">
        <v>437</v>
      </c>
      <c r="D368" s="254" t="s">
        <v>511</v>
      </c>
      <c r="E368" s="255">
        <v>0</v>
      </c>
      <c r="F368" s="255">
        <v>0</v>
      </c>
      <c r="G368" s="255">
        <v>0</v>
      </c>
      <c r="H368" s="403">
        <v>0</v>
      </c>
      <c r="I368" s="654">
        <v>0</v>
      </c>
      <c r="J368" s="654">
        <v>0</v>
      </c>
      <c r="K368" s="434">
        <f t="shared" si="5"/>
        <v>0</v>
      </c>
      <c r="L368" s="256">
        <v>4011</v>
      </c>
      <c r="N368" s="257"/>
      <c r="O368" s="9"/>
      <c r="P368" s="9"/>
    </row>
    <row r="369" spans="1:16">
      <c r="A369" s="260">
        <v>3001</v>
      </c>
      <c r="B369" s="252">
        <v>61803</v>
      </c>
      <c r="C369" s="253" t="s">
        <v>438</v>
      </c>
      <c r="D369" s="254" t="s">
        <v>511</v>
      </c>
      <c r="E369" s="255">
        <v>0</v>
      </c>
      <c r="F369" s="255">
        <v>0</v>
      </c>
      <c r="G369" s="255">
        <v>31341948.029600002</v>
      </c>
      <c r="H369" s="403">
        <v>0</v>
      </c>
      <c r="I369" s="654">
        <v>31341948.029600006</v>
      </c>
      <c r="J369" s="654">
        <v>0</v>
      </c>
      <c r="K369" s="434">
        <f t="shared" si="5"/>
        <v>31341948.029600006</v>
      </c>
      <c r="L369" s="256">
        <v>4011</v>
      </c>
      <c r="N369" s="257"/>
      <c r="O369" s="9"/>
      <c r="P369" s="9"/>
    </row>
    <row r="370" spans="1:16">
      <c r="A370" s="260">
        <v>3001</v>
      </c>
      <c r="B370" s="252">
        <v>6181</v>
      </c>
      <c r="C370" s="253" t="s">
        <v>439</v>
      </c>
      <c r="D370" s="254" t="s">
        <v>511</v>
      </c>
      <c r="E370" s="255">
        <v>0</v>
      </c>
      <c r="F370" s="255">
        <v>0</v>
      </c>
      <c r="G370" s="255">
        <v>16343841</v>
      </c>
      <c r="H370" s="403">
        <v>0</v>
      </c>
      <c r="I370" s="654">
        <v>16343841</v>
      </c>
      <c r="J370" s="654">
        <v>0</v>
      </c>
      <c r="K370" s="434">
        <f t="shared" si="5"/>
        <v>16343841</v>
      </c>
      <c r="L370" s="256">
        <v>4013</v>
      </c>
      <c r="N370" s="257"/>
      <c r="O370" s="9"/>
      <c r="P370" s="9"/>
    </row>
    <row r="371" spans="1:16">
      <c r="A371" s="260">
        <v>3001</v>
      </c>
      <c r="B371" s="252">
        <v>6183</v>
      </c>
      <c r="C371" s="253" t="s">
        <v>540</v>
      </c>
      <c r="D371" s="254" t="s">
        <v>511</v>
      </c>
      <c r="E371" s="255">
        <v>0</v>
      </c>
      <c r="F371" s="255">
        <v>0</v>
      </c>
      <c r="G371" s="255">
        <v>878881</v>
      </c>
      <c r="H371" s="403">
        <v>0</v>
      </c>
      <c r="I371" s="654">
        <v>878881</v>
      </c>
      <c r="J371" s="654">
        <v>0</v>
      </c>
      <c r="K371" s="434">
        <f t="shared" si="5"/>
        <v>878881</v>
      </c>
      <c r="L371" s="256">
        <v>4019</v>
      </c>
      <c r="N371" s="257"/>
      <c r="O371" s="9"/>
      <c r="P371" s="9"/>
    </row>
    <row r="372" spans="1:16">
      <c r="A372" s="260">
        <v>3001</v>
      </c>
      <c r="B372" s="252">
        <v>61831</v>
      </c>
      <c r="C372" s="253" t="s">
        <v>440</v>
      </c>
      <c r="D372" s="254" t="s">
        <v>511</v>
      </c>
      <c r="E372" s="255">
        <v>0</v>
      </c>
      <c r="F372" s="255">
        <v>0</v>
      </c>
      <c r="G372" s="255">
        <v>2893473.9</v>
      </c>
      <c r="H372" s="403">
        <v>0</v>
      </c>
      <c r="I372" s="654">
        <v>2893473.9</v>
      </c>
      <c r="J372" s="654">
        <v>0</v>
      </c>
      <c r="K372" s="434">
        <f t="shared" si="5"/>
        <v>2893473.9</v>
      </c>
      <c r="L372" s="256">
        <v>4010</v>
      </c>
      <c r="N372" s="257"/>
      <c r="O372" s="9"/>
      <c r="P372" s="9"/>
    </row>
    <row r="373" spans="1:16">
      <c r="A373" s="260">
        <v>3001</v>
      </c>
      <c r="B373" s="252">
        <v>61839</v>
      </c>
      <c r="C373" s="253" t="s">
        <v>441</v>
      </c>
      <c r="D373" s="254" t="s">
        <v>511</v>
      </c>
      <c r="E373" s="255">
        <v>0</v>
      </c>
      <c r="F373" s="255">
        <v>0</v>
      </c>
      <c r="G373" s="702">
        <f>23753144.9705-2031</f>
        <v>23751113.9705</v>
      </c>
      <c r="H373" s="403">
        <v>373544</v>
      </c>
      <c r="I373" s="654">
        <f>G373-H373</f>
        <v>23377569.9705</v>
      </c>
      <c r="J373" s="654">
        <v>0</v>
      </c>
      <c r="K373" s="434">
        <f t="shared" si="5"/>
        <v>23377569.9705</v>
      </c>
      <c r="L373" s="256">
        <v>4019</v>
      </c>
      <c r="N373" s="257"/>
      <c r="O373" s="9"/>
      <c r="P373" s="9"/>
    </row>
    <row r="374" spans="1:16">
      <c r="A374" s="260">
        <v>4003</v>
      </c>
      <c r="B374" s="252">
        <v>61849</v>
      </c>
      <c r="C374" s="253" t="s">
        <v>556</v>
      </c>
      <c r="D374" s="254" t="s">
        <v>511</v>
      </c>
      <c r="E374" s="255">
        <v>0</v>
      </c>
      <c r="F374" s="255">
        <v>0</v>
      </c>
      <c r="G374" s="255">
        <v>0</v>
      </c>
      <c r="H374" s="403">
        <v>0</v>
      </c>
      <c r="I374" s="654">
        <v>0</v>
      </c>
      <c r="J374" s="654">
        <v>0</v>
      </c>
      <c r="K374" s="434">
        <f t="shared" si="5"/>
        <v>0</v>
      </c>
      <c r="L374" s="256">
        <v>5011</v>
      </c>
      <c r="N374" s="257"/>
      <c r="O374" s="9"/>
      <c r="P374" s="9"/>
    </row>
    <row r="375" spans="1:16">
      <c r="A375" s="260">
        <v>3001</v>
      </c>
      <c r="B375" s="252">
        <v>6185</v>
      </c>
      <c r="C375" s="253" t="s">
        <v>442</v>
      </c>
      <c r="D375" s="254" t="s">
        <v>511</v>
      </c>
      <c r="E375" s="255">
        <v>0</v>
      </c>
      <c r="F375" s="255">
        <v>0</v>
      </c>
      <c r="G375" s="255">
        <v>32594221.260000002</v>
      </c>
      <c r="H375" s="403">
        <v>0</v>
      </c>
      <c r="I375" s="654">
        <v>32594221.260000002</v>
      </c>
      <c r="J375" s="654">
        <v>0</v>
      </c>
      <c r="K375" s="434">
        <f t="shared" si="5"/>
        <v>32594221.260000002</v>
      </c>
      <c r="L375" s="256">
        <v>4010</v>
      </c>
      <c r="N375" s="257"/>
      <c r="O375" s="9"/>
      <c r="P375" s="9"/>
    </row>
    <row r="376" spans="1:16">
      <c r="A376" s="260">
        <v>3001</v>
      </c>
      <c r="B376" s="252">
        <v>6186</v>
      </c>
      <c r="C376" s="253" t="s">
        <v>443</v>
      </c>
      <c r="D376" s="254" t="s">
        <v>511</v>
      </c>
      <c r="E376" s="255">
        <v>0</v>
      </c>
      <c r="F376" s="255">
        <v>0</v>
      </c>
      <c r="G376" s="255">
        <v>6559201.5</v>
      </c>
      <c r="H376" s="403">
        <v>0</v>
      </c>
      <c r="I376" s="654">
        <v>6559201.5</v>
      </c>
      <c r="J376" s="654">
        <v>0</v>
      </c>
      <c r="K376" s="434">
        <f t="shared" si="5"/>
        <v>6559201.5</v>
      </c>
      <c r="L376" s="256">
        <v>4015</v>
      </c>
      <c r="N376" s="257"/>
      <c r="O376" s="9"/>
      <c r="P376" s="9"/>
    </row>
    <row r="377" spans="1:16">
      <c r="A377" s="260">
        <v>3001</v>
      </c>
      <c r="B377" s="252">
        <v>6187</v>
      </c>
      <c r="C377" s="253" t="s">
        <v>557</v>
      </c>
      <c r="D377" s="254" t="s">
        <v>511</v>
      </c>
      <c r="E377" s="255">
        <v>0</v>
      </c>
      <c r="F377" s="255">
        <v>0</v>
      </c>
      <c r="G377" s="255">
        <v>0</v>
      </c>
      <c r="H377" s="403">
        <v>0</v>
      </c>
      <c r="I377" s="654">
        <v>0</v>
      </c>
      <c r="J377" s="654">
        <v>0</v>
      </c>
      <c r="K377" s="434">
        <f t="shared" si="5"/>
        <v>0</v>
      </c>
      <c r="L377" s="256">
        <v>4019</v>
      </c>
      <c r="N377" s="257"/>
      <c r="O377" s="9"/>
      <c r="P377" s="9"/>
    </row>
    <row r="378" spans="1:16">
      <c r="A378" s="260">
        <v>3009</v>
      </c>
      <c r="B378" s="252">
        <v>6188</v>
      </c>
      <c r="C378" s="253" t="s">
        <v>381</v>
      </c>
      <c r="D378" s="254" t="s">
        <v>511</v>
      </c>
      <c r="E378" s="255">
        <v>0</v>
      </c>
      <c r="F378" s="255">
        <v>0</v>
      </c>
      <c r="G378" s="255">
        <v>1730184.1869000001</v>
      </c>
      <c r="H378" s="403">
        <v>0</v>
      </c>
      <c r="I378" s="654">
        <v>1730184.1869000003</v>
      </c>
      <c r="J378" s="654">
        <v>0</v>
      </c>
      <c r="K378" s="434">
        <f t="shared" si="5"/>
        <v>1730184.1869000003</v>
      </c>
      <c r="L378" s="256">
        <v>5005</v>
      </c>
      <c r="N378" s="257"/>
      <c r="O378" s="9"/>
      <c r="P378" s="9"/>
    </row>
    <row r="379" spans="1:16">
      <c r="A379" s="260">
        <v>3001</v>
      </c>
      <c r="B379" s="252">
        <v>621</v>
      </c>
      <c r="C379" s="253" t="s">
        <v>444</v>
      </c>
      <c r="D379" s="254" t="s">
        <v>511</v>
      </c>
      <c r="E379" s="255">
        <v>0</v>
      </c>
      <c r="F379" s="255">
        <v>0</v>
      </c>
      <c r="G379" s="255">
        <v>0</v>
      </c>
      <c r="H379" s="403">
        <v>0</v>
      </c>
      <c r="I379" s="654">
        <v>0</v>
      </c>
      <c r="J379" s="654">
        <v>0</v>
      </c>
      <c r="K379" s="434">
        <f t="shared" si="5"/>
        <v>0</v>
      </c>
      <c r="L379" s="256">
        <v>4019</v>
      </c>
      <c r="N379" s="257"/>
      <c r="O379" s="9"/>
      <c r="P379" s="9"/>
    </row>
    <row r="380" spans="1:16">
      <c r="A380" s="273"/>
      <c r="B380" s="252">
        <v>62100</v>
      </c>
      <c r="C380" s="253" t="s">
        <v>560</v>
      </c>
      <c r="D380" s="254" t="s">
        <v>511</v>
      </c>
      <c r="E380" s="255">
        <v>0</v>
      </c>
      <c r="F380" s="255">
        <v>0</v>
      </c>
      <c r="G380" s="255">
        <v>91437890.840000004</v>
      </c>
      <c r="H380" s="403">
        <v>0</v>
      </c>
      <c r="I380" s="654">
        <v>91437890.840000004</v>
      </c>
      <c r="J380" s="654">
        <v>0</v>
      </c>
      <c r="K380" s="434">
        <f t="shared" si="5"/>
        <v>91437890.840000004</v>
      </c>
      <c r="L380" s="256"/>
      <c r="N380" s="257"/>
      <c r="O380" s="9"/>
      <c r="P380" s="9"/>
    </row>
    <row r="381" spans="1:16">
      <c r="A381" s="260">
        <v>3001</v>
      </c>
      <c r="B381" s="252">
        <v>62102</v>
      </c>
      <c r="C381" s="253" t="s">
        <v>558</v>
      </c>
      <c r="D381" s="254" t="s">
        <v>511</v>
      </c>
      <c r="E381" s="255">
        <v>0</v>
      </c>
      <c r="F381" s="255">
        <v>0</v>
      </c>
      <c r="G381" s="255">
        <v>533328.36080000002</v>
      </c>
      <c r="H381" s="403">
        <v>0</v>
      </c>
      <c r="I381" s="654">
        <v>533328.36080000002</v>
      </c>
      <c r="J381" s="654">
        <v>0</v>
      </c>
      <c r="K381" s="434">
        <f t="shared" si="5"/>
        <v>533328.36080000002</v>
      </c>
      <c r="L381" s="256">
        <v>4019</v>
      </c>
      <c r="N381" s="257"/>
      <c r="O381" s="9"/>
      <c r="P381" s="9"/>
    </row>
    <row r="382" spans="1:16">
      <c r="A382" s="260">
        <v>3001</v>
      </c>
      <c r="B382" s="252">
        <v>62103</v>
      </c>
      <c r="C382" s="253" t="s">
        <v>559</v>
      </c>
      <c r="D382" s="254" t="s">
        <v>511</v>
      </c>
      <c r="E382" s="255">
        <v>0</v>
      </c>
      <c r="F382" s="255">
        <v>0</v>
      </c>
      <c r="G382" s="255">
        <v>248880</v>
      </c>
      <c r="H382" s="403">
        <v>0</v>
      </c>
      <c r="I382" s="654">
        <v>248880</v>
      </c>
      <c r="J382" s="654">
        <v>0</v>
      </c>
      <c r="K382" s="434">
        <f t="shared" si="5"/>
        <v>248880</v>
      </c>
      <c r="L382" s="256">
        <v>4019</v>
      </c>
      <c r="N382" s="257"/>
      <c r="O382" s="9"/>
      <c r="P382" s="9"/>
    </row>
    <row r="383" spans="1:16">
      <c r="A383" s="260">
        <v>3001</v>
      </c>
      <c r="B383" s="252">
        <v>6211</v>
      </c>
      <c r="C383" s="253" t="s">
        <v>445</v>
      </c>
      <c r="D383" s="254" t="s">
        <v>511</v>
      </c>
      <c r="E383" s="255">
        <v>0</v>
      </c>
      <c r="F383" s="255">
        <v>0</v>
      </c>
      <c r="G383" s="255">
        <v>11923004.092699999</v>
      </c>
      <c r="H383" s="403">
        <v>0</v>
      </c>
      <c r="I383" s="654">
        <v>11923004.092700003</v>
      </c>
      <c r="J383" s="654">
        <v>0</v>
      </c>
      <c r="K383" s="434">
        <f t="shared" si="5"/>
        <v>11923004.092700003</v>
      </c>
      <c r="L383" s="256">
        <v>4012</v>
      </c>
      <c r="N383" s="257"/>
      <c r="O383" s="9"/>
      <c r="P383" s="9"/>
    </row>
    <row r="384" spans="1:16">
      <c r="A384" s="260">
        <v>3001</v>
      </c>
      <c r="B384" s="252">
        <v>6212</v>
      </c>
      <c r="C384" s="253" t="s">
        <v>446</v>
      </c>
      <c r="D384" s="254" t="s">
        <v>511</v>
      </c>
      <c r="E384" s="255">
        <v>0</v>
      </c>
      <c r="F384" s="255">
        <v>0</v>
      </c>
      <c r="G384" s="255">
        <v>20443843.498800002</v>
      </c>
      <c r="H384" s="403">
        <v>3308239</v>
      </c>
      <c r="I384" s="654">
        <v>17135604.498800002</v>
      </c>
      <c r="J384" s="654">
        <v>0</v>
      </c>
      <c r="K384" s="434">
        <f t="shared" si="5"/>
        <v>17135604.498800002</v>
      </c>
      <c r="L384" s="256">
        <v>4013</v>
      </c>
      <c r="N384" s="257"/>
      <c r="O384" s="9"/>
      <c r="P384" s="9"/>
    </row>
    <row r="385" spans="1:16">
      <c r="A385" s="260">
        <v>3001</v>
      </c>
      <c r="B385" s="252">
        <v>6216</v>
      </c>
      <c r="C385" s="253" t="s">
        <v>447</v>
      </c>
      <c r="D385" s="254" t="s">
        <v>511</v>
      </c>
      <c r="E385" s="255">
        <v>0</v>
      </c>
      <c r="F385" s="255">
        <v>0</v>
      </c>
      <c r="G385" s="255">
        <v>14579125.8672</v>
      </c>
      <c r="H385" s="403">
        <v>0</v>
      </c>
      <c r="I385" s="654">
        <v>14579125.8672</v>
      </c>
      <c r="J385" s="654">
        <v>0</v>
      </c>
      <c r="K385" s="434">
        <f t="shared" si="5"/>
        <v>14579125.8672</v>
      </c>
      <c r="L385" s="256">
        <v>4013</v>
      </c>
      <c r="N385" s="257"/>
      <c r="O385" s="9"/>
      <c r="P385" s="9"/>
    </row>
    <row r="386" spans="1:16">
      <c r="A386" s="260">
        <v>3001</v>
      </c>
      <c r="B386" s="252">
        <v>6220</v>
      </c>
      <c r="C386" s="253" t="s">
        <v>448</v>
      </c>
      <c r="D386" s="254" t="s">
        <v>511</v>
      </c>
      <c r="E386" s="255">
        <v>0</v>
      </c>
      <c r="F386" s="255">
        <v>0</v>
      </c>
      <c r="G386" s="255">
        <v>38870507.912799999</v>
      </c>
      <c r="H386" s="403">
        <v>1962500</v>
      </c>
      <c r="I386" s="654">
        <v>36908007.912799999</v>
      </c>
      <c r="J386" s="654">
        <v>0</v>
      </c>
      <c r="K386" s="434">
        <f t="shared" si="5"/>
        <v>36908007.912799999</v>
      </c>
      <c r="L386" s="256">
        <v>4013</v>
      </c>
      <c r="N386" s="257"/>
      <c r="O386" s="9"/>
      <c r="P386" s="9"/>
    </row>
    <row r="387" spans="1:16">
      <c r="A387" s="260">
        <v>3001</v>
      </c>
      <c r="B387" s="252">
        <v>62201</v>
      </c>
      <c r="C387" s="253" t="s">
        <v>449</v>
      </c>
      <c r="D387" s="254" t="s">
        <v>511</v>
      </c>
      <c r="E387" s="255">
        <v>0</v>
      </c>
      <c r="F387" s="255">
        <v>0</v>
      </c>
      <c r="G387" s="255">
        <v>0</v>
      </c>
      <c r="H387" s="403">
        <v>0</v>
      </c>
      <c r="I387" s="654">
        <v>0</v>
      </c>
      <c r="J387" s="654">
        <v>0</v>
      </c>
      <c r="K387" s="437"/>
      <c r="L387" s="256">
        <v>4013</v>
      </c>
      <c r="N387" s="257"/>
      <c r="O387" s="9"/>
      <c r="P387" s="9"/>
    </row>
    <row r="388" spans="1:16">
      <c r="A388" s="260">
        <v>3001</v>
      </c>
      <c r="B388" s="252">
        <v>6221</v>
      </c>
      <c r="C388" s="253" t="s">
        <v>450</v>
      </c>
      <c r="D388" s="254" t="s">
        <v>511</v>
      </c>
      <c r="E388" s="255">
        <v>0</v>
      </c>
      <c r="F388" s="255">
        <v>0</v>
      </c>
      <c r="G388" s="255">
        <v>8871467.5700000003</v>
      </c>
      <c r="H388" s="403">
        <v>320000</v>
      </c>
      <c r="I388" s="654">
        <v>8551467.5700000003</v>
      </c>
      <c r="J388" s="654">
        <v>0</v>
      </c>
      <c r="K388" s="434">
        <f>I388-J388</f>
        <v>8551467.5700000003</v>
      </c>
      <c r="L388" s="256">
        <v>4014</v>
      </c>
      <c r="N388" s="257"/>
      <c r="O388" s="9"/>
      <c r="P388" s="9"/>
    </row>
    <row r="389" spans="1:16">
      <c r="A389" s="260">
        <v>3001</v>
      </c>
      <c r="B389" s="252">
        <v>6225</v>
      </c>
      <c r="C389" s="253" t="s">
        <v>451</v>
      </c>
      <c r="D389" s="254" t="s">
        <v>511</v>
      </c>
      <c r="E389" s="255">
        <v>0</v>
      </c>
      <c r="F389" s="255">
        <v>0</v>
      </c>
      <c r="G389" s="255">
        <v>313000.02</v>
      </c>
      <c r="H389" s="403">
        <v>0</v>
      </c>
      <c r="I389" s="654">
        <v>313000.02</v>
      </c>
      <c r="J389" s="654">
        <v>0</v>
      </c>
      <c r="K389" s="434">
        <f>I389-J389</f>
        <v>313000.02</v>
      </c>
      <c r="L389" s="256">
        <v>4010</v>
      </c>
      <c r="N389" s="257"/>
      <c r="O389" s="9"/>
      <c r="P389" s="9"/>
    </row>
    <row r="390" spans="1:16">
      <c r="A390" s="260">
        <v>3001</v>
      </c>
      <c r="B390" s="252">
        <v>6226</v>
      </c>
      <c r="C390" s="253" t="s">
        <v>452</v>
      </c>
      <c r="D390" s="254" t="s">
        <v>511</v>
      </c>
      <c r="E390" s="255">
        <v>0</v>
      </c>
      <c r="F390" s="255">
        <v>0</v>
      </c>
      <c r="G390" s="255">
        <v>9365000</v>
      </c>
      <c r="H390" s="403">
        <v>0</v>
      </c>
      <c r="I390" s="654">
        <v>9365000</v>
      </c>
      <c r="J390" s="654">
        <v>0</v>
      </c>
      <c r="K390" s="434">
        <f>I390-J390</f>
        <v>9365000</v>
      </c>
      <c r="L390" s="256">
        <v>4015</v>
      </c>
      <c r="N390" s="257"/>
      <c r="O390" s="9"/>
      <c r="P390" s="9"/>
    </row>
    <row r="391" spans="1:16">
      <c r="A391" s="260">
        <v>3001</v>
      </c>
      <c r="B391" s="252">
        <v>624</v>
      </c>
      <c r="C391" s="253" t="s">
        <v>453</v>
      </c>
      <c r="D391" s="254" t="s">
        <v>511</v>
      </c>
      <c r="E391" s="255">
        <v>0</v>
      </c>
      <c r="F391" s="255">
        <v>0</v>
      </c>
      <c r="G391" s="255">
        <v>0</v>
      </c>
      <c r="H391" s="403">
        <v>0</v>
      </c>
      <c r="I391" s="654">
        <v>0</v>
      </c>
      <c r="J391" s="654">
        <v>0</v>
      </c>
      <c r="K391" s="434">
        <f t="shared" ref="K391:K454" si="6">I391-J391</f>
        <v>0</v>
      </c>
      <c r="L391" s="256">
        <v>4015</v>
      </c>
      <c r="N391" s="257"/>
      <c r="O391" s="9"/>
      <c r="P391" s="9"/>
    </row>
    <row r="392" spans="1:16">
      <c r="A392" s="260">
        <v>3001</v>
      </c>
      <c r="B392" s="252">
        <v>6241</v>
      </c>
      <c r="C392" s="253" t="s">
        <v>561</v>
      </c>
      <c r="D392" s="254" t="s">
        <v>511</v>
      </c>
      <c r="E392" s="255">
        <v>0</v>
      </c>
      <c r="F392" s="255">
        <v>0</v>
      </c>
      <c r="G392" s="255">
        <v>0</v>
      </c>
      <c r="H392" s="403">
        <v>0</v>
      </c>
      <c r="I392" s="654">
        <v>0</v>
      </c>
      <c r="J392" s="654">
        <v>0</v>
      </c>
      <c r="K392" s="434">
        <f t="shared" si="6"/>
        <v>0</v>
      </c>
      <c r="L392" s="256">
        <v>4015</v>
      </c>
      <c r="N392" s="257"/>
      <c r="O392" s="9"/>
      <c r="P392" s="9"/>
    </row>
    <row r="393" spans="1:16">
      <c r="A393" s="260">
        <v>3001</v>
      </c>
      <c r="B393" s="252">
        <v>6240</v>
      </c>
      <c r="C393" s="253" t="s">
        <v>454</v>
      </c>
      <c r="D393" s="254" t="s">
        <v>511</v>
      </c>
      <c r="E393" s="255">
        <v>0</v>
      </c>
      <c r="F393" s="255">
        <v>0</v>
      </c>
      <c r="G393" s="255">
        <v>1620000</v>
      </c>
      <c r="H393" s="403">
        <v>0</v>
      </c>
      <c r="I393" s="654">
        <v>1620000</v>
      </c>
      <c r="J393" s="654">
        <v>0</v>
      </c>
      <c r="K393" s="434">
        <f t="shared" si="6"/>
        <v>1620000</v>
      </c>
      <c r="L393" s="256">
        <v>4015</v>
      </c>
      <c r="N393" s="257"/>
      <c r="O393" s="9"/>
      <c r="P393" s="9"/>
    </row>
    <row r="394" spans="1:16">
      <c r="A394" s="260">
        <v>3001</v>
      </c>
      <c r="B394" s="252">
        <v>6242</v>
      </c>
      <c r="C394" s="253" t="s">
        <v>455</v>
      </c>
      <c r="D394" s="254" t="s">
        <v>511</v>
      </c>
      <c r="E394" s="255">
        <v>0</v>
      </c>
      <c r="F394" s="255">
        <v>0</v>
      </c>
      <c r="G394" s="255">
        <v>0</v>
      </c>
      <c r="H394" s="403">
        <v>0</v>
      </c>
      <c r="I394" s="654">
        <v>0</v>
      </c>
      <c r="J394" s="654">
        <v>0</v>
      </c>
      <c r="K394" s="434">
        <f t="shared" si="6"/>
        <v>0</v>
      </c>
      <c r="L394" s="256">
        <v>4015</v>
      </c>
      <c r="N394" s="257"/>
      <c r="O394" s="9"/>
      <c r="P394" s="9"/>
    </row>
    <row r="395" spans="1:16">
      <c r="A395" s="260">
        <v>3001</v>
      </c>
      <c r="B395" s="252">
        <v>625</v>
      </c>
      <c r="C395" s="253" t="s">
        <v>456</v>
      </c>
      <c r="D395" s="254" t="s">
        <v>511</v>
      </c>
      <c r="E395" s="255">
        <v>0</v>
      </c>
      <c r="F395" s="255">
        <v>0</v>
      </c>
      <c r="G395" s="255">
        <v>8829295.0606000014</v>
      </c>
      <c r="H395" s="403">
        <v>0</v>
      </c>
      <c r="I395" s="654">
        <v>8829295.0606000032</v>
      </c>
      <c r="J395" s="654">
        <v>0</v>
      </c>
      <c r="K395" s="434">
        <f t="shared" si="6"/>
        <v>8829295.0606000032</v>
      </c>
      <c r="L395" s="256">
        <v>4010</v>
      </c>
      <c r="N395" s="257"/>
      <c r="O395" s="9"/>
      <c r="P395" s="9"/>
    </row>
    <row r="396" spans="1:16">
      <c r="A396" s="260">
        <v>3001</v>
      </c>
      <c r="B396" s="252">
        <v>6260</v>
      </c>
      <c r="C396" s="253" t="s">
        <v>457</v>
      </c>
      <c r="D396" s="254" t="s">
        <v>511</v>
      </c>
      <c r="E396" s="255">
        <v>0</v>
      </c>
      <c r="F396" s="255">
        <v>0</v>
      </c>
      <c r="G396" s="255">
        <v>834702.74</v>
      </c>
      <c r="H396" s="403">
        <v>78881</v>
      </c>
      <c r="I396" s="654">
        <v>755821.74</v>
      </c>
      <c r="J396" s="654">
        <v>0</v>
      </c>
      <c r="K396" s="434">
        <f t="shared" si="6"/>
        <v>755821.74</v>
      </c>
      <c r="L396" s="256">
        <v>4016</v>
      </c>
      <c r="N396" s="257"/>
      <c r="O396" s="9"/>
      <c r="P396" s="9"/>
    </row>
    <row r="397" spans="1:16">
      <c r="A397" s="260">
        <v>3001</v>
      </c>
      <c r="B397" s="252">
        <v>6261</v>
      </c>
      <c r="C397" s="253" t="s">
        <v>458</v>
      </c>
      <c r="D397" s="254" t="s">
        <v>511</v>
      </c>
      <c r="E397" s="255">
        <v>0</v>
      </c>
      <c r="F397" s="255">
        <v>0</v>
      </c>
      <c r="G397" s="255">
        <v>21004842.879999999</v>
      </c>
      <c r="H397" s="403">
        <v>1808262</v>
      </c>
      <c r="I397" s="654">
        <v>19196580.879999999</v>
      </c>
      <c r="J397" s="654">
        <v>0</v>
      </c>
      <c r="K397" s="434">
        <f t="shared" si="6"/>
        <v>19196580.879999999</v>
      </c>
      <c r="L397" s="256">
        <v>4016</v>
      </c>
      <c r="N397" s="257"/>
      <c r="O397" s="9"/>
      <c r="P397" s="9"/>
    </row>
    <row r="398" spans="1:16">
      <c r="A398" s="260">
        <v>3001</v>
      </c>
      <c r="B398" s="252">
        <v>6262</v>
      </c>
      <c r="C398" s="253" t="s">
        <v>459</v>
      </c>
      <c r="D398" s="254" t="s">
        <v>511</v>
      </c>
      <c r="E398" s="255">
        <v>0</v>
      </c>
      <c r="F398" s="255">
        <v>0</v>
      </c>
      <c r="G398" s="255">
        <v>6307739.9900000002</v>
      </c>
      <c r="H398" s="403">
        <v>0</v>
      </c>
      <c r="I398" s="654">
        <v>6307739.9900000002</v>
      </c>
      <c r="J398" s="654">
        <v>0</v>
      </c>
      <c r="K398" s="434">
        <f t="shared" si="6"/>
        <v>6307739.9900000002</v>
      </c>
      <c r="L398" s="256">
        <v>4016</v>
      </c>
      <c r="N398" s="257"/>
      <c r="O398" s="9"/>
      <c r="P398" s="9"/>
    </row>
    <row r="399" spans="1:16">
      <c r="A399" s="260">
        <v>3001</v>
      </c>
      <c r="B399" s="252">
        <v>6263</v>
      </c>
      <c r="C399" s="253" t="s">
        <v>460</v>
      </c>
      <c r="D399" s="254" t="s">
        <v>511</v>
      </c>
      <c r="E399" s="255">
        <v>0</v>
      </c>
      <c r="F399" s="255">
        <v>0</v>
      </c>
      <c r="G399" s="255">
        <v>3384954.3247999996</v>
      </c>
      <c r="H399" s="403">
        <v>200</v>
      </c>
      <c r="I399" s="654">
        <v>3384754.3247999996</v>
      </c>
      <c r="J399" s="654">
        <v>0</v>
      </c>
      <c r="K399" s="434">
        <f t="shared" si="6"/>
        <v>3384754.3247999996</v>
      </c>
      <c r="L399" s="256">
        <v>4016</v>
      </c>
      <c r="N399" s="257"/>
      <c r="O399" s="9"/>
      <c r="P399" s="9"/>
    </row>
    <row r="400" spans="1:16">
      <c r="A400" s="260">
        <v>3001</v>
      </c>
      <c r="B400" s="252">
        <v>62630</v>
      </c>
      <c r="C400" s="253" t="s">
        <v>461</v>
      </c>
      <c r="D400" s="254" t="s">
        <v>511</v>
      </c>
      <c r="E400" s="255">
        <v>0</v>
      </c>
      <c r="F400" s="255">
        <v>0</v>
      </c>
      <c r="G400" s="255">
        <v>27978.886599999998</v>
      </c>
      <c r="H400" s="403">
        <v>0</v>
      </c>
      <c r="I400" s="654">
        <v>27978.886599999998</v>
      </c>
      <c r="J400" s="654">
        <v>0</v>
      </c>
      <c r="K400" s="434">
        <f t="shared" si="6"/>
        <v>27978.886599999998</v>
      </c>
      <c r="L400" s="256">
        <v>4010</v>
      </c>
      <c r="N400" s="257"/>
      <c r="O400" s="9"/>
      <c r="P400" s="9"/>
    </row>
    <row r="401" spans="1:16">
      <c r="A401" s="260">
        <v>3001</v>
      </c>
      <c r="B401" s="252">
        <v>6264</v>
      </c>
      <c r="C401" s="253" t="s">
        <v>462</v>
      </c>
      <c r="D401" s="254" t="s">
        <v>511</v>
      </c>
      <c r="E401" s="255">
        <v>0</v>
      </c>
      <c r="F401" s="255">
        <v>0</v>
      </c>
      <c r="G401" s="255">
        <v>0</v>
      </c>
      <c r="H401" s="403">
        <v>0</v>
      </c>
      <c r="I401" s="654">
        <v>0</v>
      </c>
      <c r="J401" s="654">
        <v>0</v>
      </c>
      <c r="K401" s="434">
        <f t="shared" si="6"/>
        <v>0</v>
      </c>
      <c r="L401" s="256">
        <v>4010</v>
      </c>
      <c r="N401" s="257"/>
      <c r="O401" s="9"/>
      <c r="P401" s="9"/>
    </row>
    <row r="402" spans="1:16">
      <c r="A402" s="260">
        <v>3001</v>
      </c>
      <c r="B402" s="252">
        <v>627</v>
      </c>
      <c r="C402" s="253" t="s">
        <v>463</v>
      </c>
      <c r="D402" s="254" t="s">
        <v>511</v>
      </c>
      <c r="E402" s="255">
        <v>0</v>
      </c>
      <c r="F402" s="255">
        <v>0</v>
      </c>
      <c r="G402" s="255">
        <v>0</v>
      </c>
      <c r="H402" s="403">
        <v>0</v>
      </c>
      <c r="I402" s="654">
        <v>0</v>
      </c>
      <c r="J402" s="654">
        <v>0</v>
      </c>
      <c r="K402" s="434">
        <f t="shared" si="6"/>
        <v>0</v>
      </c>
      <c r="L402" s="256">
        <v>4017</v>
      </c>
      <c r="N402" s="257"/>
      <c r="O402" s="9"/>
      <c r="P402" s="9"/>
    </row>
    <row r="403" spans="1:16">
      <c r="A403" s="260">
        <v>3001</v>
      </c>
      <c r="B403" s="252">
        <v>6271</v>
      </c>
      <c r="C403" s="253" t="s">
        <v>464</v>
      </c>
      <c r="D403" s="254" t="s">
        <v>511</v>
      </c>
      <c r="E403" s="255">
        <v>0</v>
      </c>
      <c r="F403" s="255">
        <v>0</v>
      </c>
      <c r="G403" s="255">
        <v>603685.98719999997</v>
      </c>
      <c r="H403" s="403">
        <v>354697</v>
      </c>
      <c r="I403" s="654">
        <v>248988.98719999997</v>
      </c>
      <c r="J403" s="654">
        <v>0</v>
      </c>
      <c r="K403" s="434">
        <f t="shared" si="6"/>
        <v>248988.98719999997</v>
      </c>
      <c r="L403" s="256">
        <v>4017</v>
      </c>
      <c r="N403" s="257"/>
      <c r="O403" s="9"/>
      <c r="P403" s="9"/>
    </row>
    <row r="404" spans="1:16">
      <c r="A404" s="260">
        <v>3001</v>
      </c>
      <c r="B404" s="252">
        <v>6273</v>
      </c>
      <c r="C404" s="253" t="s">
        <v>465</v>
      </c>
      <c r="D404" s="254" t="s">
        <v>511</v>
      </c>
      <c r="E404" s="255">
        <v>0</v>
      </c>
      <c r="F404" s="255">
        <v>0</v>
      </c>
      <c r="G404" s="255">
        <v>6408814.1745000007</v>
      </c>
      <c r="H404" s="403">
        <v>0</v>
      </c>
      <c r="I404" s="654">
        <v>6408814.1745000016</v>
      </c>
      <c r="J404" s="654">
        <v>0</v>
      </c>
      <c r="K404" s="434">
        <f t="shared" si="6"/>
        <v>6408814.1745000016</v>
      </c>
      <c r="L404" s="256">
        <v>4017</v>
      </c>
      <c r="N404" s="257"/>
      <c r="O404" s="9"/>
      <c r="P404" s="9"/>
    </row>
    <row r="405" spans="1:16">
      <c r="A405" s="260">
        <v>3001</v>
      </c>
      <c r="B405" s="252">
        <v>6276</v>
      </c>
      <c r="C405" s="253" t="s">
        <v>466</v>
      </c>
      <c r="D405" s="254" t="s">
        <v>511</v>
      </c>
      <c r="E405" s="255">
        <v>0</v>
      </c>
      <c r="F405" s="255">
        <v>0</v>
      </c>
      <c r="G405" s="255">
        <v>0</v>
      </c>
      <c r="H405" s="403">
        <v>0</v>
      </c>
      <c r="I405" s="654">
        <v>0</v>
      </c>
      <c r="J405" s="654">
        <v>0</v>
      </c>
      <c r="K405" s="434">
        <f t="shared" si="6"/>
        <v>0</v>
      </c>
      <c r="L405" s="256">
        <v>4017</v>
      </c>
      <c r="N405" s="257"/>
      <c r="O405" s="9"/>
      <c r="P405" s="9"/>
    </row>
    <row r="406" spans="1:16">
      <c r="A406" s="260">
        <v>3009</v>
      </c>
      <c r="B406" s="252">
        <v>628</v>
      </c>
      <c r="C406" s="253" t="s">
        <v>467</v>
      </c>
      <c r="D406" s="254" t="s">
        <v>511</v>
      </c>
      <c r="E406" s="255">
        <v>0</v>
      </c>
      <c r="F406" s="255">
        <v>0</v>
      </c>
      <c r="G406" s="255">
        <v>0</v>
      </c>
      <c r="H406" s="403">
        <v>0</v>
      </c>
      <c r="I406" s="654">
        <v>0</v>
      </c>
      <c r="J406" s="654">
        <v>0</v>
      </c>
      <c r="K406" s="434">
        <f t="shared" si="6"/>
        <v>0</v>
      </c>
      <c r="L406" s="256">
        <v>4018</v>
      </c>
      <c r="N406" s="257"/>
      <c r="O406" s="9"/>
      <c r="P406" s="9"/>
    </row>
    <row r="407" spans="1:16">
      <c r="A407" s="260">
        <v>3009</v>
      </c>
      <c r="B407" s="252">
        <v>6280</v>
      </c>
      <c r="C407" s="253" t="s">
        <v>468</v>
      </c>
      <c r="D407" s="254" t="s">
        <v>511</v>
      </c>
      <c r="E407" s="255">
        <v>0</v>
      </c>
      <c r="F407" s="255">
        <v>0</v>
      </c>
      <c r="G407" s="255">
        <v>3539336.7333000032</v>
      </c>
      <c r="H407" s="403">
        <v>77162.478399999993</v>
      </c>
      <c r="I407" s="654">
        <v>3462174.2549000038</v>
      </c>
      <c r="J407" s="654">
        <v>0</v>
      </c>
      <c r="K407" s="434">
        <f t="shared" si="6"/>
        <v>3462174.2549000038</v>
      </c>
      <c r="L407" s="256">
        <v>4018</v>
      </c>
      <c r="N407" s="257"/>
      <c r="O407" s="9"/>
      <c r="P407" s="9"/>
    </row>
    <row r="408" spans="1:16">
      <c r="A408" s="260">
        <v>3009</v>
      </c>
      <c r="B408" s="252">
        <v>632</v>
      </c>
      <c r="C408" s="253" t="s">
        <v>469</v>
      </c>
      <c r="D408" s="254" t="s">
        <v>511</v>
      </c>
      <c r="E408" s="255">
        <v>0</v>
      </c>
      <c r="F408" s="255">
        <v>0</v>
      </c>
      <c r="G408" s="255">
        <v>788148.32499999995</v>
      </c>
      <c r="H408" s="403">
        <v>718535.37</v>
      </c>
      <c r="I408" s="654">
        <v>69612.955000000002</v>
      </c>
      <c r="J408" s="654">
        <v>0</v>
      </c>
      <c r="K408" s="434">
        <f t="shared" si="6"/>
        <v>69612.955000000002</v>
      </c>
      <c r="L408" s="256">
        <v>5003</v>
      </c>
      <c r="N408" s="257"/>
      <c r="O408" s="9"/>
      <c r="P408" s="9"/>
    </row>
    <row r="409" spans="1:16">
      <c r="A409" s="260">
        <v>3009</v>
      </c>
      <c r="B409" s="252">
        <v>633</v>
      </c>
      <c r="C409" s="253" t="s">
        <v>527</v>
      </c>
      <c r="D409" s="254" t="s">
        <v>511</v>
      </c>
      <c r="E409" s="255">
        <v>0</v>
      </c>
      <c r="F409" s="255">
        <v>0</v>
      </c>
      <c r="G409" s="255">
        <v>0</v>
      </c>
      <c r="H409" s="403">
        <v>0</v>
      </c>
      <c r="I409" s="654">
        <v>0</v>
      </c>
      <c r="J409" s="654">
        <v>0</v>
      </c>
      <c r="K409" s="434">
        <f t="shared" si="6"/>
        <v>0</v>
      </c>
      <c r="L409" s="256">
        <v>5003</v>
      </c>
      <c r="N409" s="257"/>
      <c r="O409" s="9"/>
      <c r="P409" s="9"/>
    </row>
    <row r="410" spans="1:16">
      <c r="A410" s="260">
        <v>3009</v>
      </c>
      <c r="B410" s="252">
        <v>6341</v>
      </c>
      <c r="C410" s="253" t="s">
        <v>470</v>
      </c>
      <c r="D410" s="254" t="s">
        <v>511</v>
      </c>
      <c r="E410" s="255">
        <v>0</v>
      </c>
      <c r="F410" s="255">
        <v>0</v>
      </c>
      <c r="G410" s="255">
        <v>740780</v>
      </c>
      <c r="H410" s="403">
        <v>0</v>
      </c>
      <c r="I410" s="654">
        <v>740780</v>
      </c>
      <c r="J410" s="654">
        <v>0</v>
      </c>
      <c r="K410" s="434">
        <f t="shared" si="6"/>
        <v>740780</v>
      </c>
      <c r="L410" s="256">
        <v>5003</v>
      </c>
      <c r="N410" s="257"/>
      <c r="O410" s="9"/>
      <c r="P410" s="9"/>
    </row>
    <row r="411" spans="1:16">
      <c r="A411" s="260">
        <v>3009</v>
      </c>
      <c r="B411" s="252">
        <v>634</v>
      </c>
      <c r="C411" s="253" t="s">
        <v>470</v>
      </c>
      <c r="D411" s="254" t="s">
        <v>511</v>
      </c>
      <c r="E411" s="255">
        <v>0</v>
      </c>
      <c r="F411" s="255">
        <v>0</v>
      </c>
      <c r="G411" s="255">
        <v>0</v>
      </c>
      <c r="H411" s="403">
        <v>0</v>
      </c>
      <c r="I411" s="654">
        <v>0</v>
      </c>
      <c r="J411" s="654">
        <v>0</v>
      </c>
      <c r="K411" s="434">
        <f t="shared" si="6"/>
        <v>0</v>
      </c>
      <c r="L411" s="256">
        <v>5003</v>
      </c>
      <c r="N411" s="257"/>
      <c r="O411" s="9"/>
      <c r="P411" s="9"/>
    </row>
    <row r="412" spans="1:16">
      <c r="A412" s="260">
        <v>3009</v>
      </c>
      <c r="B412" s="252">
        <v>635</v>
      </c>
      <c r="C412" s="253" t="s">
        <v>471</v>
      </c>
      <c r="D412" s="254" t="s">
        <v>511</v>
      </c>
      <c r="E412" s="255">
        <v>0</v>
      </c>
      <c r="F412" s="255">
        <v>0</v>
      </c>
      <c r="G412" s="255">
        <v>642000</v>
      </c>
      <c r="H412" s="403">
        <v>0</v>
      </c>
      <c r="I412" s="654">
        <v>642000</v>
      </c>
      <c r="J412" s="654">
        <v>0</v>
      </c>
      <c r="K412" s="434">
        <f t="shared" si="6"/>
        <v>642000</v>
      </c>
      <c r="L412" s="256">
        <v>5003</v>
      </c>
      <c r="N412" s="257"/>
      <c r="O412" s="9"/>
      <c r="P412" s="9"/>
    </row>
    <row r="413" spans="1:16">
      <c r="A413" s="260">
        <v>3009</v>
      </c>
      <c r="B413" s="252">
        <v>638</v>
      </c>
      <c r="C413" s="253" t="s">
        <v>472</v>
      </c>
      <c r="D413" s="254" t="s">
        <v>511</v>
      </c>
      <c r="E413" s="255">
        <v>0</v>
      </c>
      <c r="F413" s="255">
        <v>0</v>
      </c>
      <c r="G413" s="255">
        <v>6854000</v>
      </c>
      <c r="H413" s="403">
        <v>0</v>
      </c>
      <c r="I413" s="654">
        <v>6854000</v>
      </c>
      <c r="J413" s="654">
        <v>0</v>
      </c>
      <c r="K413" s="434">
        <f t="shared" si="6"/>
        <v>6854000</v>
      </c>
      <c r="L413" s="256">
        <v>5003</v>
      </c>
      <c r="N413" s="257"/>
      <c r="O413" s="9"/>
      <c r="P413" s="9"/>
    </row>
    <row r="414" spans="1:16">
      <c r="A414" s="260">
        <v>3009</v>
      </c>
      <c r="B414" s="252">
        <v>6380</v>
      </c>
      <c r="C414" s="253" t="s">
        <v>562</v>
      </c>
      <c r="D414" s="254" t="s">
        <v>511</v>
      </c>
      <c r="E414" s="255">
        <v>0</v>
      </c>
      <c r="F414" s="255">
        <v>0</v>
      </c>
      <c r="G414" s="255">
        <v>21000</v>
      </c>
      <c r="H414" s="403">
        <v>100</v>
      </c>
      <c r="I414" s="654">
        <v>20900</v>
      </c>
      <c r="J414" s="654">
        <v>0</v>
      </c>
      <c r="K414" s="434">
        <f t="shared" si="6"/>
        <v>20900</v>
      </c>
      <c r="L414" s="256">
        <v>5003</v>
      </c>
      <c r="N414" s="257"/>
      <c r="O414" s="9"/>
      <c r="P414" s="9"/>
    </row>
    <row r="415" spans="1:16">
      <c r="A415" s="260">
        <v>3009</v>
      </c>
      <c r="B415" s="252">
        <v>6382</v>
      </c>
      <c r="C415" s="253" t="s">
        <v>473</v>
      </c>
      <c r="D415" s="254" t="s">
        <v>511</v>
      </c>
      <c r="E415" s="255">
        <v>0</v>
      </c>
      <c r="F415" s="255">
        <v>0</v>
      </c>
      <c r="G415" s="255">
        <v>507837</v>
      </c>
      <c r="H415" s="403">
        <v>0</v>
      </c>
      <c r="I415" s="654">
        <v>507837</v>
      </c>
      <c r="J415" s="654">
        <v>0</v>
      </c>
      <c r="K415" s="434">
        <f t="shared" si="6"/>
        <v>507837</v>
      </c>
      <c r="L415" s="256">
        <v>5003</v>
      </c>
      <c r="N415" s="257"/>
      <c r="O415" s="9"/>
      <c r="P415" s="9"/>
    </row>
    <row r="416" spans="1:16">
      <c r="A416" s="260">
        <v>3003</v>
      </c>
      <c r="B416" s="252">
        <v>64101</v>
      </c>
      <c r="C416" s="253" t="s">
        <v>474</v>
      </c>
      <c r="D416" s="254" t="s">
        <v>511</v>
      </c>
      <c r="E416" s="255">
        <v>0</v>
      </c>
      <c r="F416" s="255">
        <v>0</v>
      </c>
      <c r="G416" s="255">
        <v>601598643</v>
      </c>
      <c r="H416" s="403">
        <v>0</v>
      </c>
      <c r="I416" s="654">
        <v>601598643</v>
      </c>
      <c r="J416" s="654">
        <v>0</v>
      </c>
      <c r="K416" s="434">
        <f t="shared" si="6"/>
        <v>601598643</v>
      </c>
      <c r="L416" s="256">
        <v>4020</v>
      </c>
      <c r="N416" s="257"/>
      <c r="O416" s="9"/>
      <c r="P416" s="9"/>
    </row>
    <row r="417" spans="1:16">
      <c r="A417" s="260">
        <v>3004</v>
      </c>
      <c r="B417" s="252">
        <v>64401</v>
      </c>
      <c r="C417" s="253" t="s">
        <v>475</v>
      </c>
      <c r="D417" s="254" t="s">
        <v>511</v>
      </c>
      <c r="E417" s="255">
        <v>0</v>
      </c>
      <c r="F417" s="255">
        <v>0</v>
      </c>
      <c r="G417" s="255">
        <v>68842362.5</v>
      </c>
      <c r="H417" s="403">
        <v>0</v>
      </c>
      <c r="I417" s="654">
        <v>68842362.5</v>
      </c>
      <c r="J417" s="654">
        <v>0</v>
      </c>
      <c r="K417" s="434">
        <f t="shared" si="6"/>
        <v>68842362.5</v>
      </c>
      <c r="L417" s="256">
        <v>4021</v>
      </c>
      <c r="N417" s="257"/>
      <c r="O417" s="9"/>
      <c r="P417" s="9"/>
    </row>
    <row r="418" spans="1:16">
      <c r="A418" s="260">
        <v>3005</v>
      </c>
      <c r="B418" s="252">
        <v>648</v>
      </c>
      <c r="C418" s="253" t="s">
        <v>476</v>
      </c>
      <c r="D418" s="254" t="s">
        <v>511</v>
      </c>
      <c r="E418" s="255">
        <v>0</v>
      </c>
      <c r="F418" s="255">
        <v>0</v>
      </c>
      <c r="G418" s="255">
        <v>578000</v>
      </c>
      <c r="H418" s="403">
        <v>0</v>
      </c>
      <c r="I418" s="654">
        <v>578000</v>
      </c>
      <c r="J418" s="654">
        <v>0</v>
      </c>
      <c r="K418" s="434">
        <f t="shared" si="6"/>
        <v>578000</v>
      </c>
      <c r="L418" s="256">
        <v>5005</v>
      </c>
      <c r="N418" s="257"/>
      <c r="O418" s="9"/>
      <c r="P418" s="9"/>
    </row>
    <row r="419" spans="1:16">
      <c r="A419" s="260">
        <v>3003</v>
      </c>
      <c r="B419" s="252">
        <v>6480</v>
      </c>
      <c r="C419" s="253" t="s">
        <v>477</v>
      </c>
      <c r="D419" s="254" t="s">
        <v>511</v>
      </c>
      <c r="E419" s="255">
        <v>0</v>
      </c>
      <c r="F419" s="255">
        <v>0</v>
      </c>
      <c r="G419" s="255">
        <v>0</v>
      </c>
      <c r="H419" s="403">
        <v>0</v>
      </c>
      <c r="I419" s="654">
        <v>0</v>
      </c>
      <c r="J419" s="654">
        <v>0</v>
      </c>
      <c r="K419" s="434">
        <f t="shared" si="6"/>
        <v>0</v>
      </c>
      <c r="L419" s="256">
        <v>4020</v>
      </c>
      <c r="N419" s="257"/>
      <c r="O419" s="9"/>
      <c r="P419" s="9"/>
    </row>
    <row r="420" spans="1:16">
      <c r="A420" s="260">
        <v>3009</v>
      </c>
      <c r="B420" s="252">
        <v>6481</v>
      </c>
      <c r="C420" s="253" t="s">
        <v>478</v>
      </c>
      <c r="D420" s="254" t="s">
        <v>511</v>
      </c>
      <c r="E420" s="255">
        <v>0</v>
      </c>
      <c r="F420" s="255">
        <v>0</v>
      </c>
      <c r="G420" s="255">
        <v>1754283.2</v>
      </c>
      <c r="H420" s="403">
        <v>0</v>
      </c>
      <c r="I420" s="654">
        <v>1754283.2</v>
      </c>
      <c r="J420" s="654">
        <v>0</v>
      </c>
      <c r="K420" s="434">
        <f t="shared" si="6"/>
        <v>1754283.2</v>
      </c>
      <c r="L420" s="256">
        <v>5005</v>
      </c>
      <c r="N420" s="257"/>
      <c r="O420" s="9"/>
      <c r="P420" s="9"/>
    </row>
    <row r="421" spans="1:16">
      <c r="A421" s="260">
        <v>3009</v>
      </c>
      <c r="B421" s="252">
        <v>6482</v>
      </c>
      <c r="C421" s="253" t="s">
        <v>563</v>
      </c>
      <c r="D421" s="254" t="s">
        <v>511</v>
      </c>
      <c r="E421" s="255">
        <v>0</v>
      </c>
      <c r="F421" s="255">
        <v>0</v>
      </c>
      <c r="G421" s="255">
        <v>331912</v>
      </c>
      <c r="H421" s="403">
        <v>0</v>
      </c>
      <c r="I421" s="654">
        <v>331912</v>
      </c>
      <c r="J421" s="654">
        <v>0</v>
      </c>
      <c r="K421" s="434">
        <f t="shared" si="6"/>
        <v>331912</v>
      </c>
      <c r="L421" s="256">
        <v>5005</v>
      </c>
      <c r="N421" s="257"/>
      <c r="O421" s="9"/>
      <c r="P421" s="9"/>
    </row>
    <row r="422" spans="1:16">
      <c r="A422" s="260">
        <v>3009</v>
      </c>
      <c r="B422" s="252">
        <v>654</v>
      </c>
      <c r="C422" s="253" t="s">
        <v>479</v>
      </c>
      <c r="D422" s="254" t="s">
        <v>511</v>
      </c>
      <c r="E422" s="255">
        <v>0</v>
      </c>
      <c r="F422" s="255">
        <v>0</v>
      </c>
      <c r="G422" s="255">
        <v>6612611.3496000003</v>
      </c>
      <c r="H422" s="403">
        <v>1567600</v>
      </c>
      <c r="I422" s="654">
        <v>5045011.3496000003</v>
      </c>
      <c r="J422" s="654">
        <v>0</v>
      </c>
      <c r="K422" s="434">
        <f t="shared" si="6"/>
        <v>5045011.3496000003</v>
      </c>
      <c r="L422" s="256">
        <v>5005</v>
      </c>
      <c r="N422" s="257"/>
      <c r="O422" s="9"/>
      <c r="P422" s="9"/>
    </row>
    <row r="423" spans="1:16">
      <c r="A423" s="260">
        <v>3009</v>
      </c>
      <c r="B423" s="252">
        <v>6540</v>
      </c>
      <c r="C423" s="253" t="s">
        <v>1034</v>
      </c>
      <c r="D423" s="254" t="s">
        <v>511</v>
      </c>
      <c r="E423" s="255">
        <v>0</v>
      </c>
      <c r="F423" s="255">
        <v>0</v>
      </c>
      <c r="G423" s="255">
        <v>3793060.46</v>
      </c>
      <c r="H423" s="403">
        <v>0</v>
      </c>
      <c r="I423" s="654">
        <v>3793060.46</v>
      </c>
      <c r="J423" s="654">
        <v>0</v>
      </c>
      <c r="K423" s="434">
        <f t="shared" si="6"/>
        <v>3793060.46</v>
      </c>
      <c r="L423" s="256">
        <v>5005</v>
      </c>
      <c r="N423" s="257"/>
      <c r="O423" s="9"/>
      <c r="P423" s="9"/>
    </row>
    <row r="424" spans="1:16">
      <c r="A424" s="260">
        <v>3009</v>
      </c>
      <c r="B424" s="252">
        <v>6541</v>
      </c>
      <c r="C424" s="253" t="s">
        <v>564</v>
      </c>
      <c r="D424" s="254" t="s">
        <v>511</v>
      </c>
      <c r="E424" s="255">
        <v>0</v>
      </c>
      <c r="F424" s="255">
        <v>0</v>
      </c>
      <c r="G424" s="255">
        <v>0</v>
      </c>
      <c r="H424" s="403">
        <v>0</v>
      </c>
      <c r="I424" s="654">
        <v>0</v>
      </c>
      <c r="J424" s="654">
        <v>0</v>
      </c>
      <c r="K424" s="434">
        <f t="shared" si="6"/>
        <v>0</v>
      </c>
      <c r="L424" s="256">
        <v>5005</v>
      </c>
      <c r="N424" s="257"/>
      <c r="O424" s="9"/>
      <c r="P424" s="9"/>
    </row>
    <row r="425" spans="1:16">
      <c r="A425" s="260">
        <v>3009</v>
      </c>
      <c r="B425" s="252">
        <v>6543</v>
      </c>
      <c r="C425" s="253" t="s">
        <v>565</v>
      </c>
      <c r="D425" s="254" t="s">
        <v>511</v>
      </c>
      <c r="E425" s="255">
        <v>0</v>
      </c>
      <c r="F425" s="255">
        <v>0</v>
      </c>
      <c r="G425" s="255">
        <v>0</v>
      </c>
      <c r="H425" s="403">
        <v>0</v>
      </c>
      <c r="I425" s="654">
        <v>0</v>
      </c>
      <c r="J425" s="654">
        <v>0</v>
      </c>
      <c r="K425" s="434">
        <f t="shared" si="6"/>
        <v>0</v>
      </c>
      <c r="L425" s="256">
        <v>5005</v>
      </c>
      <c r="N425" s="257"/>
      <c r="O425" s="9"/>
      <c r="P425" s="9"/>
    </row>
    <row r="426" spans="1:16">
      <c r="A426" s="260">
        <v>3009</v>
      </c>
      <c r="B426" s="252">
        <v>657</v>
      </c>
      <c r="C426" s="253" t="s">
        <v>481</v>
      </c>
      <c r="D426" s="254" t="s">
        <v>511</v>
      </c>
      <c r="E426" s="255">
        <v>0</v>
      </c>
      <c r="F426" s="255">
        <v>0</v>
      </c>
      <c r="G426" s="255">
        <v>5934.1079</v>
      </c>
      <c r="H426" s="403">
        <v>0</v>
      </c>
      <c r="I426" s="654">
        <v>5934.1079</v>
      </c>
      <c r="J426" s="654">
        <v>0</v>
      </c>
      <c r="K426" s="434">
        <f t="shared" si="6"/>
        <v>5934.1079</v>
      </c>
      <c r="L426" s="256">
        <v>5004</v>
      </c>
      <c r="N426" s="257"/>
      <c r="O426" s="9"/>
      <c r="P426" s="9"/>
    </row>
    <row r="427" spans="1:16">
      <c r="A427" s="260">
        <v>3009</v>
      </c>
      <c r="B427" s="252">
        <v>6570</v>
      </c>
      <c r="C427" s="253" t="s">
        <v>566</v>
      </c>
      <c r="D427" s="254" t="s">
        <v>511</v>
      </c>
      <c r="E427" s="255">
        <v>0</v>
      </c>
      <c r="F427" s="255">
        <v>0</v>
      </c>
      <c r="G427" s="255">
        <v>0</v>
      </c>
      <c r="H427" s="403">
        <v>0</v>
      </c>
      <c r="I427" s="654">
        <v>0</v>
      </c>
      <c r="J427" s="654">
        <v>0</v>
      </c>
      <c r="K427" s="434">
        <f t="shared" si="6"/>
        <v>0</v>
      </c>
      <c r="L427" s="256">
        <v>5004</v>
      </c>
      <c r="N427" s="257"/>
      <c r="O427" s="9"/>
      <c r="P427" s="9"/>
    </row>
    <row r="428" spans="1:16">
      <c r="A428" s="260">
        <v>3009</v>
      </c>
      <c r="B428" s="252">
        <v>6601</v>
      </c>
      <c r="C428" s="253" t="s">
        <v>567</v>
      </c>
      <c r="D428" s="254" t="s">
        <v>511</v>
      </c>
      <c r="E428" s="255">
        <v>0</v>
      </c>
      <c r="F428" s="255">
        <v>0</v>
      </c>
      <c r="G428" s="255">
        <v>4897200</v>
      </c>
      <c r="H428" s="403">
        <v>0</v>
      </c>
      <c r="I428" s="654">
        <v>4897200</v>
      </c>
      <c r="J428" s="654">
        <v>0</v>
      </c>
      <c r="K428" s="434">
        <f t="shared" si="6"/>
        <v>4897200</v>
      </c>
      <c r="L428" s="256">
        <v>4018</v>
      </c>
      <c r="N428" s="257"/>
      <c r="O428" s="9"/>
      <c r="P428" s="9"/>
    </row>
    <row r="429" spans="1:16">
      <c r="A429" s="260">
        <v>3007</v>
      </c>
      <c r="B429" s="252">
        <v>6670</v>
      </c>
      <c r="C429" s="253" t="s">
        <v>568</v>
      </c>
      <c r="D429" s="254" t="s">
        <v>511</v>
      </c>
      <c r="E429" s="255">
        <v>0</v>
      </c>
      <c r="F429" s="255">
        <v>0</v>
      </c>
      <c r="G429" s="255">
        <v>13520344.095200002</v>
      </c>
      <c r="H429" s="403">
        <v>0</v>
      </c>
      <c r="I429" s="654">
        <v>13520344.095200002</v>
      </c>
      <c r="J429" s="654">
        <v>0</v>
      </c>
      <c r="K429" s="434">
        <f t="shared" si="6"/>
        <v>13520344.095200002</v>
      </c>
      <c r="L429" s="256">
        <v>5007</v>
      </c>
      <c r="N429" s="257"/>
      <c r="O429" s="9"/>
      <c r="P429" s="9"/>
    </row>
    <row r="430" spans="1:16">
      <c r="A430" s="260">
        <v>3009</v>
      </c>
      <c r="B430" s="252">
        <v>658</v>
      </c>
      <c r="C430" s="253" t="s">
        <v>482</v>
      </c>
      <c r="D430" s="254" t="s">
        <v>511</v>
      </c>
      <c r="E430" s="255">
        <v>0</v>
      </c>
      <c r="F430" s="255">
        <v>0</v>
      </c>
      <c r="G430" s="255">
        <v>0</v>
      </c>
      <c r="H430" s="403">
        <v>0</v>
      </c>
      <c r="I430" s="654">
        <v>0</v>
      </c>
      <c r="J430" s="654">
        <v>0</v>
      </c>
      <c r="K430" s="434">
        <f t="shared" si="6"/>
        <v>0</v>
      </c>
      <c r="L430" s="256">
        <v>5005</v>
      </c>
      <c r="N430" s="257"/>
      <c r="O430" s="9"/>
      <c r="P430" s="9"/>
    </row>
    <row r="431" spans="1:16">
      <c r="A431" s="260">
        <v>3007</v>
      </c>
      <c r="B431" s="252">
        <v>667</v>
      </c>
      <c r="C431" s="253" t="s">
        <v>121</v>
      </c>
      <c r="D431" s="254" t="s">
        <v>511</v>
      </c>
      <c r="E431" s="255">
        <v>0</v>
      </c>
      <c r="F431" s="255">
        <v>0</v>
      </c>
      <c r="G431" s="255">
        <v>0</v>
      </c>
      <c r="H431" s="403">
        <v>0</v>
      </c>
      <c r="I431" s="654">
        <v>0</v>
      </c>
      <c r="J431" s="654">
        <v>0</v>
      </c>
      <c r="K431" s="434">
        <f t="shared" si="6"/>
        <v>0</v>
      </c>
      <c r="L431" s="256">
        <v>5007</v>
      </c>
      <c r="N431" s="257"/>
      <c r="O431" s="9"/>
      <c r="P431" s="9"/>
    </row>
    <row r="432" spans="1:16">
      <c r="A432" s="260">
        <v>3007</v>
      </c>
      <c r="B432" s="252">
        <v>6672</v>
      </c>
      <c r="C432" s="253" t="s">
        <v>483</v>
      </c>
      <c r="D432" s="254" t="s">
        <v>512</v>
      </c>
      <c r="E432" s="255">
        <v>0</v>
      </c>
      <c r="F432" s="255">
        <v>0</v>
      </c>
      <c r="G432" s="255">
        <v>80480.515599999999</v>
      </c>
      <c r="H432" s="403">
        <v>0</v>
      </c>
      <c r="I432" s="654">
        <v>80480.515600000013</v>
      </c>
      <c r="J432" s="654">
        <v>0</v>
      </c>
      <c r="K432" s="434">
        <f t="shared" si="6"/>
        <v>80480.515600000013</v>
      </c>
      <c r="L432" s="256">
        <v>5007</v>
      </c>
      <c r="N432" s="257"/>
      <c r="O432" s="9"/>
      <c r="P432" s="9"/>
    </row>
    <row r="433" spans="1:16">
      <c r="A433" s="260">
        <v>3007</v>
      </c>
      <c r="B433" s="252">
        <v>6674</v>
      </c>
      <c r="C433" s="253" t="s">
        <v>484</v>
      </c>
      <c r="D433" s="254" t="s">
        <v>511</v>
      </c>
      <c r="E433" s="255">
        <v>0</v>
      </c>
      <c r="F433" s="255">
        <v>0</v>
      </c>
      <c r="G433" s="255">
        <v>81089.2</v>
      </c>
      <c r="H433" s="403">
        <v>0</v>
      </c>
      <c r="I433" s="654">
        <v>81089.2</v>
      </c>
      <c r="J433" s="654">
        <v>0</v>
      </c>
      <c r="K433" s="434">
        <f t="shared" si="6"/>
        <v>81089.2</v>
      </c>
      <c r="L433" s="256">
        <v>5007</v>
      </c>
      <c r="N433" s="257"/>
      <c r="O433" s="9"/>
      <c r="P433" s="9"/>
    </row>
    <row r="434" spans="1:16">
      <c r="A434" s="260">
        <v>3007</v>
      </c>
      <c r="B434" s="252">
        <v>6675</v>
      </c>
      <c r="C434" s="253" t="s">
        <v>485</v>
      </c>
      <c r="D434" s="254" t="s">
        <v>512</v>
      </c>
      <c r="E434" s="255">
        <v>0</v>
      </c>
      <c r="F434" s="255">
        <v>0</v>
      </c>
      <c r="G434" s="255">
        <v>0</v>
      </c>
      <c r="H434" s="403">
        <v>0</v>
      </c>
      <c r="I434" s="654">
        <v>0</v>
      </c>
      <c r="J434" s="654">
        <v>0</v>
      </c>
      <c r="K434" s="434">
        <f t="shared" si="6"/>
        <v>0</v>
      </c>
      <c r="L434" s="256">
        <v>5007</v>
      </c>
      <c r="N434" s="257"/>
      <c r="O434" s="9"/>
      <c r="P434" s="9"/>
    </row>
    <row r="435" spans="1:16">
      <c r="A435" s="260">
        <v>3007</v>
      </c>
      <c r="B435" s="252">
        <v>6676</v>
      </c>
      <c r="C435" s="253" t="s">
        <v>486</v>
      </c>
      <c r="D435" s="254" t="s">
        <v>512</v>
      </c>
      <c r="E435" s="255">
        <v>0</v>
      </c>
      <c r="F435" s="255">
        <v>0</v>
      </c>
      <c r="G435" s="255">
        <v>0</v>
      </c>
      <c r="H435" s="403">
        <v>0</v>
      </c>
      <c r="I435" s="654">
        <v>0</v>
      </c>
      <c r="J435" s="654">
        <v>0</v>
      </c>
      <c r="K435" s="434">
        <f t="shared" si="6"/>
        <v>0</v>
      </c>
      <c r="L435" s="256">
        <v>5007</v>
      </c>
      <c r="N435" s="257"/>
      <c r="O435" s="9"/>
      <c r="P435" s="9"/>
    </row>
    <row r="436" spans="1:16">
      <c r="A436" s="260">
        <v>3007</v>
      </c>
      <c r="B436" s="252">
        <v>6677</v>
      </c>
      <c r="C436" s="253" t="s">
        <v>487</v>
      </c>
      <c r="D436" s="254" t="s">
        <v>512</v>
      </c>
      <c r="E436" s="255">
        <v>0</v>
      </c>
      <c r="F436" s="255">
        <v>0</v>
      </c>
      <c r="G436" s="255">
        <v>5319650.8469000002</v>
      </c>
      <c r="H436" s="403">
        <v>0</v>
      </c>
      <c r="I436" s="654">
        <v>5319650.8469000002</v>
      </c>
      <c r="J436" s="654">
        <v>0</v>
      </c>
      <c r="K436" s="434">
        <f t="shared" si="6"/>
        <v>5319650.8469000002</v>
      </c>
      <c r="L436" s="256">
        <v>5007</v>
      </c>
      <c r="N436" s="257"/>
      <c r="O436" s="9"/>
      <c r="P436" s="9"/>
    </row>
    <row r="437" spans="1:16">
      <c r="A437" s="260">
        <v>3007</v>
      </c>
      <c r="B437" s="252">
        <v>668</v>
      </c>
      <c r="C437" s="253" t="s">
        <v>488</v>
      </c>
      <c r="D437" s="254" t="s">
        <v>511</v>
      </c>
      <c r="E437" s="255">
        <v>0</v>
      </c>
      <c r="F437" s="255">
        <v>0</v>
      </c>
      <c r="G437" s="255">
        <v>43.2729</v>
      </c>
      <c r="H437" s="403">
        <v>0</v>
      </c>
      <c r="I437" s="654">
        <v>43.2729</v>
      </c>
      <c r="J437" s="654">
        <v>0</v>
      </c>
      <c r="K437" s="434">
        <f t="shared" si="6"/>
        <v>43.2729</v>
      </c>
      <c r="L437" s="256">
        <v>5011</v>
      </c>
      <c r="N437" s="257"/>
      <c r="O437" s="9"/>
      <c r="P437" s="9"/>
    </row>
    <row r="438" spans="1:16">
      <c r="A438" s="260">
        <v>4003</v>
      </c>
      <c r="B438" s="252">
        <v>6681</v>
      </c>
      <c r="C438" s="253" t="s">
        <v>491</v>
      </c>
      <c r="D438" s="254" t="s">
        <v>511</v>
      </c>
      <c r="E438" s="255">
        <v>0</v>
      </c>
      <c r="F438" s="255">
        <v>0</v>
      </c>
      <c r="G438" s="255">
        <v>0</v>
      </c>
      <c r="H438" s="403">
        <v>0</v>
      </c>
      <c r="I438" s="654">
        <v>0</v>
      </c>
      <c r="J438" s="654">
        <v>0</v>
      </c>
      <c r="K438" s="434">
        <f t="shared" si="6"/>
        <v>0</v>
      </c>
      <c r="L438" s="256">
        <v>5011</v>
      </c>
      <c r="N438" s="257"/>
      <c r="O438" s="9"/>
      <c r="P438" s="9"/>
    </row>
    <row r="439" spans="1:16">
      <c r="A439" s="260">
        <v>3008</v>
      </c>
      <c r="B439" s="252">
        <v>669</v>
      </c>
      <c r="C439" s="253" t="s">
        <v>489</v>
      </c>
      <c r="D439" s="254" t="s">
        <v>511</v>
      </c>
      <c r="E439" s="255">
        <v>0</v>
      </c>
      <c r="F439" s="255">
        <v>0</v>
      </c>
      <c r="G439" s="255">
        <v>1732367.1937999991</v>
      </c>
      <c r="H439" s="403">
        <v>0</v>
      </c>
      <c r="I439" s="654">
        <v>1732367.1937999988</v>
      </c>
      <c r="J439" s="654">
        <v>0</v>
      </c>
      <c r="K439" s="434">
        <f t="shared" si="6"/>
        <v>1732367.1937999988</v>
      </c>
      <c r="L439" s="256">
        <v>5008</v>
      </c>
      <c r="N439" s="257"/>
      <c r="O439" s="9"/>
      <c r="P439" s="9"/>
    </row>
    <row r="440" spans="1:16">
      <c r="A440" s="260">
        <v>3008</v>
      </c>
      <c r="B440" s="252">
        <v>6690</v>
      </c>
      <c r="C440" s="253" t="s">
        <v>569</v>
      </c>
      <c r="D440" s="254" t="s">
        <v>511</v>
      </c>
      <c r="E440" s="255">
        <v>0</v>
      </c>
      <c r="F440" s="255">
        <v>0</v>
      </c>
      <c r="G440" s="255">
        <v>15916102.688100003</v>
      </c>
      <c r="H440" s="403">
        <v>150.75720000000001</v>
      </c>
      <c r="I440" s="654">
        <v>15915951.930900002</v>
      </c>
      <c r="J440" s="654">
        <v>0</v>
      </c>
      <c r="K440" s="434">
        <f t="shared" si="6"/>
        <v>15915951.930900002</v>
      </c>
      <c r="L440" s="256">
        <v>5008</v>
      </c>
      <c r="N440" s="257"/>
      <c r="O440" s="9"/>
      <c r="P440" s="9"/>
    </row>
    <row r="441" spans="1:16">
      <c r="A441" s="260">
        <v>3008</v>
      </c>
      <c r="B441" s="252">
        <v>66901</v>
      </c>
      <c r="C441" s="253" t="s">
        <v>490</v>
      </c>
      <c r="D441" s="254" t="s">
        <v>511</v>
      </c>
      <c r="E441" s="255">
        <v>0</v>
      </c>
      <c r="F441" s="255">
        <v>0</v>
      </c>
      <c r="G441" s="255">
        <v>0</v>
      </c>
      <c r="H441" s="403">
        <v>0</v>
      </c>
      <c r="I441" s="654">
        <v>0</v>
      </c>
      <c r="J441" s="654">
        <v>0</v>
      </c>
      <c r="K441" s="434">
        <f t="shared" si="6"/>
        <v>0</v>
      </c>
      <c r="L441" s="256">
        <v>5008</v>
      </c>
      <c r="N441" s="257"/>
      <c r="O441" s="9"/>
      <c r="P441" s="9"/>
    </row>
    <row r="442" spans="1:16">
      <c r="A442" s="260">
        <v>3001</v>
      </c>
      <c r="B442" s="252">
        <v>67000</v>
      </c>
      <c r="C442" s="253" t="s">
        <v>571</v>
      </c>
      <c r="D442" s="254" t="s">
        <v>511</v>
      </c>
      <c r="E442" s="255">
        <v>0</v>
      </c>
      <c r="F442" s="255">
        <v>0</v>
      </c>
      <c r="G442" s="255">
        <v>0</v>
      </c>
      <c r="H442" s="403">
        <v>0</v>
      </c>
      <c r="I442" s="654">
        <v>0</v>
      </c>
      <c r="J442" s="654">
        <v>0</v>
      </c>
      <c r="K442" s="434">
        <f t="shared" si="6"/>
        <v>0</v>
      </c>
      <c r="L442" s="256">
        <v>4019</v>
      </c>
      <c r="N442" s="257"/>
      <c r="O442" s="9"/>
      <c r="P442" s="9"/>
    </row>
    <row r="443" spans="1:16">
      <c r="A443" s="260">
        <v>3009</v>
      </c>
      <c r="B443" s="252">
        <v>6721330</v>
      </c>
      <c r="C443" s="253" t="s">
        <v>570</v>
      </c>
      <c r="D443" s="254" t="s">
        <v>511</v>
      </c>
      <c r="E443" s="255">
        <v>0</v>
      </c>
      <c r="F443" s="255">
        <v>0</v>
      </c>
      <c r="G443" s="255">
        <v>136220</v>
      </c>
      <c r="H443" s="403">
        <v>0</v>
      </c>
      <c r="I443" s="654">
        <v>136220</v>
      </c>
      <c r="J443" s="654">
        <v>0</v>
      </c>
      <c r="K443" s="434">
        <f t="shared" si="6"/>
        <v>136220</v>
      </c>
      <c r="L443" s="256">
        <v>5005</v>
      </c>
      <c r="N443" s="257"/>
      <c r="O443" s="9"/>
      <c r="P443" s="9"/>
    </row>
    <row r="444" spans="1:16">
      <c r="A444" s="260">
        <v>3009</v>
      </c>
      <c r="B444" s="252">
        <v>6721820</v>
      </c>
      <c r="C444" s="253" t="s">
        <v>167</v>
      </c>
      <c r="D444" s="254" t="s">
        <v>511</v>
      </c>
      <c r="E444" s="255">
        <v>0</v>
      </c>
      <c r="F444" s="255">
        <v>0</v>
      </c>
      <c r="G444" s="255">
        <v>0</v>
      </c>
      <c r="H444" s="403">
        <v>0</v>
      </c>
      <c r="I444" s="654">
        <v>0</v>
      </c>
      <c r="J444" s="654">
        <v>0</v>
      </c>
      <c r="K444" s="434">
        <f t="shared" si="6"/>
        <v>0</v>
      </c>
      <c r="L444" s="256">
        <v>5005</v>
      </c>
      <c r="N444" s="257"/>
      <c r="O444" s="9"/>
      <c r="P444" s="9"/>
    </row>
    <row r="445" spans="1:16">
      <c r="A445" s="260">
        <v>3009</v>
      </c>
      <c r="B445" s="252">
        <v>678</v>
      </c>
      <c r="C445" s="253" t="s">
        <v>895</v>
      </c>
      <c r="D445" s="254" t="s">
        <v>511</v>
      </c>
      <c r="E445" s="255">
        <v>0</v>
      </c>
      <c r="F445" s="255">
        <v>0</v>
      </c>
      <c r="G445" s="255">
        <v>0</v>
      </c>
      <c r="H445" s="403">
        <v>0</v>
      </c>
      <c r="I445" s="654">
        <v>0</v>
      </c>
      <c r="J445" s="654">
        <v>0</v>
      </c>
      <c r="K445" s="434">
        <f t="shared" si="6"/>
        <v>0</v>
      </c>
      <c r="L445" s="256">
        <v>5005</v>
      </c>
      <c r="M445" s="433"/>
      <c r="N445" s="257"/>
      <c r="O445" s="9"/>
      <c r="P445" s="9"/>
    </row>
    <row r="446" spans="1:16">
      <c r="A446" s="260">
        <v>3007</v>
      </c>
      <c r="B446" s="252">
        <v>6781</v>
      </c>
      <c r="C446" s="253" t="s">
        <v>491</v>
      </c>
      <c r="D446" s="254" t="s">
        <v>511</v>
      </c>
      <c r="E446" s="255">
        <v>0</v>
      </c>
      <c r="F446" s="255">
        <v>0</v>
      </c>
      <c r="G446" s="255">
        <v>0</v>
      </c>
      <c r="H446" s="403">
        <v>0</v>
      </c>
      <c r="I446" s="654">
        <v>0</v>
      </c>
      <c r="J446" s="654">
        <v>0</v>
      </c>
      <c r="K446" s="434">
        <f t="shared" si="6"/>
        <v>0</v>
      </c>
      <c r="L446" s="256"/>
      <c r="N446" s="257"/>
      <c r="O446" s="9"/>
      <c r="P446" s="9"/>
    </row>
    <row r="447" spans="1:16">
      <c r="A447" s="260">
        <v>3006</v>
      </c>
      <c r="B447" s="252">
        <v>6808</v>
      </c>
      <c r="C447" s="253" t="s">
        <v>877</v>
      </c>
      <c r="D447" s="254" t="s">
        <v>511</v>
      </c>
      <c r="E447" s="255">
        <v>0</v>
      </c>
      <c r="F447" s="255">
        <v>0</v>
      </c>
      <c r="G447" s="255">
        <v>0</v>
      </c>
      <c r="H447" s="403">
        <v>0</v>
      </c>
      <c r="I447" s="654">
        <v>0</v>
      </c>
      <c r="J447" s="654">
        <v>0</v>
      </c>
      <c r="K447" s="434">
        <f t="shared" si="6"/>
        <v>0</v>
      </c>
      <c r="L447" s="256">
        <v>5000</v>
      </c>
      <c r="N447" s="257"/>
      <c r="O447" s="9"/>
      <c r="P447" s="9"/>
    </row>
    <row r="448" spans="1:16">
      <c r="A448" s="260">
        <v>3006</v>
      </c>
      <c r="B448" s="252">
        <v>6811</v>
      </c>
      <c r="C448" s="253" t="s">
        <v>492</v>
      </c>
      <c r="D448" s="254" t="s">
        <v>511</v>
      </c>
      <c r="E448" s="255">
        <v>0</v>
      </c>
      <c r="F448" s="255">
        <v>0</v>
      </c>
      <c r="G448" s="255">
        <f>119719623+7134</f>
        <v>119726757</v>
      </c>
      <c r="H448" s="403"/>
      <c r="I448" s="654">
        <f>G448-H448</f>
        <v>119726757</v>
      </c>
      <c r="J448" s="654">
        <v>0</v>
      </c>
      <c r="K448" s="434">
        <f t="shared" si="6"/>
        <v>119726757</v>
      </c>
      <c r="L448" s="256">
        <v>5000</v>
      </c>
      <c r="N448" s="257"/>
      <c r="O448" s="9"/>
      <c r="P448" s="9"/>
    </row>
    <row r="449" spans="1:16">
      <c r="A449" s="260">
        <v>3006</v>
      </c>
      <c r="B449" s="252">
        <v>6816</v>
      </c>
      <c r="C449" s="253" t="s">
        <v>493</v>
      </c>
      <c r="D449" s="254" t="s">
        <v>511</v>
      </c>
      <c r="E449" s="255">
        <v>0</v>
      </c>
      <c r="F449" s="255">
        <v>0</v>
      </c>
      <c r="G449" s="255">
        <v>93078876.349999994</v>
      </c>
      <c r="H449" s="403">
        <v>0</v>
      </c>
      <c r="I449" s="654">
        <v>93078876.349999994</v>
      </c>
      <c r="J449" s="654">
        <v>0</v>
      </c>
      <c r="K449" s="434">
        <f t="shared" si="6"/>
        <v>93078876.349999994</v>
      </c>
      <c r="L449" s="256">
        <v>5001</v>
      </c>
      <c r="N449" s="257"/>
      <c r="O449" s="9"/>
      <c r="P449" s="9"/>
    </row>
    <row r="450" spans="1:16">
      <c r="A450" s="260">
        <v>3006</v>
      </c>
      <c r="B450" s="252">
        <v>681330</v>
      </c>
      <c r="C450" s="253" t="s">
        <v>492</v>
      </c>
      <c r="D450" s="254" t="s">
        <v>511</v>
      </c>
      <c r="E450" s="255">
        <v>0</v>
      </c>
      <c r="F450" s="255">
        <v>0</v>
      </c>
      <c r="G450" s="255">
        <v>0</v>
      </c>
      <c r="H450" s="403">
        <v>0</v>
      </c>
      <c r="I450" s="654">
        <v>0</v>
      </c>
      <c r="J450" s="654">
        <v>0</v>
      </c>
      <c r="K450" s="434">
        <f t="shared" si="6"/>
        <v>0</v>
      </c>
      <c r="L450" s="256">
        <v>5000</v>
      </c>
      <c r="N450" s="257"/>
      <c r="O450" s="9"/>
      <c r="P450" s="9"/>
    </row>
    <row r="451" spans="1:16">
      <c r="A451" s="260">
        <v>3006</v>
      </c>
      <c r="B451" s="252">
        <v>681820</v>
      </c>
      <c r="C451" s="253" t="s">
        <v>492</v>
      </c>
      <c r="D451" s="254" t="s">
        <v>511</v>
      </c>
      <c r="E451" s="255">
        <v>0</v>
      </c>
      <c r="F451" s="255">
        <v>0</v>
      </c>
      <c r="G451" s="255">
        <v>0</v>
      </c>
      <c r="H451" s="403">
        <v>0</v>
      </c>
      <c r="I451" s="654">
        <v>0</v>
      </c>
      <c r="J451" s="654">
        <v>0</v>
      </c>
      <c r="K451" s="434">
        <f t="shared" si="6"/>
        <v>0</v>
      </c>
      <c r="L451" s="256">
        <v>5000</v>
      </c>
      <c r="N451" s="257"/>
      <c r="O451" s="9"/>
      <c r="P451" s="9"/>
    </row>
    <row r="452" spans="1:16">
      <c r="A452" s="260">
        <v>5010</v>
      </c>
      <c r="B452" s="252">
        <v>694</v>
      </c>
      <c r="C452" s="253" t="s">
        <v>578</v>
      </c>
      <c r="D452" s="254" t="s">
        <v>511</v>
      </c>
      <c r="E452" s="255">
        <v>0</v>
      </c>
      <c r="F452" s="255">
        <v>0</v>
      </c>
      <c r="G452" s="255">
        <v>0</v>
      </c>
      <c r="H452" s="403">
        <v>0</v>
      </c>
      <c r="I452" s="654">
        <v>0</v>
      </c>
      <c r="J452" s="654">
        <v>0</v>
      </c>
      <c r="K452" s="434">
        <f t="shared" si="6"/>
        <v>0</v>
      </c>
      <c r="L452" s="256"/>
      <c r="N452" s="257"/>
      <c r="O452" s="9"/>
      <c r="P452" s="9"/>
    </row>
    <row r="453" spans="1:16">
      <c r="A453" s="260">
        <v>4001</v>
      </c>
      <c r="B453" s="252">
        <v>7044</v>
      </c>
      <c r="C453" s="253" t="s">
        <v>494</v>
      </c>
      <c r="D453" s="254" t="s">
        <v>511</v>
      </c>
      <c r="E453" s="255">
        <v>0</v>
      </c>
      <c r="F453" s="255">
        <v>0</v>
      </c>
      <c r="G453" s="255">
        <v>275906</v>
      </c>
      <c r="H453" s="403">
        <v>1131644163.1748009</v>
      </c>
      <c r="I453" s="654">
        <v>0</v>
      </c>
      <c r="J453" s="654">
        <v>1131368257.1748009</v>
      </c>
      <c r="K453" s="434">
        <f t="shared" si="6"/>
        <v>-1131368257.1748009</v>
      </c>
      <c r="L453" s="256">
        <v>7001</v>
      </c>
      <c r="N453" s="257"/>
      <c r="O453" s="9"/>
      <c r="P453" s="9"/>
    </row>
    <row r="454" spans="1:16">
      <c r="A454" s="260">
        <v>4001</v>
      </c>
      <c r="B454" s="252">
        <v>70441</v>
      </c>
      <c r="C454" s="253" t="s">
        <v>495</v>
      </c>
      <c r="D454" s="254" t="s">
        <v>511</v>
      </c>
      <c r="E454" s="255">
        <v>0</v>
      </c>
      <c r="F454" s="255">
        <v>0</v>
      </c>
      <c r="G454" s="255">
        <v>0</v>
      </c>
      <c r="H454" s="403">
        <v>37577525.146199994</v>
      </c>
      <c r="I454" s="654">
        <v>0</v>
      </c>
      <c r="J454" s="654">
        <v>37577525.146199986</v>
      </c>
      <c r="K454" s="434">
        <f t="shared" si="6"/>
        <v>-37577525.146199986</v>
      </c>
      <c r="L454" s="256">
        <v>7002</v>
      </c>
      <c r="N454" s="257"/>
      <c r="O454" s="9"/>
      <c r="P454" s="9"/>
    </row>
    <row r="455" spans="1:16">
      <c r="A455" s="260">
        <v>4001</v>
      </c>
      <c r="B455" s="252">
        <v>70442</v>
      </c>
      <c r="C455" s="253" t="s">
        <v>496</v>
      </c>
      <c r="D455" s="254" t="s">
        <v>511</v>
      </c>
      <c r="E455" s="255">
        <v>0</v>
      </c>
      <c r="F455" s="255">
        <v>0</v>
      </c>
      <c r="G455" s="255">
        <v>0</v>
      </c>
      <c r="H455" s="403">
        <v>233593747.85959998</v>
      </c>
      <c r="I455" s="654">
        <v>0</v>
      </c>
      <c r="J455" s="654">
        <v>233593747.85960004</v>
      </c>
      <c r="K455" s="434">
        <f t="shared" ref="K455:K476" si="7">I455-J455</f>
        <v>-233593747.85960004</v>
      </c>
      <c r="L455" s="256">
        <v>7003</v>
      </c>
      <c r="N455" s="257"/>
      <c r="O455" s="9"/>
      <c r="P455" s="9"/>
    </row>
    <row r="456" spans="1:16">
      <c r="A456" s="273"/>
      <c r="B456" s="252">
        <v>70443</v>
      </c>
      <c r="C456" s="253" t="s">
        <v>573</v>
      </c>
      <c r="D456" s="254" t="s">
        <v>511</v>
      </c>
      <c r="E456" s="255">
        <v>0</v>
      </c>
      <c r="F456" s="255">
        <v>0</v>
      </c>
      <c r="G456" s="255">
        <v>0</v>
      </c>
      <c r="H456" s="403">
        <v>91437891.680000007</v>
      </c>
      <c r="I456" s="654">
        <v>0</v>
      </c>
      <c r="J456" s="654">
        <v>91437891.680000007</v>
      </c>
      <c r="K456" s="434">
        <f t="shared" si="7"/>
        <v>-91437891.680000007</v>
      </c>
      <c r="L456" s="256"/>
      <c r="N456" s="257"/>
      <c r="O456" s="9"/>
      <c r="P456" s="9"/>
    </row>
    <row r="457" spans="1:16">
      <c r="A457" s="260">
        <v>4001</v>
      </c>
      <c r="B457" s="252">
        <v>7045</v>
      </c>
      <c r="C457" s="253" t="s">
        <v>572</v>
      </c>
      <c r="D457" s="254" t="s">
        <v>511</v>
      </c>
      <c r="E457" s="255">
        <v>0</v>
      </c>
      <c r="F457" s="255">
        <v>0</v>
      </c>
      <c r="G457" s="255">
        <v>0</v>
      </c>
      <c r="H457" s="403">
        <v>4271799</v>
      </c>
      <c r="I457" s="654">
        <v>0</v>
      </c>
      <c r="J457" s="654">
        <v>4271799</v>
      </c>
      <c r="K457" s="434">
        <f t="shared" si="7"/>
        <v>-4271799</v>
      </c>
      <c r="L457" s="256">
        <v>7004</v>
      </c>
      <c r="N457" s="257"/>
      <c r="O457" s="9"/>
      <c r="P457" s="9"/>
    </row>
    <row r="458" spans="1:16">
      <c r="A458" s="260">
        <v>4001</v>
      </c>
      <c r="B458" s="252">
        <v>7047</v>
      </c>
      <c r="C458" s="253" t="s">
        <v>497</v>
      </c>
      <c r="D458" s="254" t="s">
        <v>511</v>
      </c>
      <c r="E458" s="255">
        <v>0</v>
      </c>
      <c r="F458" s="255">
        <v>0</v>
      </c>
      <c r="G458" s="255">
        <v>0</v>
      </c>
      <c r="H458" s="403">
        <v>131315.8333</v>
      </c>
      <c r="I458" s="654">
        <v>0</v>
      </c>
      <c r="J458" s="654">
        <v>131315.83329999997</v>
      </c>
      <c r="K458" s="434">
        <f t="shared" si="7"/>
        <v>-131315.83329999997</v>
      </c>
      <c r="L458" s="256">
        <v>7007</v>
      </c>
      <c r="N458" s="257"/>
      <c r="O458" s="9"/>
      <c r="P458" s="9"/>
    </row>
    <row r="459" spans="1:16">
      <c r="A459" s="260">
        <v>4001</v>
      </c>
      <c r="B459" s="252">
        <v>7048</v>
      </c>
      <c r="C459" s="253" t="s">
        <v>498</v>
      </c>
      <c r="D459" s="254" t="s">
        <v>511</v>
      </c>
      <c r="E459" s="255">
        <v>0</v>
      </c>
      <c r="F459" s="255">
        <v>0</v>
      </c>
      <c r="G459" s="255">
        <v>0</v>
      </c>
      <c r="H459" s="403">
        <v>1749166.63</v>
      </c>
      <c r="I459" s="654">
        <v>0</v>
      </c>
      <c r="J459" s="654">
        <v>1749166.63</v>
      </c>
      <c r="K459" s="434">
        <f t="shared" si="7"/>
        <v>-1749166.63</v>
      </c>
      <c r="L459" s="256">
        <v>7006</v>
      </c>
      <c r="N459" s="257"/>
      <c r="O459" s="9"/>
      <c r="P459" s="9"/>
    </row>
    <row r="460" spans="1:16">
      <c r="A460" s="260">
        <v>4001</v>
      </c>
      <c r="B460" s="252">
        <v>7049</v>
      </c>
      <c r="C460" s="253" t="s">
        <v>499</v>
      </c>
      <c r="D460" s="254" t="s">
        <v>511</v>
      </c>
      <c r="E460" s="255">
        <v>0</v>
      </c>
      <c r="F460" s="255">
        <v>0</v>
      </c>
      <c r="G460" s="255">
        <v>0</v>
      </c>
      <c r="H460" s="403">
        <v>3816324</v>
      </c>
      <c r="I460" s="654">
        <v>0</v>
      </c>
      <c r="J460" s="654">
        <v>3816324</v>
      </c>
      <c r="K460" s="434">
        <f t="shared" si="7"/>
        <v>-3816324</v>
      </c>
      <c r="L460" s="256">
        <v>7005</v>
      </c>
      <c r="N460" s="257"/>
      <c r="O460" s="9"/>
      <c r="P460" s="9"/>
    </row>
    <row r="461" spans="1:16">
      <c r="A461" s="260">
        <v>4001</v>
      </c>
      <c r="B461" s="252">
        <v>705</v>
      </c>
      <c r="C461" s="253" t="s">
        <v>500</v>
      </c>
      <c r="D461" s="254" t="s">
        <v>511</v>
      </c>
      <c r="E461" s="255">
        <v>0</v>
      </c>
      <c r="F461" s="255">
        <v>0</v>
      </c>
      <c r="G461" s="255">
        <v>0</v>
      </c>
      <c r="H461" s="403">
        <v>0</v>
      </c>
      <c r="I461" s="654">
        <v>0</v>
      </c>
      <c r="J461" s="654">
        <v>0</v>
      </c>
      <c r="K461" s="434">
        <f t="shared" si="7"/>
        <v>0</v>
      </c>
      <c r="L461" s="256">
        <v>7006</v>
      </c>
      <c r="N461" s="257"/>
      <c r="O461" s="9"/>
      <c r="P461" s="9"/>
    </row>
    <row r="462" spans="1:16">
      <c r="A462" s="260">
        <v>4001</v>
      </c>
      <c r="B462" s="252">
        <v>7051</v>
      </c>
      <c r="C462" s="253" t="s">
        <v>574</v>
      </c>
      <c r="D462" s="254" t="s">
        <v>511</v>
      </c>
      <c r="E462" s="255">
        <v>0</v>
      </c>
      <c r="F462" s="255">
        <v>0</v>
      </c>
      <c r="G462" s="255">
        <v>0</v>
      </c>
      <c r="H462" s="403">
        <v>0</v>
      </c>
      <c r="I462" s="654">
        <v>0</v>
      </c>
      <c r="J462" s="654">
        <v>0</v>
      </c>
      <c r="K462" s="434">
        <f t="shared" si="7"/>
        <v>0</v>
      </c>
      <c r="L462" s="256">
        <v>7006</v>
      </c>
      <c r="N462" s="257"/>
      <c r="O462" s="9"/>
      <c r="P462" s="9"/>
    </row>
    <row r="463" spans="1:16">
      <c r="A463" s="260">
        <v>4001</v>
      </c>
      <c r="B463" s="252">
        <v>708</v>
      </c>
      <c r="C463" s="253" t="s">
        <v>501</v>
      </c>
      <c r="D463" s="254" t="s">
        <v>511</v>
      </c>
      <c r="E463" s="255">
        <v>0</v>
      </c>
      <c r="F463" s="255">
        <v>0</v>
      </c>
      <c r="G463" s="255">
        <v>0</v>
      </c>
      <c r="H463" s="403">
        <v>0</v>
      </c>
      <c r="I463" s="654">
        <v>0</v>
      </c>
      <c r="J463" s="654">
        <v>0</v>
      </c>
      <c r="K463" s="434">
        <f t="shared" si="7"/>
        <v>0</v>
      </c>
      <c r="L463" s="256"/>
      <c r="N463" s="257"/>
      <c r="O463" s="9"/>
      <c r="P463" s="9"/>
    </row>
    <row r="464" spans="1:16">
      <c r="A464" s="260">
        <v>4001</v>
      </c>
      <c r="B464" s="252">
        <v>722</v>
      </c>
      <c r="C464" s="253" t="s">
        <v>502</v>
      </c>
      <c r="D464" s="254" t="s">
        <v>511</v>
      </c>
      <c r="E464" s="255">
        <v>0</v>
      </c>
      <c r="F464" s="255">
        <v>0</v>
      </c>
      <c r="G464" s="255">
        <v>0</v>
      </c>
      <c r="H464" s="403">
        <v>0</v>
      </c>
      <c r="I464" s="654">
        <v>0</v>
      </c>
      <c r="J464" s="654">
        <v>0</v>
      </c>
      <c r="K464" s="434">
        <f t="shared" si="7"/>
        <v>0</v>
      </c>
      <c r="L464" s="256"/>
      <c r="N464" s="257"/>
      <c r="O464" s="9"/>
      <c r="P464" s="9"/>
    </row>
    <row r="465" spans="1:16">
      <c r="A465" s="260">
        <v>3006</v>
      </c>
      <c r="B465" s="252">
        <v>73</v>
      </c>
      <c r="C465" s="253" t="s">
        <v>503</v>
      </c>
      <c r="D465" s="254" t="s">
        <v>511</v>
      </c>
      <c r="E465" s="255">
        <v>0</v>
      </c>
      <c r="F465" s="255">
        <v>0</v>
      </c>
      <c r="G465" s="255">
        <v>0</v>
      </c>
      <c r="H465" s="403">
        <v>563700</v>
      </c>
      <c r="I465" s="654">
        <v>0</v>
      </c>
      <c r="J465" s="654">
        <v>563700</v>
      </c>
      <c r="K465" s="434">
        <f t="shared" si="7"/>
        <v>-563700</v>
      </c>
      <c r="L465" s="256">
        <v>5002</v>
      </c>
      <c r="N465" s="257"/>
      <c r="O465" s="9"/>
      <c r="P465" s="9"/>
    </row>
    <row r="466" spans="1:16">
      <c r="A466" s="260">
        <v>4003</v>
      </c>
      <c r="B466" s="252">
        <v>758</v>
      </c>
      <c r="C466" s="253" t="s">
        <v>504</v>
      </c>
      <c r="D466" s="254" t="s">
        <v>511</v>
      </c>
      <c r="E466" s="255">
        <v>0</v>
      </c>
      <c r="F466" s="255">
        <v>0</v>
      </c>
      <c r="G466" s="255">
        <v>0</v>
      </c>
      <c r="H466" s="403">
        <v>2050376.7428000001</v>
      </c>
      <c r="I466" s="654">
        <v>0</v>
      </c>
      <c r="J466" s="654">
        <v>2050376.7427999997</v>
      </c>
      <c r="K466" s="434">
        <f t="shared" si="7"/>
        <v>-2050376.7427999997</v>
      </c>
      <c r="L466" s="256">
        <v>5011</v>
      </c>
      <c r="N466" s="257"/>
      <c r="O466" s="9"/>
      <c r="P466" s="9"/>
    </row>
    <row r="467" spans="1:16">
      <c r="A467" s="260">
        <v>3007</v>
      </c>
      <c r="B467" s="252">
        <v>767</v>
      </c>
      <c r="C467" s="253" t="s">
        <v>505</v>
      </c>
      <c r="D467" s="254" t="s">
        <v>511</v>
      </c>
      <c r="E467" s="255">
        <v>0</v>
      </c>
      <c r="F467" s="255">
        <v>0</v>
      </c>
      <c r="G467" s="255">
        <v>0</v>
      </c>
      <c r="H467" s="403">
        <v>3561607</v>
      </c>
      <c r="I467" s="654">
        <v>0</v>
      </c>
      <c r="J467" s="654">
        <v>3561607</v>
      </c>
      <c r="K467" s="434">
        <f t="shared" si="7"/>
        <v>-3561607</v>
      </c>
      <c r="L467" s="256">
        <v>5012</v>
      </c>
      <c r="N467" s="257"/>
      <c r="O467" s="9"/>
      <c r="P467" s="9"/>
    </row>
    <row r="468" spans="1:16">
      <c r="A468" s="260">
        <v>3007</v>
      </c>
      <c r="B468" s="252">
        <v>7670</v>
      </c>
      <c r="C468" s="253" t="s">
        <v>40</v>
      </c>
      <c r="D468" s="254" t="s">
        <v>511</v>
      </c>
      <c r="E468" s="255">
        <v>0</v>
      </c>
      <c r="F468" s="255">
        <v>0</v>
      </c>
      <c r="G468" s="255">
        <v>0</v>
      </c>
      <c r="H468" s="403">
        <v>26977.810000000012</v>
      </c>
      <c r="I468" s="654">
        <v>0</v>
      </c>
      <c r="J468" s="654">
        <v>26977.810000000012</v>
      </c>
      <c r="K468" s="434">
        <f t="shared" si="7"/>
        <v>-26977.810000000012</v>
      </c>
      <c r="L468" s="256">
        <v>5012</v>
      </c>
      <c r="N468" s="257"/>
      <c r="O468" s="9"/>
      <c r="P468" s="9"/>
    </row>
    <row r="469" spans="1:16">
      <c r="A469" s="260">
        <v>4003</v>
      </c>
      <c r="B469" s="252">
        <v>7671</v>
      </c>
      <c r="C469" s="253" t="s">
        <v>575</v>
      </c>
      <c r="D469" s="254" t="s">
        <v>511</v>
      </c>
      <c r="E469" s="255">
        <v>0</v>
      </c>
      <c r="F469" s="255">
        <v>0</v>
      </c>
      <c r="G469" s="255">
        <v>0</v>
      </c>
      <c r="H469" s="403">
        <v>0</v>
      </c>
      <c r="I469" s="654">
        <v>0</v>
      </c>
      <c r="J469" s="654">
        <v>0</v>
      </c>
      <c r="K469" s="434">
        <f t="shared" si="7"/>
        <v>0</v>
      </c>
      <c r="L469" s="256">
        <v>5010</v>
      </c>
      <c r="N469" s="257"/>
      <c r="O469" s="9"/>
      <c r="P469" s="9"/>
    </row>
    <row r="470" spans="1:16">
      <c r="A470" s="260">
        <v>4003</v>
      </c>
      <c r="B470" s="252">
        <v>768</v>
      </c>
      <c r="C470" s="253" t="s">
        <v>506</v>
      </c>
      <c r="D470" s="254" t="s">
        <v>511</v>
      </c>
      <c r="E470" s="255">
        <v>0</v>
      </c>
      <c r="F470" s="255">
        <v>0</v>
      </c>
      <c r="G470" s="255">
        <v>0</v>
      </c>
      <c r="H470" s="403">
        <v>834844.61700000009</v>
      </c>
      <c r="I470" s="654">
        <v>0</v>
      </c>
      <c r="J470" s="654">
        <v>834844.61699999985</v>
      </c>
      <c r="K470" s="434">
        <f t="shared" si="7"/>
        <v>-834844.61699999985</v>
      </c>
      <c r="L470" s="256">
        <v>5011</v>
      </c>
      <c r="N470" s="257"/>
      <c r="O470" s="9"/>
      <c r="P470" s="9"/>
    </row>
    <row r="471" spans="1:16">
      <c r="A471" s="260">
        <v>4002</v>
      </c>
      <c r="B471" s="252">
        <v>7680</v>
      </c>
      <c r="C471" s="253" t="s">
        <v>507</v>
      </c>
      <c r="D471" s="254" t="s">
        <v>511</v>
      </c>
      <c r="E471" s="255">
        <v>0</v>
      </c>
      <c r="F471" s="255">
        <v>0</v>
      </c>
      <c r="G471" s="255">
        <v>0</v>
      </c>
      <c r="H471" s="403">
        <v>0</v>
      </c>
      <c r="I471" s="654">
        <v>0</v>
      </c>
      <c r="J471" s="654">
        <v>0</v>
      </c>
      <c r="K471" s="434">
        <f t="shared" si="7"/>
        <v>0</v>
      </c>
      <c r="L471" s="256"/>
      <c r="N471" s="257"/>
      <c r="O471" s="9"/>
      <c r="P471" s="9"/>
    </row>
    <row r="472" spans="1:16">
      <c r="A472" s="260">
        <v>3008</v>
      </c>
      <c r="B472" s="252">
        <v>769</v>
      </c>
      <c r="C472" s="253" t="s">
        <v>508</v>
      </c>
      <c r="D472" s="254" t="s">
        <v>511</v>
      </c>
      <c r="E472" s="255">
        <v>0</v>
      </c>
      <c r="F472" s="255">
        <v>0</v>
      </c>
      <c r="G472" s="255">
        <v>0</v>
      </c>
      <c r="H472" s="403">
        <v>1295990.6405999998</v>
      </c>
      <c r="I472" s="654">
        <v>0</v>
      </c>
      <c r="J472" s="654">
        <v>1295990.6405999998</v>
      </c>
      <c r="K472" s="434">
        <f t="shared" si="7"/>
        <v>-1295990.6405999998</v>
      </c>
      <c r="L472" s="256">
        <v>5009</v>
      </c>
      <c r="N472" s="257"/>
      <c r="O472" s="9"/>
      <c r="P472" s="9"/>
    </row>
    <row r="473" spans="1:16">
      <c r="A473" s="260">
        <v>3008</v>
      </c>
      <c r="B473" s="252">
        <v>7690</v>
      </c>
      <c r="C473" s="253" t="s">
        <v>576</v>
      </c>
      <c r="D473" s="254" t="s">
        <v>511</v>
      </c>
      <c r="E473" s="255">
        <v>0</v>
      </c>
      <c r="F473" s="255">
        <v>0</v>
      </c>
      <c r="G473" s="255">
        <v>0</v>
      </c>
      <c r="H473" s="403">
        <v>11039056.8829</v>
      </c>
      <c r="I473" s="654">
        <v>0</v>
      </c>
      <c r="J473" s="654">
        <v>11039056.8829</v>
      </c>
      <c r="K473" s="434">
        <f t="shared" si="7"/>
        <v>-11039056.8829</v>
      </c>
      <c r="L473" s="256">
        <v>5009</v>
      </c>
      <c r="N473" s="257"/>
      <c r="O473" s="9"/>
      <c r="P473" s="9"/>
    </row>
    <row r="474" spans="1:16">
      <c r="A474" s="260">
        <v>3008</v>
      </c>
      <c r="B474" s="252">
        <v>76901</v>
      </c>
      <c r="C474" s="253" t="s">
        <v>509</v>
      </c>
      <c r="D474" s="254" t="s">
        <v>511</v>
      </c>
      <c r="E474" s="255">
        <v>0</v>
      </c>
      <c r="F474" s="255">
        <v>0</v>
      </c>
      <c r="G474" s="255">
        <v>0</v>
      </c>
      <c r="H474" s="403">
        <v>0</v>
      </c>
      <c r="I474" s="654">
        <v>0</v>
      </c>
      <c r="J474" s="654">
        <v>0</v>
      </c>
      <c r="K474" s="434">
        <f t="shared" si="7"/>
        <v>0</v>
      </c>
      <c r="L474" s="256">
        <v>5009</v>
      </c>
      <c r="N474" s="257"/>
      <c r="O474" s="9"/>
      <c r="P474" s="9"/>
    </row>
    <row r="475" spans="1:16">
      <c r="A475" s="260">
        <v>3009</v>
      </c>
      <c r="B475" s="252">
        <v>772130</v>
      </c>
      <c r="C475" s="253" t="s">
        <v>517</v>
      </c>
      <c r="D475" s="254" t="s">
        <v>511</v>
      </c>
      <c r="E475" s="255">
        <v>0</v>
      </c>
      <c r="F475" s="255">
        <v>0</v>
      </c>
      <c r="G475" s="255">
        <v>0</v>
      </c>
      <c r="H475" s="403">
        <v>110000</v>
      </c>
      <c r="I475" s="654">
        <v>0</v>
      </c>
      <c r="J475" s="654">
        <v>110000</v>
      </c>
      <c r="K475" s="434">
        <f>I475-J475</f>
        <v>-110000</v>
      </c>
      <c r="L475" s="256">
        <v>5005</v>
      </c>
      <c r="N475" s="257"/>
      <c r="O475" s="9"/>
      <c r="P475" s="9"/>
    </row>
    <row r="476" spans="1:16">
      <c r="A476" s="260">
        <v>3009</v>
      </c>
      <c r="B476" s="252">
        <v>778</v>
      </c>
      <c r="C476" s="253" t="s">
        <v>577</v>
      </c>
      <c r="D476" s="254" t="s">
        <v>511</v>
      </c>
      <c r="E476" s="255">
        <v>0</v>
      </c>
      <c r="F476" s="255">
        <v>0</v>
      </c>
      <c r="G476" s="255">
        <v>0</v>
      </c>
      <c r="H476" s="403">
        <v>0</v>
      </c>
      <c r="I476" s="654">
        <v>0</v>
      </c>
      <c r="J476" s="654">
        <v>0</v>
      </c>
      <c r="K476" s="434">
        <f t="shared" si="7"/>
        <v>0</v>
      </c>
      <c r="L476" s="256">
        <v>5005</v>
      </c>
      <c r="N476" s="257"/>
      <c r="O476" s="9"/>
      <c r="P476" s="9"/>
    </row>
    <row r="477" spans="1:16">
      <c r="A477" s="260"/>
      <c r="B477" s="252">
        <v>890</v>
      </c>
      <c r="C477" s="253" t="s">
        <v>510</v>
      </c>
      <c r="D477" s="254" t="s">
        <v>511</v>
      </c>
      <c r="E477" s="255">
        <v>5.0700000000000002E-2</v>
      </c>
      <c r="F477" s="255">
        <v>0</v>
      </c>
      <c r="G477" s="255">
        <v>0</v>
      </c>
      <c r="H477" s="403">
        <v>0</v>
      </c>
      <c r="I477" s="654">
        <v>5.0700000000000002E-2</v>
      </c>
      <c r="J477" s="654">
        <v>0</v>
      </c>
      <c r="K477" s="434">
        <f>I477-J477</f>
        <v>5.0700000000000002E-2</v>
      </c>
      <c r="L477" s="256"/>
      <c r="N477" s="257"/>
      <c r="O477" s="9"/>
      <c r="P477" s="9"/>
    </row>
    <row r="478" spans="1:16">
      <c r="A478" s="274"/>
      <c r="B478" s="275"/>
      <c r="C478" s="276"/>
      <c r="D478" s="276"/>
      <c r="E478" s="536"/>
      <c r="F478" s="536"/>
      <c r="G478" s="536"/>
      <c r="H478" s="275"/>
      <c r="I478" s="415">
        <v>4791574556.3569975</v>
      </c>
      <c r="J478" s="415">
        <v>4791574556.7405996</v>
      </c>
      <c r="K478" s="279">
        <f>SUM(K5:K477)</f>
        <v>-0.38359991602897642</v>
      </c>
      <c r="L478" s="280" t="s">
        <v>664</v>
      </c>
    </row>
    <row r="479" spans="1:16">
      <c r="A479" s="274"/>
      <c r="B479" s="275"/>
      <c r="C479" s="276"/>
      <c r="D479" s="276"/>
      <c r="E479" s="276"/>
      <c r="F479" s="536"/>
      <c r="G479" s="536"/>
      <c r="H479" s="275"/>
      <c r="I479" s="415"/>
      <c r="J479" s="415">
        <v>0.38360214233398438</v>
      </c>
      <c r="K479" s="280"/>
      <c r="L479" s="275"/>
    </row>
    <row r="480" spans="1:16">
      <c r="A480" s="274"/>
      <c r="B480" s="275"/>
      <c r="C480" s="276"/>
      <c r="D480" s="276"/>
      <c r="E480" s="276"/>
      <c r="F480" s="536"/>
      <c r="G480" s="536"/>
      <c r="H480" s="275"/>
      <c r="I480" s="415"/>
      <c r="J480" s="415"/>
      <c r="K480" s="715"/>
      <c r="L480" s="275"/>
    </row>
    <row r="481" spans="1:12">
      <c r="A481" s="274"/>
      <c r="B481" s="275"/>
      <c r="C481" s="276"/>
      <c r="D481" s="276"/>
      <c r="E481" s="276"/>
      <c r="F481" s="536"/>
      <c r="G481" s="536"/>
      <c r="H481" s="275"/>
      <c r="I481" s="415"/>
      <c r="J481" s="282" t="s">
        <v>1369</v>
      </c>
      <c r="K481" s="650">
        <f>SUM(K334:K477)</f>
        <v>32586222.132499531</v>
      </c>
      <c r="L481" s="275"/>
    </row>
    <row r="482" spans="1:12">
      <c r="A482" s="274"/>
      <c r="B482" s="275"/>
      <c r="C482" s="276"/>
      <c r="D482" s="276"/>
      <c r="E482" s="276"/>
      <c r="F482" s="536"/>
      <c r="G482" s="536"/>
      <c r="H482" s="276"/>
      <c r="I482" s="415"/>
      <c r="J482" s="415"/>
      <c r="K482" s="651"/>
      <c r="L482" s="275"/>
    </row>
    <row r="483" spans="1:12">
      <c r="A483" s="274"/>
      <c r="B483" s="275"/>
      <c r="C483" s="276"/>
      <c r="D483" s="276"/>
      <c r="E483" s="276"/>
      <c r="F483" s="536"/>
      <c r="G483" s="536"/>
      <c r="H483" s="275"/>
      <c r="I483" s="415"/>
      <c r="J483" s="415"/>
      <c r="K483" s="716"/>
      <c r="L483" s="275"/>
    </row>
    <row r="484" spans="1:12">
      <c r="A484" s="274"/>
      <c r="B484" s="275"/>
      <c r="C484" s="276"/>
      <c r="D484" s="276"/>
      <c r="E484" s="276"/>
      <c r="F484" s="536"/>
      <c r="G484" s="536"/>
      <c r="H484" s="415"/>
      <c r="I484" s="415"/>
      <c r="J484" s="415"/>
      <c r="K484" s="715"/>
      <c r="L484" s="275"/>
    </row>
    <row r="485" spans="1:12">
      <c r="A485" s="274"/>
      <c r="B485" s="275"/>
      <c r="C485" s="276"/>
      <c r="D485" s="276"/>
      <c r="E485" s="276"/>
      <c r="F485" s="536"/>
      <c r="G485" s="536"/>
      <c r="H485" s="276"/>
      <c r="I485" s="539"/>
      <c r="J485" s="539"/>
      <c r="K485" s="717"/>
      <c r="L485" s="275"/>
    </row>
    <row r="486" spans="1:12">
      <c r="A486" s="274"/>
      <c r="B486" s="275"/>
      <c r="C486" s="276"/>
      <c r="D486" s="276"/>
      <c r="E486" s="545"/>
      <c r="F486" s="545"/>
      <c r="G486" s="546"/>
      <c r="H486" s="546"/>
      <c r="I486" s="547"/>
      <c r="J486" s="547"/>
      <c r="K486" s="717"/>
      <c r="L486" s="275"/>
    </row>
    <row r="487" spans="1:12">
      <c r="A487" s="274"/>
      <c r="B487" s="275"/>
      <c r="C487" s="276"/>
      <c r="D487" s="276"/>
      <c r="E487" s="276"/>
      <c r="F487" s="536"/>
      <c r="G487" s="536"/>
      <c r="H487" s="276"/>
      <c r="I487" s="539"/>
      <c r="J487" s="539"/>
      <c r="K487" s="717"/>
      <c r="L487" s="275"/>
    </row>
    <row r="488" spans="1:12">
      <c r="A488" s="274"/>
      <c r="B488" s="275"/>
      <c r="C488" s="276"/>
      <c r="D488" s="276"/>
      <c r="E488" s="276"/>
      <c r="F488" s="536"/>
      <c r="G488" s="536"/>
      <c r="H488" s="275"/>
      <c r="I488" s="415"/>
      <c r="J488" s="415"/>
      <c r="K488" s="715"/>
      <c r="L488" s="275"/>
    </row>
    <row r="489" spans="1:12">
      <c r="A489" s="274"/>
      <c r="B489" s="275"/>
      <c r="C489" s="276"/>
      <c r="D489" s="276"/>
      <c r="E489" s="276"/>
      <c r="F489" s="536"/>
      <c r="G489" s="536"/>
      <c r="H489" s="275"/>
      <c r="I489" s="415"/>
      <c r="J489" s="415"/>
      <c r="K489" s="715"/>
      <c r="L489" s="275"/>
    </row>
    <row r="490" spans="1:12">
      <c r="A490" s="274"/>
      <c r="B490" s="275"/>
      <c r="C490" s="276"/>
      <c r="D490" s="276"/>
      <c r="E490" s="276"/>
      <c r="F490" s="536"/>
      <c r="G490" s="536"/>
      <c r="H490" s="275"/>
      <c r="I490" s="415"/>
      <c r="J490" s="415"/>
      <c r="K490" s="715"/>
      <c r="L490" s="275"/>
    </row>
    <row r="491" spans="1:12">
      <c r="A491" s="274"/>
      <c r="B491" s="275"/>
      <c r="C491" s="276"/>
      <c r="D491" s="276"/>
      <c r="E491" s="276"/>
      <c r="F491" s="536"/>
      <c r="G491" s="536"/>
      <c r="H491" s="275"/>
      <c r="I491" s="415"/>
      <c r="J491" s="415"/>
      <c r="K491" s="715"/>
      <c r="L491" s="275"/>
    </row>
    <row r="492" spans="1:12">
      <c r="A492" s="274"/>
      <c r="B492" s="275"/>
      <c r="C492" s="276"/>
      <c r="D492" s="276"/>
      <c r="E492" s="276"/>
      <c r="F492" s="536"/>
      <c r="G492" s="536"/>
      <c r="H492" s="275"/>
      <c r="I492" s="415"/>
      <c r="J492" s="415"/>
      <c r="K492" s="715"/>
      <c r="L492" s="275"/>
    </row>
    <row r="493" spans="1:12">
      <c r="A493" s="274"/>
      <c r="B493" s="275"/>
      <c r="C493" s="276"/>
      <c r="D493" s="276"/>
      <c r="E493" s="276"/>
      <c r="F493" s="536"/>
      <c r="G493" s="536"/>
      <c r="H493" s="275"/>
      <c r="I493" s="415"/>
      <c r="J493" s="415"/>
      <c r="K493" s="715"/>
      <c r="L493" s="275"/>
    </row>
    <row r="494" spans="1:12">
      <c r="A494" s="274"/>
      <c r="B494" s="275"/>
      <c r="C494" s="276"/>
      <c r="D494" s="276"/>
      <c r="E494" s="276"/>
      <c r="F494" s="536"/>
      <c r="G494" s="536"/>
      <c r="H494" s="275"/>
      <c r="I494" s="415"/>
      <c r="J494" s="415"/>
      <c r="K494" s="715"/>
      <c r="L494" s="275"/>
    </row>
    <row r="495" spans="1:12">
      <c r="A495" s="274"/>
      <c r="B495" s="275"/>
      <c r="C495" s="276"/>
      <c r="D495" s="276"/>
      <c r="E495" s="276"/>
      <c r="F495" s="536"/>
      <c r="G495" s="536"/>
      <c r="H495" s="275"/>
      <c r="I495" s="415"/>
      <c r="J495" s="415"/>
      <c r="K495" s="715"/>
      <c r="L495" s="275"/>
    </row>
    <row r="496" spans="1:12">
      <c r="A496" s="274"/>
      <c r="B496" s="275"/>
      <c r="C496" s="276"/>
      <c r="D496" s="276"/>
      <c r="E496" s="276"/>
      <c r="F496" s="536"/>
      <c r="G496" s="536"/>
      <c r="H496" s="275"/>
      <c r="I496" s="415"/>
      <c r="J496" s="415"/>
      <c r="K496" s="715"/>
      <c r="L496" s="275"/>
    </row>
    <row r="497" spans="1:12">
      <c r="A497" s="274"/>
      <c r="B497" s="275"/>
      <c r="C497" s="276"/>
      <c r="D497" s="276"/>
      <c r="E497" s="276"/>
      <c r="F497" s="536"/>
      <c r="G497" s="536"/>
      <c r="H497" s="275"/>
      <c r="I497" s="415"/>
      <c r="J497" s="415"/>
      <c r="K497" s="715"/>
      <c r="L497" s="275"/>
    </row>
    <row r="498" spans="1:12">
      <c r="A498" s="274"/>
      <c r="B498" s="275"/>
      <c r="C498" s="276"/>
      <c r="D498" s="276"/>
      <c r="E498" s="276"/>
      <c r="F498" s="536"/>
      <c r="G498" s="536"/>
      <c r="H498" s="275"/>
      <c r="I498" s="415"/>
      <c r="J498" s="415"/>
      <c r="K498" s="715"/>
      <c r="L498" s="275"/>
    </row>
    <row r="499" spans="1:12">
      <c r="A499" s="274"/>
      <c r="B499" s="275"/>
      <c r="C499" s="276"/>
      <c r="D499" s="276"/>
      <c r="E499" s="276"/>
      <c r="F499" s="536"/>
      <c r="G499" s="536"/>
      <c r="H499" s="275"/>
      <c r="I499" s="415"/>
      <c r="J499" s="415"/>
      <c r="K499" s="715"/>
      <c r="L499" s="275"/>
    </row>
    <row r="500" spans="1:12">
      <c r="A500" s="274"/>
      <c r="B500" s="275"/>
      <c r="C500" s="276"/>
      <c r="D500" s="276"/>
      <c r="E500" s="276"/>
      <c r="F500" s="536"/>
      <c r="G500" s="536"/>
      <c r="H500" s="275"/>
      <c r="I500" s="415"/>
      <c r="J500" s="415"/>
      <c r="K500" s="715"/>
      <c r="L500" s="275"/>
    </row>
    <row r="501" spans="1:12">
      <c r="A501" s="274"/>
      <c r="B501" s="275"/>
      <c r="C501" s="276"/>
      <c r="D501" s="276"/>
      <c r="E501" s="276"/>
      <c r="F501" s="536"/>
      <c r="G501" s="536"/>
      <c r="H501" s="275"/>
      <c r="I501" s="415"/>
      <c r="J501" s="415"/>
      <c r="K501" s="715"/>
      <c r="L501" s="275"/>
    </row>
    <row r="502" spans="1:12">
      <c r="A502" s="274"/>
      <c r="B502" s="275"/>
      <c r="C502" s="276"/>
      <c r="D502" s="276"/>
      <c r="E502" s="276"/>
      <c r="F502" s="536"/>
      <c r="G502" s="536"/>
      <c r="H502" s="275"/>
      <c r="I502" s="415"/>
      <c r="J502" s="415"/>
      <c r="K502" s="715"/>
      <c r="L502" s="275"/>
    </row>
    <row r="503" spans="1:12">
      <c r="A503" s="274"/>
      <c r="B503" s="275"/>
      <c r="C503" s="276"/>
      <c r="D503" s="276"/>
      <c r="E503" s="276"/>
      <c r="F503" s="536"/>
      <c r="G503" s="536"/>
      <c r="H503" s="275"/>
      <c r="I503" s="415"/>
      <c r="J503" s="415"/>
      <c r="K503" s="715"/>
      <c r="L503" s="275"/>
    </row>
    <row r="504" spans="1:12">
      <c r="A504" s="274"/>
      <c r="B504" s="275"/>
      <c r="C504" s="276"/>
      <c r="D504" s="276"/>
      <c r="E504" s="276"/>
      <c r="F504" s="536"/>
      <c r="G504" s="536"/>
      <c r="H504" s="275"/>
      <c r="I504" s="415"/>
      <c r="J504" s="415"/>
      <c r="K504" s="715"/>
      <c r="L504" s="275"/>
    </row>
    <row r="505" spans="1:12">
      <c r="A505" s="274"/>
      <c r="B505" s="275"/>
      <c r="C505" s="276"/>
      <c r="D505" s="276"/>
      <c r="E505" s="276"/>
      <c r="F505" s="536"/>
      <c r="G505" s="536"/>
      <c r="H505" s="275"/>
      <c r="I505" s="415"/>
      <c r="J505" s="415"/>
      <c r="K505" s="715"/>
      <c r="L505" s="275"/>
    </row>
    <row r="506" spans="1:12">
      <c r="A506" s="274"/>
      <c r="B506" s="275"/>
      <c r="C506" s="276"/>
      <c r="D506" s="276"/>
      <c r="E506" s="276"/>
      <c r="F506" s="536"/>
      <c r="G506" s="536"/>
      <c r="H506" s="275"/>
      <c r="I506" s="415"/>
      <c r="J506" s="415"/>
      <c r="K506" s="715"/>
      <c r="L506" s="275"/>
    </row>
    <row r="507" spans="1:12">
      <c r="A507" s="274"/>
      <c r="B507" s="275"/>
      <c r="C507" s="276"/>
      <c r="D507" s="276"/>
      <c r="E507" s="276"/>
      <c r="F507" s="536"/>
      <c r="G507" s="536"/>
      <c r="H507" s="275"/>
      <c r="I507" s="415"/>
      <c r="J507" s="415"/>
      <c r="K507" s="715"/>
      <c r="L507" s="275"/>
    </row>
    <row r="508" spans="1:12">
      <c r="A508" s="274"/>
      <c r="B508" s="275"/>
      <c r="C508" s="276"/>
      <c r="D508" s="276"/>
      <c r="E508" s="276"/>
      <c r="F508" s="536"/>
      <c r="G508" s="536"/>
      <c r="H508" s="275"/>
      <c r="I508" s="415"/>
      <c r="J508" s="415"/>
      <c r="K508" s="715"/>
      <c r="L508" s="275"/>
    </row>
    <row r="509" spans="1:12">
      <c r="A509" s="274"/>
      <c r="B509" s="275"/>
      <c r="C509" s="276"/>
      <c r="D509" s="276"/>
      <c r="E509" s="276"/>
      <c r="F509" s="536"/>
      <c r="G509" s="536"/>
      <c r="H509" s="275"/>
      <c r="I509" s="415"/>
      <c r="J509" s="415"/>
      <c r="K509" s="715"/>
      <c r="L509" s="275"/>
    </row>
    <row r="510" spans="1:12">
      <c r="A510" s="274"/>
      <c r="B510" s="275"/>
      <c r="C510" s="276"/>
      <c r="D510" s="276"/>
      <c r="E510" s="276"/>
      <c r="F510" s="536"/>
      <c r="G510" s="536"/>
      <c r="H510" s="275"/>
      <c r="I510" s="415"/>
      <c r="J510" s="415"/>
      <c r="K510" s="715"/>
      <c r="L510" s="275"/>
    </row>
    <row r="511" spans="1:12">
      <c r="A511" s="274"/>
      <c r="B511" s="275"/>
      <c r="C511" s="276"/>
      <c r="D511" s="276"/>
      <c r="E511" s="276"/>
      <c r="F511" s="536"/>
      <c r="G511" s="536"/>
      <c r="H511" s="275"/>
      <c r="I511" s="415"/>
      <c r="J511" s="415"/>
      <c r="K511" s="715"/>
      <c r="L511" s="275"/>
    </row>
    <row r="512" spans="1:12">
      <c r="A512" s="274"/>
      <c r="B512" s="275"/>
      <c r="C512" s="276"/>
      <c r="D512" s="276"/>
      <c r="E512" s="276"/>
      <c r="F512" s="536"/>
      <c r="G512" s="536"/>
      <c r="H512" s="275"/>
      <c r="I512" s="415"/>
      <c r="J512" s="415"/>
      <c r="K512" s="715"/>
      <c r="L512" s="275"/>
    </row>
    <row r="513" spans="1:12">
      <c r="A513" s="274"/>
      <c r="B513" s="275"/>
      <c r="C513" s="276"/>
      <c r="D513" s="276"/>
      <c r="E513" s="276"/>
      <c r="F513" s="536"/>
      <c r="G513" s="536"/>
      <c r="H513" s="275"/>
      <c r="I513" s="415"/>
      <c r="J513" s="415"/>
      <c r="K513" s="715"/>
      <c r="L513" s="275"/>
    </row>
    <row r="514" spans="1:12">
      <c r="A514" s="274"/>
      <c r="B514" s="275"/>
      <c r="C514" s="276"/>
      <c r="D514" s="276"/>
      <c r="E514" s="276"/>
      <c r="F514" s="536"/>
      <c r="G514" s="536"/>
      <c r="H514" s="275"/>
      <c r="I514" s="415"/>
      <c r="J514" s="415"/>
      <c r="K514" s="715"/>
      <c r="L514" s="275"/>
    </row>
    <row r="515" spans="1:12">
      <c r="A515" s="274"/>
      <c r="B515" s="275"/>
      <c r="C515" s="276"/>
      <c r="D515" s="276"/>
      <c r="E515" s="276"/>
      <c r="F515" s="536"/>
      <c r="G515" s="536"/>
      <c r="H515" s="275"/>
      <c r="I515" s="415"/>
      <c r="J515" s="415"/>
      <c r="K515" s="715"/>
      <c r="L515" s="275"/>
    </row>
    <row r="516" spans="1:12">
      <c r="A516" s="274"/>
      <c r="B516" s="275"/>
      <c r="C516" s="276"/>
      <c r="D516" s="276"/>
      <c r="E516" s="276"/>
      <c r="F516" s="536"/>
      <c r="G516" s="536"/>
      <c r="H516" s="275"/>
      <c r="I516" s="415"/>
      <c r="J516" s="415"/>
      <c r="K516" s="715"/>
      <c r="L516" s="275"/>
    </row>
    <row r="517" spans="1:12">
      <c r="A517" s="274"/>
      <c r="B517" s="275"/>
      <c r="C517" s="276"/>
      <c r="D517" s="276"/>
      <c r="E517" s="276"/>
      <c r="F517" s="536"/>
      <c r="G517" s="536"/>
      <c r="H517" s="275"/>
      <c r="I517" s="415"/>
      <c r="J517" s="415"/>
      <c r="K517" s="715"/>
      <c r="L517" s="275"/>
    </row>
    <row r="518" spans="1:12">
      <c r="A518" s="274"/>
      <c r="B518" s="275"/>
      <c r="C518" s="276"/>
      <c r="D518" s="276"/>
      <c r="E518" s="276"/>
      <c r="F518" s="536"/>
      <c r="G518" s="536"/>
      <c r="H518" s="275"/>
      <c r="I518" s="415"/>
      <c r="J518" s="415"/>
      <c r="K518" s="715"/>
      <c r="L518" s="275"/>
    </row>
    <row r="519" spans="1:12">
      <c r="A519" s="274"/>
      <c r="B519" s="275"/>
      <c r="C519" s="276"/>
      <c r="D519" s="276"/>
      <c r="E519" s="276"/>
      <c r="F519" s="536"/>
      <c r="G519" s="536"/>
      <c r="H519" s="275"/>
      <c r="I519" s="415"/>
      <c r="J519" s="415"/>
      <c r="K519" s="715"/>
      <c r="L519" s="275"/>
    </row>
    <row r="520" spans="1:12">
      <c r="A520" s="274"/>
      <c r="B520" s="275"/>
      <c r="C520" s="276"/>
      <c r="D520" s="276"/>
      <c r="E520" s="276"/>
      <c r="F520" s="536"/>
      <c r="G520" s="536"/>
      <c r="H520" s="275"/>
      <c r="I520" s="415"/>
      <c r="J520" s="415"/>
      <c r="K520" s="715"/>
      <c r="L520" s="275"/>
    </row>
    <row r="521" spans="1:12">
      <c r="A521" s="274"/>
      <c r="B521" s="275"/>
      <c r="C521" s="276"/>
      <c r="D521" s="276"/>
      <c r="E521" s="276"/>
      <c r="F521" s="536"/>
      <c r="G521" s="536"/>
      <c r="H521" s="275"/>
      <c r="I521" s="415"/>
      <c r="J521" s="415"/>
      <c r="K521" s="715"/>
      <c r="L521" s="275"/>
    </row>
    <row r="522" spans="1:12">
      <c r="A522" s="274"/>
      <c r="B522" s="275"/>
      <c r="C522" s="276"/>
      <c r="D522" s="276"/>
      <c r="E522" s="276"/>
      <c r="F522" s="536"/>
      <c r="G522" s="536"/>
      <c r="H522" s="275"/>
      <c r="I522" s="415"/>
      <c r="J522" s="415"/>
      <c r="K522" s="715"/>
      <c r="L522" s="275"/>
    </row>
    <row r="523" spans="1:12">
      <c r="A523" s="274"/>
      <c r="B523" s="275"/>
      <c r="C523" s="276"/>
      <c r="D523" s="276"/>
      <c r="E523" s="276"/>
      <c r="F523" s="536"/>
      <c r="G523" s="536"/>
      <c r="H523" s="275"/>
      <c r="I523" s="415"/>
      <c r="J523" s="415"/>
      <c r="K523" s="715"/>
      <c r="L523" s="275"/>
    </row>
    <row r="524" spans="1:12">
      <c r="A524" s="274"/>
      <c r="B524" s="275"/>
      <c r="C524" s="276"/>
      <c r="D524" s="276"/>
      <c r="E524" s="276"/>
      <c r="F524" s="536"/>
      <c r="G524" s="536"/>
      <c r="H524" s="275"/>
      <c r="I524" s="415"/>
      <c r="J524" s="415"/>
      <c r="K524" s="715"/>
      <c r="L524" s="275"/>
    </row>
    <row r="525" spans="1:12">
      <c r="A525" s="274"/>
      <c r="B525" s="275"/>
      <c r="C525" s="276"/>
      <c r="D525" s="276"/>
      <c r="E525" s="276"/>
      <c r="F525" s="536"/>
      <c r="G525" s="536"/>
      <c r="H525" s="275"/>
      <c r="I525" s="415"/>
      <c r="J525" s="415"/>
      <c r="K525" s="715"/>
      <c r="L525" s="275"/>
    </row>
    <row r="526" spans="1:12">
      <c r="A526" s="274"/>
      <c r="B526" s="275"/>
      <c r="C526" s="276"/>
      <c r="D526" s="276"/>
      <c r="E526" s="276"/>
      <c r="F526" s="536"/>
      <c r="G526" s="536"/>
      <c r="H526" s="275"/>
      <c r="I526" s="415"/>
      <c r="J526" s="415"/>
      <c r="K526" s="715"/>
      <c r="L526" s="275"/>
    </row>
    <row r="527" spans="1:12">
      <c r="A527" s="274"/>
      <c r="B527" s="275"/>
      <c r="C527" s="276"/>
      <c r="D527" s="276"/>
      <c r="E527" s="276"/>
      <c r="F527" s="536"/>
      <c r="G527" s="536"/>
      <c r="H527" s="275"/>
      <c r="I527" s="415"/>
      <c r="J527" s="415"/>
      <c r="K527" s="715"/>
      <c r="L527" s="275"/>
    </row>
    <row r="528" spans="1:12">
      <c r="A528" s="274"/>
      <c r="B528" s="275"/>
      <c r="C528" s="276"/>
      <c r="D528" s="276"/>
      <c r="E528" s="276"/>
      <c r="F528" s="536"/>
      <c r="G528" s="536"/>
      <c r="H528" s="275"/>
      <c r="I528" s="415"/>
      <c r="J528" s="415"/>
      <c r="K528" s="715"/>
      <c r="L528" s="275"/>
    </row>
    <row r="529" spans="1:12">
      <c r="A529" s="274"/>
      <c r="B529" s="275"/>
      <c r="C529" s="276"/>
      <c r="D529" s="276"/>
      <c r="E529" s="276"/>
      <c r="F529" s="536"/>
      <c r="G529" s="536"/>
      <c r="H529" s="275"/>
      <c r="I529" s="415"/>
      <c r="J529" s="415"/>
      <c r="K529" s="715"/>
      <c r="L529" s="275"/>
    </row>
    <row r="530" spans="1:12">
      <c r="A530" s="274"/>
      <c r="B530" s="275"/>
      <c r="C530" s="276"/>
      <c r="D530" s="276"/>
      <c r="E530" s="276"/>
      <c r="F530" s="536"/>
      <c r="G530" s="536"/>
      <c r="H530" s="275"/>
      <c r="I530" s="415"/>
      <c r="J530" s="415"/>
      <c r="K530" s="715"/>
      <c r="L530" s="275"/>
    </row>
    <row r="531" spans="1:12">
      <c r="A531" s="274"/>
      <c r="B531" s="275"/>
      <c r="C531" s="276"/>
      <c r="D531" s="276"/>
      <c r="E531" s="276"/>
      <c r="F531" s="536"/>
      <c r="G531" s="536"/>
      <c r="H531" s="275"/>
      <c r="I531" s="415"/>
      <c r="J531" s="415"/>
      <c r="K531" s="715"/>
      <c r="L531" s="275"/>
    </row>
    <row r="532" spans="1:12">
      <c r="A532" s="274"/>
      <c r="B532" s="275"/>
      <c r="C532" s="276"/>
      <c r="D532" s="276"/>
      <c r="E532" s="276"/>
      <c r="F532" s="536"/>
      <c r="G532" s="536"/>
      <c r="H532" s="275"/>
      <c r="I532" s="415"/>
      <c r="J532" s="415"/>
      <c r="K532" s="715"/>
      <c r="L532" s="275"/>
    </row>
    <row r="533" spans="1:12">
      <c r="A533" s="274"/>
      <c r="B533" s="275"/>
      <c r="C533" s="276"/>
      <c r="D533" s="276"/>
      <c r="E533" s="276"/>
      <c r="F533" s="536"/>
      <c r="G533" s="536"/>
      <c r="H533" s="275"/>
      <c r="I533" s="415"/>
      <c r="J533" s="415"/>
      <c r="K533" s="715"/>
      <c r="L533" s="275"/>
    </row>
    <row r="534" spans="1:12">
      <c r="A534" s="274"/>
      <c r="B534" s="275"/>
      <c r="C534" s="276"/>
      <c r="D534" s="276"/>
      <c r="E534" s="276"/>
      <c r="F534" s="536"/>
      <c r="G534" s="536"/>
      <c r="H534" s="275"/>
      <c r="I534" s="415"/>
      <c r="J534" s="415"/>
      <c r="K534" s="715"/>
      <c r="L534" s="275"/>
    </row>
    <row r="535" spans="1:12">
      <c r="A535" s="274"/>
      <c r="B535" s="275"/>
      <c r="C535" s="276"/>
      <c r="D535" s="276"/>
      <c r="E535" s="276"/>
      <c r="F535" s="536"/>
      <c r="G535" s="536"/>
      <c r="H535" s="275"/>
      <c r="I535" s="415"/>
      <c r="J535" s="415"/>
      <c r="K535" s="715"/>
      <c r="L535" s="275"/>
    </row>
    <row r="536" spans="1:12">
      <c r="A536" s="274"/>
      <c r="B536" s="275"/>
      <c r="C536" s="276"/>
      <c r="D536" s="276"/>
      <c r="E536" s="276"/>
      <c r="F536" s="536"/>
      <c r="G536" s="536"/>
      <c r="H536" s="275"/>
      <c r="I536" s="415"/>
      <c r="J536" s="415"/>
      <c r="K536" s="715"/>
      <c r="L536" s="275"/>
    </row>
    <row r="537" spans="1:12">
      <c r="A537" s="274"/>
      <c r="B537" s="275"/>
      <c r="C537" s="276"/>
      <c r="D537" s="276"/>
      <c r="E537" s="276"/>
      <c r="F537" s="536"/>
      <c r="G537" s="536"/>
      <c r="H537" s="275"/>
      <c r="I537" s="415"/>
      <c r="J537" s="415"/>
      <c r="K537" s="715"/>
      <c r="L537" s="275"/>
    </row>
    <row r="538" spans="1:12">
      <c r="A538" s="274"/>
      <c r="B538" s="275"/>
      <c r="C538" s="276"/>
      <c r="D538" s="276"/>
      <c r="E538" s="276"/>
      <c r="F538" s="536"/>
      <c r="G538" s="536"/>
      <c r="H538" s="275"/>
      <c r="I538" s="415"/>
      <c r="J538" s="415"/>
      <c r="K538" s="715"/>
      <c r="L538" s="275"/>
    </row>
    <row r="539" spans="1:12">
      <c r="A539" s="274"/>
      <c r="B539" s="275"/>
      <c r="C539" s="276"/>
      <c r="D539" s="276"/>
      <c r="E539" s="276"/>
      <c r="F539" s="536"/>
      <c r="G539" s="536"/>
      <c r="H539" s="275"/>
      <c r="I539" s="415"/>
      <c r="J539" s="415"/>
      <c r="K539" s="715"/>
      <c r="L539" s="275"/>
    </row>
    <row r="540" spans="1:12">
      <c r="A540" s="274"/>
      <c r="B540" s="275"/>
      <c r="C540" s="276"/>
      <c r="D540" s="276"/>
      <c r="E540" s="276"/>
      <c r="F540" s="536"/>
      <c r="G540" s="536"/>
      <c r="H540" s="275"/>
      <c r="I540" s="415"/>
      <c r="J540" s="415"/>
      <c r="K540" s="715"/>
      <c r="L540" s="275"/>
    </row>
    <row r="541" spans="1:12">
      <c r="A541" s="274"/>
      <c r="B541" s="275"/>
      <c r="C541" s="276"/>
      <c r="D541" s="276"/>
      <c r="E541" s="276"/>
      <c r="F541" s="536"/>
      <c r="G541" s="536"/>
      <c r="H541" s="275"/>
      <c r="I541" s="415"/>
      <c r="J541" s="415"/>
      <c r="K541" s="715"/>
      <c r="L541" s="275"/>
    </row>
    <row r="542" spans="1:12">
      <c r="A542" s="274"/>
      <c r="B542" s="275"/>
      <c r="C542" s="276"/>
      <c r="D542" s="276"/>
      <c r="E542" s="276"/>
      <c r="F542" s="536"/>
      <c r="G542" s="536"/>
      <c r="H542" s="275"/>
      <c r="I542" s="415"/>
      <c r="J542" s="415"/>
      <c r="K542" s="715"/>
      <c r="L542" s="275"/>
    </row>
    <row r="543" spans="1:12">
      <c r="A543" s="274"/>
      <c r="B543" s="275"/>
      <c r="C543" s="276"/>
      <c r="D543" s="276"/>
      <c r="E543" s="276"/>
      <c r="F543" s="536"/>
      <c r="G543" s="536"/>
      <c r="H543" s="275"/>
      <c r="I543" s="415"/>
      <c r="J543" s="415"/>
      <c r="K543" s="715"/>
      <c r="L543" s="275"/>
    </row>
    <row r="544" spans="1:12">
      <c r="A544" s="274"/>
      <c r="B544" s="275"/>
      <c r="C544" s="276"/>
      <c r="D544" s="276"/>
      <c r="E544" s="276"/>
      <c r="F544" s="536"/>
      <c r="G544" s="536"/>
      <c r="H544" s="275"/>
      <c r="I544" s="415"/>
      <c r="J544" s="415"/>
      <c r="K544" s="715"/>
      <c r="L544" s="275"/>
    </row>
    <row r="545" spans="1:12">
      <c r="A545" s="274"/>
      <c r="B545" s="275"/>
      <c r="C545" s="276"/>
      <c r="D545" s="276"/>
      <c r="E545" s="276"/>
      <c r="F545" s="536"/>
      <c r="G545" s="536"/>
      <c r="H545" s="275"/>
      <c r="I545" s="415"/>
      <c r="J545" s="415"/>
      <c r="K545" s="715"/>
      <c r="L545" s="275"/>
    </row>
    <row r="546" spans="1:12">
      <c r="A546" s="274"/>
      <c r="B546" s="275"/>
      <c r="C546" s="276"/>
      <c r="D546" s="276"/>
      <c r="E546" s="276"/>
      <c r="F546" s="536"/>
      <c r="G546" s="536"/>
      <c r="H546" s="275"/>
      <c r="I546" s="415"/>
      <c r="J546" s="415"/>
      <c r="K546" s="715"/>
      <c r="L546" s="275"/>
    </row>
    <row r="547" spans="1:12">
      <c r="A547" s="274"/>
      <c r="B547" s="275"/>
      <c r="C547" s="276"/>
      <c r="D547" s="276"/>
      <c r="E547" s="276"/>
      <c r="F547" s="536"/>
      <c r="G547" s="536"/>
      <c r="H547" s="275"/>
      <c r="I547" s="415"/>
      <c r="J547" s="415"/>
      <c r="K547" s="715"/>
      <c r="L547" s="275"/>
    </row>
    <row r="548" spans="1:12">
      <c r="A548" s="274"/>
      <c r="B548" s="275"/>
      <c r="C548" s="276"/>
      <c r="D548" s="276"/>
      <c r="E548" s="276"/>
      <c r="F548" s="536"/>
      <c r="G548" s="536"/>
      <c r="H548" s="275"/>
      <c r="I548" s="415"/>
      <c r="J548" s="415"/>
      <c r="K548" s="715"/>
      <c r="L548" s="275"/>
    </row>
    <row r="549" spans="1:12">
      <c r="A549" s="274"/>
      <c r="B549" s="275"/>
      <c r="C549" s="276"/>
      <c r="D549" s="276"/>
      <c r="E549" s="276"/>
      <c r="F549" s="536"/>
      <c r="G549" s="536"/>
      <c r="H549" s="275"/>
      <c r="I549" s="415"/>
      <c r="J549" s="415"/>
      <c r="K549" s="715"/>
      <c r="L549" s="275"/>
    </row>
    <row r="550" spans="1:12">
      <c r="A550" s="274"/>
      <c r="B550" s="275"/>
      <c r="C550" s="276"/>
      <c r="D550" s="276"/>
      <c r="E550" s="276"/>
      <c r="F550" s="536"/>
      <c r="G550" s="536"/>
      <c r="H550" s="275"/>
      <c r="I550" s="415"/>
      <c r="J550" s="415"/>
      <c r="K550" s="715"/>
      <c r="L550" s="275"/>
    </row>
    <row r="551" spans="1:12">
      <c r="A551" s="274"/>
      <c r="B551" s="275"/>
      <c r="C551" s="276"/>
      <c r="D551" s="276"/>
      <c r="E551" s="276"/>
      <c r="F551" s="536"/>
      <c r="G551" s="536"/>
      <c r="H551" s="275"/>
      <c r="I551" s="415"/>
      <c r="J551" s="415"/>
      <c r="K551" s="715"/>
      <c r="L551" s="275"/>
    </row>
    <row r="552" spans="1:12">
      <c r="A552" s="274"/>
      <c r="B552" s="275"/>
      <c r="C552" s="276"/>
      <c r="D552" s="276"/>
      <c r="E552" s="276"/>
      <c r="F552" s="536"/>
      <c r="G552" s="536"/>
      <c r="H552" s="275"/>
      <c r="I552" s="415"/>
      <c r="J552" s="415"/>
      <c r="K552" s="715"/>
      <c r="L552" s="275"/>
    </row>
    <row r="553" spans="1:12">
      <c r="A553" s="274"/>
      <c r="B553" s="275"/>
      <c r="C553" s="276"/>
      <c r="D553" s="276"/>
      <c r="E553" s="276"/>
      <c r="F553" s="536"/>
      <c r="G553" s="536"/>
      <c r="H553" s="275"/>
      <c r="I553" s="415"/>
      <c r="J553" s="415"/>
      <c r="K553" s="715"/>
      <c r="L553" s="275"/>
    </row>
    <row r="554" spans="1:12">
      <c r="A554" s="274"/>
      <c r="B554" s="275"/>
      <c r="C554" s="276"/>
      <c r="D554" s="276"/>
      <c r="E554" s="276"/>
      <c r="F554" s="536"/>
      <c r="G554" s="536"/>
      <c r="H554" s="275"/>
      <c r="I554" s="415"/>
      <c r="J554" s="415"/>
      <c r="K554" s="715"/>
      <c r="L554" s="275"/>
    </row>
    <row r="555" spans="1:12">
      <c r="A555" s="274"/>
      <c r="B555" s="275"/>
      <c r="C555" s="276"/>
      <c r="D555" s="276"/>
      <c r="E555" s="276"/>
      <c r="F555" s="536"/>
      <c r="G555" s="536"/>
      <c r="H555" s="275"/>
      <c r="I555" s="415"/>
      <c r="J555" s="415"/>
      <c r="K555" s="715"/>
      <c r="L555" s="275"/>
    </row>
    <row r="556" spans="1:12">
      <c r="A556" s="274"/>
      <c r="B556" s="275"/>
      <c r="C556" s="276"/>
      <c r="D556" s="276"/>
      <c r="E556" s="276"/>
      <c r="F556" s="536"/>
      <c r="G556" s="536"/>
      <c r="H556" s="275"/>
      <c r="I556" s="415"/>
      <c r="J556" s="415"/>
      <c r="K556" s="715"/>
      <c r="L556" s="275"/>
    </row>
    <row r="557" spans="1:12">
      <c r="A557" s="274"/>
      <c r="B557" s="275"/>
      <c r="C557" s="276"/>
      <c r="D557" s="276"/>
      <c r="E557" s="276"/>
      <c r="F557" s="536"/>
      <c r="G557" s="536"/>
      <c r="H557" s="275"/>
      <c r="I557" s="415"/>
      <c r="J557" s="415"/>
      <c r="K557" s="715"/>
      <c r="L557" s="275"/>
    </row>
    <row r="558" spans="1:12">
      <c r="A558" s="274"/>
      <c r="B558" s="275"/>
      <c r="C558" s="276"/>
      <c r="D558" s="276"/>
      <c r="E558" s="276"/>
      <c r="F558" s="536"/>
      <c r="G558" s="536"/>
      <c r="H558" s="275"/>
      <c r="I558" s="415"/>
      <c r="J558" s="415"/>
      <c r="K558" s="715"/>
      <c r="L558" s="275"/>
    </row>
    <row r="559" spans="1:12">
      <c r="A559" s="274"/>
      <c r="B559" s="275"/>
      <c r="C559" s="276"/>
      <c r="D559" s="276"/>
      <c r="E559" s="276"/>
      <c r="F559" s="536"/>
      <c r="G559" s="536"/>
      <c r="H559" s="275"/>
      <c r="I559" s="415"/>
      <c r="J559" s="415"/>
      <c r="K559" s="715"/>
      <c r="L559" s="275"/>
    </row>
    <row r="560" spans="1:12">
      <c r="A560" s="274"/>
      <c r="B560" s="275"/>
      <c r="C560" s="276"/>
      <c r="D560" s="276"/>
      <c r="E560" s="276"/>
      <c r="F560" s="536"/>
      <c r="G560" s="536"/>
      <c r="H560" s="275"/>
      <c r="I560" s="415"/>
      <c r="J560" s="415"/>
      <c r="K560" s="715"/>
      <c r="L560" s="275"/>
    </row>
    <row r="561" spans="1:12">
      <c r="A561" s="274"/>
      <c r="B561" s="275"/>
      <c r="C561" s="276"/>
      <c r="D561" s="276"/>
      <c r="E561" s="276"/>
      <c r="F561" s="536"/>
      <c r="G561" s="536"/>
      <c r="H561" s="275"/>
      <c r="I561" s="415"/>
      <c r="J561" s="415"/>
      <c r="K561" s="715"/>
      <c r="L561" s="275"/>
    </row>
    <row r="562" spans="1:12">
      <c r="A562" s="274"/>
      <c r="B562" s="275"/>
      <c r="C562" s="276"/>
      <c r="D562" s="276"/>
      <c r="E562" s="276"/>
      <c r="F562" s="536"/>
      <c r="G562" s="536"/>
      <c r="H562" s="275"/>
      <c r="I562" s="415"/>
      <c r="J562" s="415"/>
      <c r="K562" s="715"/>
      <c r="L562" s="275"/>
    </row>
    <row r="563" spans="1:12">
      <c r="A563" s="274"/>
      <c r="B563" s="275"/>
      <c r="C563" s="276"/>
      <c r="D563" s="276"/>
      <c r="E563" s="276"/>
      <c r="F563" s="536"/>
      <c r="G563" s="536"/>
      <c r="H563" s="275"/>
      <c r="I563" s="415"/>
      <c r="J563" s="415"/>
      <c r="K563" s="715"/>
      <c r="L563" s="275"/>
    </row>
    <row r="564" spans="1:12">
      <c r="A564" s="274"/>
      <c r="B564" s="275"/>
      <c r="C564" s="276"/>
      <c r="D564" s="276"/>
      <c r="E564" s="276"/>
      <c r="F564" s="536"/>
      <c r="G564" s="536"/>
      <c r="H564" s="275"/>
      <c r="I564" s="415"/>
      <c r="J564" s="415"/>
      <c r="K564" s="715"/>
      <c r="L564" s="275"/>
    </row>
    <row r="565" spans="1:12">
      <c r="A565" s="274"/>
      <c r="B565" s="275"/>
      <c r="C565" s="276"/>
      <c r="D565" s="276"/>
      <c r="E565" s="276"/>
      <c r="F565" s="536"/>
      <c r="G565" s="536"/>
      <c r="H565" s="275"/>
      <c r="I565" s="415"/>
      <c r="J565" s="415"/>
      <c r="K565" s="715"/>
      <c r="L565" s="275"/>
    </row>
    <row r="566" spans="1:12">
      <c r="A566" s="274"/>
      <c r="B566" s="275"/>
      <c r="C566" s="276"/>
      <c r="D566" s="276"/>
      <c r="E566" s="276"/>
      <c r="F566" s="536"/>
      <c r="G566" s="536"/>
      <c r="H566" s="275"/>
      <c r="I566" s="415"/>
      <c r="J566" s="415"/>
      <c r="K566" s="715"/>
      <c r="L566" s="275"/>
    </row>
    <row r="567" spans="1:12">
      <c r="A567" s="274"/>
      <c r="B567" s="275"/>
      <c r="C567" s="276"/>
      <c r="D567" s="276"/>
      <c r="E567" s="276"/>
      <c r="F567" s="536"/>
      <c r="G567" s="536"/>
      <c r="H567" s="275"/>
      <c r="I567" s="415"/>
      <c r="J567" s="415"/>
      <c r="K567" s="715"/>
      <c r="L567" s="275"/>
    </row>
    <row r="568" spans="1:12">
      <c r="A568" s="274"/>
      <c r="B568" s="275"/>
      <c r="C568" s="276"/>
      <c r="D568" s="276"/>
      <c r="E568" s="276"/>
      <c r="F568" s="536"/>
      <c r="G568" s="536"/>
      <c r="H568" s="275"/>
      <c r="I568" s="415"/>
      <c r="J568" s="415"/>
      <c r="K568" s="715"/>
      <c r="L568" s="275"/>
    </row>
    <row r="569" spans="1:12">
      <c r="A569" s="274"/>
      <c r="B569" s="275"/>
      <c r="C569" s="276"/>
      <c r="D569" s="276"/>
      <c r="E569" s="276"/>
      <c r="F569" s="536"/>
      <c r="G569" s="536"/>
      <c r="H569" s="275"/>
      <c r="I569" s="415"/>
      <c r="J569" s="415"/>
      <c r="K569" s="715"/>
      <c r="L569" s="275"/>
    </row>
    <row r="570" spans="1:12">
      <c r="A570" s="274"/>
      <c r="B570" s="275"/>
      <c r="C570" s="276"/>
      <c r="D570" s="276"/>
      <c r="E570" s="276"/>
      <c r="F570" s="536"/>
      <c r="G570" s="536"/>
      <c r="H570" s="275"/>
      <c r="I570" s="415"/>
      <c r="J570" s="415"/>
      <c r="K570" s="715"/>
      <c r="L570" s="275"/>
    </row>
    <row r="571" spans="1:12">
      <c r="A571" s="274"/>
      <c r="B571" s="275"/>
      <c r="C571" s="276"/>
      <c r="D571" s="276"/>
      <c r="E571" s="276"/>
      <c r="F571" s="536"/>
      <c r="G571" s="536"/>
      <c r="H571" s="275"/>
      <c r="I571" s="415"/>
      <c r="J571" s="415"/>
      <c r="K571" s="715"/>
      <c r="L571" s="275"/>
    </row>
    <row r="572" spans="1:12">
      <c r="A572" s="274"/>
      <c r="B572" s="275"/>
      <c r="C572" s="276"/>
      <c r="D572" s="276"/>
      <c r="E572" s="276"/>
      <c r="F572" s="536"/>
      <c r="G572" s="536"/>
      <c r="H572" s="275"/>
      <c r="I572" s="415"/>
      <c r="J572" s="415"/>
      <c r="K572" s="715"/>
      <c r="L572" s="275"/>
    </row>
    <row r="573" spans="1:12">
      <c r="A573" s="274"/>
      <c r="B573" s="275"/>
      <c r="C573" s="276"/>
      <c r="D573" s="276"/>
      <c r="E573" s="276"/>
      <c r="F573" s="536"/>
      <c r="G573" s="536"/>
      <c r="H573" s="275"/>
      <c r="I573" s="415"/>
      <c r="J573" s="415"/>
      <c r="K573" s="715"/>
      <c r="L573" s="275"/>
    </row>
    <row r="574" spans="1:12">
      <c r="A574" s="274"/>
      <c r="B574" s="275"/>
      <c r="C574" s="276"/>
      <c r="D574" s="276"/>
      <c r="E574" s="276"/>
      <c r="F574" s="536"/>
      <c r="G574" s="536"/>
      <c r="H574" s="275"/>
      <c r="I574" s="415"/>
      <c r="J574" s="415"/>
      <c r="K574" s="715"/>
      <c r="L574" s="275"/>
    </row>
    <row r="575" spans="1:12">
      <c r="A575" s="274"/>
      <c r="B575" s="275"/>
      <c r="C575" s="276"/>
      <c r="D575" s="276"/>
      <c r="E575" s="276"/>
      <c r="F575" s="536"/>
      <c r="G575" s="536"/>
      <c r="H575" s="275"/>
      <c r="I575" s="415"/>
      <c r="J575" s="415"/>
      <c r="K575" s="715"/>
      <c r="L575" s="275"/>
    </row>
    <row r="576" spans="1:12">
      <c r="A576" s="274"/>
      <c r="B576" s="275"/>
      <c r="C576" s="276"/>
      <c r="D576" s="276"/>
      <c r="E576" s="276"/>
      <c r="F576" s="536"/>
      <c r="G576" s="536"/>
      <c r="H576" s="275"/>
      <c r="I576" s="415"/>
      <c r="J576" s="415"/>
      <c r="K576" s="715"/>
      <c r="L576" s="275"/>
    </row>
    <row r="577" spans="1:12">
      <c r="A577" s="274"/>
      <c r="B577" s="275"/>
      <c r="C577" s="276"/>
      <c r="D577" s="276"/>
      <c r="E577" s="276"/>
      <c r="F577" s="536"/>
      <c r="G577" s="536"/>
      <c r="H577" s="275"/>
      <c r="I577" s="415"/>
      <c r="J577" s="415"/>
      <c r="K577" s="715"/>
      <c r="L577" s="275"/>
    </row>
    <row r="578" spans="1:12">
      <c r="A578" s="274"/>
      <c r="B578" s="275"/>
      <c r="C578" s="276"/>
      <c r="D578" s="276"/>
      <c r="E578" s="276"/>
      <c r="F578" s="536"/>
      <c r="G578" s="536"/>
      <c r="H578" s="275"/>
      <c r="I578" s="415"/>
      <c r="J578" s="415"/>
      <c r="K578" s="715"/>
      <c r="L578" s="275"/>
    </row>
    <row r="579" spans="1:12">
      <c r="A579" s="274"/>
      <c r="B579" s="275"/>
      <c r="C579" s="276"/>
      <c r="D579" s="276"/>
      <c r="E579" s="276"/>
      <c r="F579" s="536"/>
      <c r="G579" s="536"/>
      <c r="H579" s="275"/>
      <c r="I579" s="415"/>
      <c r="J579" s="415"/>
      <c r="K579" s="715"/>
      <c r="L579" s="275"/>
    </row>
    <row r="580" spans="1:12">
      <c r="A580" s="274"/>
      <c r="B580" s="275"/>
      <c r="C580" s="276"/>
      <c r="D580" s="276"/>
      <c r="E580" s="276"/>
      <c r="F580" s="536"/>
      <c r="G580" s="536"/>
      <c r="H580" s="275"/>
      <c r="I580" s="415"/>
      <c r="J580" s="415"/>
      <c r="K580" s="715"/>
      <c r="L580" s="275"/>
    </row>
    <row r="581" spans="1:12">
      <c r="A581" s="274"/>
      <c r="B581" s="275"/>
      <c r="C581" s="276"/>
      <c r="D581" s="276"/>
      <c r="E581" s="276"/>
      <c r="F581" s="536"/>
      <c r="G581" s="536"/>
      <c r="H581" s="275"/>
      <c r="I581" s="415"/>
      <c r="J581" s="415"/>
      <c r="K581" s="715"/>
      <c r="L581" s="275"/>
    </row>
    <row r="582" spans="1:12">
      <c r="A582" s="274"/>
      <c r="B582" s="275"/>
      <c r="C582" s="276"/>
      <c r="D582" s="276"/>
      <c r="E582" s="276"/>
      <c r="F582" s="537"/>
      <c r="G582" s="536"/>
      <c r="H582" s="275"/>
      <c r="I582" s="415"/>
      <c r="J582" s="415"/>
      <c r="K582" s="715"/>
      <c r="L582" s="275"/>
    </row>
    <row r="583" spans="1:12">
      <c r="A583" s="274"/>
      <c r="B583" s="275"/>
      <c r="C583" s="276"/>
      <c r="D583" s="276"/>
      <c r="E583" s="276"/>
      <c r="F583" s="536"/>
      <c r="G583" s="536"/>
      <c r="H583" s="275"/>
      <c r="I583" s="415"/>
      <c r="J583" s="415"/>
      <c r="K583" s="715"/>
      <c r="L583" s="275"/>
    </row>
    <row r="584" spans="1:12">
      <c r="A584" s="274"/>
      <c r="B584" s="275"/>
      <c r="C584" s="276"/>
      <c r="D584" s="276"/>
      <c r="E584" s="276"/>
      <c r="F584" s="536"/>
      <c r="G584" s="536"/>
      <c r="H584" s="275"/>
      <c r="I584" s="415"/>
      <c r="J584" s="415"/>
      <c r="K584" s="715"/>
      <c r="L584" s="275"/>
    </row>
    <row r="585" spans="1:12">
      <c r="A585" s="274"/>
      <c r="B585" s="275"/>
      <c r="C585" s="276"/>
      <c r="D585" s="276"/>
      <c r="E585" s="276"/>
      <c r="F585" s="536"/>
      <c r="G585" s="536"/>
      <c r="H585" s="275"/>
      <c r="I585" s="415"/>
      <c r="J585" s="415"/>
      <c r="K585" s="715"/>
      <c r="L585" s="275"/>
    </row>
    <row r="586" spans="1:12">
      <c r="A586" s="274"/>
      <c r="B586" s="275"/>
      <c r="C586" s="276"/>
      <c r="D586" s="276"/>
      <c r="E586" s="276"/>
      <c r="F586" s="536"/>
      <c r="G586" s="536"/>
      <c r="H586" s="275"/>
      <c r="I586" s="415"/>
      <c r="J586" s="415"/>
      <c r="K586" s="715"/>
      <c r="L586" s="275"/>
    </row>
    <row r="587" spans="1:12">
      <c r="A587" s="274"/>
      <c r="B587" s="275"/>
      <c r="C587" s="276"/>
      <c r="D587" s="276"/>
      <c r="E587" s="276"/>
      <c r="F587" s="536"/>
      <c r="G587" s="536"/>
      <c r="H587" s="275"/>
      <c r="I587" s="415"/>
      <c r="J587" s="415"/>
      <c r="K587" s="715"/>
      <c r="L587" s="275"/>
    </row>
    <row r="588" spans="1:12">
      <c r="A588" s="274"/>
      <c r="B588" s="275"/>
      <c r="C588" s="276"/>
      <c r="D588" s="276"/>
      <c r="E588" s="276"/>
      <c r="F588" s="536"/>
      <c r="G588" s="536"/>
      <c r="H588" s="275"/>
      <c r="I588" s="415"/>
      <c r="J588" s="415"/>
      <c r="K588" s="715"/>
      <c r="L588" s="275"/>
    </row>
    <row r="589" spans="1:12">
      <c r="A589" s="274"/>
      <c r="B589" s="275"/>
      <c r="C589" s="276"/>
      <c r="D589" s="276"/>
      <c r="E589" s="276"/>
      <c r="F589" s="536"/>
      <c r="G589" s="536"/>
      <c r="H589" s="275"/>
      <c r="I589" s="415"/>
      <c r="J589" s="415"/>
      <c r="K589" s="715"/>
      <c r="L589" s="275"/>
    </row>
    <row r="590" spans="1:12">
      <c r="A590" s="274"/>
      <c r="B590" s="275"/>
      <c r="C590" s="276"/>
      <c r="D590" s="276"/>
      <c r="E590" s="276"/>
      <c r="F590" s="537"/>
      <c r="G590" s="536"/>
      <c r="H590" s="275"/>
      <c r="I590" s="415"/>
      <c r="J590" s="415"/>
      <c r="K590" s="715"/>
      <c r="L590" s="275"/>
    </row>
    <row r="591" spans="1:12">
      <c r="A591" s="274"/>
      <c r="B591" s="275"/>
      <c r="C591" s="276"/>
      <c r="D591" s="276"/>
      <c r="E591" s="276"/>
      <c r="F591" s="535"/>
      <c r="G591" s="536"/>
      <c r="H591" s="275"/>
      <c r="I591" s="415"/>
      <c r="J591" s="415"/>
      <c r="K591" s="715"/>
      <c r="L591" s="275"/>
    </row>
    <row r="592" spans="1:12">
      <c r="A592" s="274"/>
      <c r="B592" s="275"/>
      <c r="C592" s="276"/>
      <c r="D592" s="276"/>
      <c r="E592" s="276"/>
      <c r="F592" s="537"/>
      <c r="G592" s="536"/>
      <c r="H592" s="275"/>
      <c r="I592" s="415"/>
      <c r="J592" s="415"/>
      <c r="K592" s="715"/>
      <c r="L592" s="275"/>
    </row>
    <row r="593" spans="1:12">
      <c r="A593" s="274"/>
      <c r="B593" s="275"/>
      <c r="C593" s="276"/>
      <c r="D593" s="276"/>
      <c r="E593" s="276"/>
      <c r="F593" s="537"/>
      <c r="G593" s="536"/>
      <c r="H593" s="275"/>
      <c r="I593" s="415"/>
      <c r="J593" s="415"/>
      <c r="K593" s="715"/>
      <c r="L593" s="275"/>
    </row>
    <row r="594" spans="1:12">
      <c r="A594" s="274"/>
      <c r="B594" s="275"/>
      <c r="C594" s="276"/>
      <c r="D594" s="276"/>
      <c r="E594" s="276"/>
      <c r="F594" s="537"/>
      <c r="G594" s="536"/>
      <c r="H594" s="275"/>
      <c r="I594" s="415"/>
      <c r="J594" s="415"/>
      <c r="K594" s="715"/>
      <c r="L594" s="275"/>
    </row>
    <row r="595" spans="1:12">
      <c r="A595" s="274"/>
      <c r="B595" s="275"/>
      <c r="C595" s="276"/>
      <c r="D595" s="276"/>
      <c r="E595" s="276"/>
      <c r="F595" s="537"/>
      <c r="G595" s="536"/>
      <c r="H595" s="275"/>
      <c r="I595" s="415"/>
      <c r="J595" s="415"/>
      <c r="K595" s="715"/>
      <c r="L595" s="275"/>
    </row>
    <row r="596" spans="1:12">
      <c r="A596" s="274"/>
      <c r="B596" s="275"/>
      <c r="C596" s="276"/>
      <c r="D596" s="276"/>
      <c r="E596" s="276"/>
      <c r="F596" s="537"/>
      <c r="G596" s="536"/>
      <c r="H596" s="275"/>
      <c r="I596" s="415"/>
      <c r="J596" s="415"/>
      <c r="K596" s="715"/>
      <c r="L596" s="275"/>
    </row>
    <row r="597" spans="1:12">
      <c r="A597" s="274"/>
      <c r="B597" s="275"/>
      <c r="C597" s="276"/>
      <c r="D597" s="276"/>
      <c r="E597" s="276"/>
      <c r="F597" s="535"/>
      <c r="G597" s="536"/>
      <c r="H597" s="275"/>
      <c r="I597" s="415"/>
      <c r="J597" s="415"/>
      <c r="K597" s="715"/>
      <c r="L597" s="275"/>
    </row>
    <row r="598" spans="1:12">
      <c r="A598" s="274"/>
      <c r="B598" s="275"/>
      <c r="C598" s="276"/>
      <c r="D598" s="276"/>
      <c r="E598" s="276"/>
      <c r="F598" s="535"/>
      <c r="G598" s="536"/>
      <c r="H598" s="275"/>
      <c r="I598" s="415"/>
      <c r="J598" s="415"/>
      <c r="K598" s="715"/>
      <c r="L598" s="275"/>
    </row>
    <row r="599" spans="1:12">
      <c r="A599" s="274"/>
      <c r="B599" s="275"/>
      <c r="C599" s="276"/>
      <c r="D599" s="276"/>
      <c r="E599" s="276"/>
      <c r="F599" s="535"/>
      <c r="G599" s="536"/>
      <c r="H599" s="275"/>
      <c r="I599" s="415"/>
      <c r="J599" s="415"/>
      <c r="K599" s="715"/>
      <c r="L599" s="275"/>
    </row>
    <row r="600" spans="1:12">
      <c r="A600" s="274"/>
      <c r="B600" s="275"/>
      <c r="C600" s="276"/>
      <c r="D600" s="276"/>
      <c r="E600" s="276"/>
      <c r="F600" s="537"/>
      <c r="G600" s="536"/>
      <c r="H600" s="275"/>
      <c r="I600" s="415"/>
      <c r="J600" s="415"/>
      <c r="K600" s="715"/>
      <c r="L600" s="275"/>
    </row>
    <row r="601" spans="1:12">
      <c r="A601" s="274"/>
      <c r="B601" s="275"/>
      <c r="C601" s="276"/>
      <c r="D601" s="276"/>
      <c r="E601" s="276"/>
      <c r="F601" s="536"/>
      <c r="G601" s="536"/>
      <c r="H601" s="275"/>
      <c r="I601" s="415"/>
      <c r="J601" s="415"/>
      <c r="K601" s="715"/>
      <c r="L601" s="275"/>
    </row>
    <row r="602" spans="1:12">
      <c r="A602" s="274"/>
      <c r="B602" s="275"/>
      <c r="C602" s="276"/>
      <c r="D602" s="276"/>
      <c r="E602" s="276"/>
      <c r="F602" s="536"/>
      <c r="G602" s="536"/>
      <c r="H602" s="275"/>
      <c r="I602" s="415"/>
      <c r="J602" s="415"/>
      <c r="K602" s="715"/>
      <c r="L602" s="275"/>
    </row>
    <row r="603" spans="1:12">
      <c r="A603" s="274"/>
      <c r="B603" s="275"/>
      <c r="C603" s="276"/>
      <c r="D603" s="276"/>
      <c r="E603" s="276"/>
      <c r="F603" s="536"/>
      <c r="G603" s="536"/>
      <c r="H603" s="275"/>
      <c r="I603" s="415"/>
      <c r="J603" s="415"/>
      <c r="K603" s="715"/>
      <c r="L603" s="275"/>
    </row>
    <row r="604" spans="1:12">
      <c r="A604" s="274"/>
      <c r="B604" s="275"/>
      <c r="C604" s="276"/>
      <c r="D604" s="276"/>
      <c r="E604" s="276"/>
      <c r="F604" s="536"/>
      <c r="G604" s="536"/>
      <c r="H604" s="275"/>
      <c r="I604" s="415"/>
      <c r="J604" s="415"/>
      <c r="K604" s="715"/>
      <c r="L604" s="275"/>
    </row>
    <row r="605" spans="1:12">
      <c r="A605" s="274"/>
      <c r="B605" s="275"/>
      <c r="C605" s="276"/>
      <c r="D605" s="276"/>
      <c r="E605" s="276"/>
      <c r="F605" s="536"/>
      <c r="G605" s="536"/>
      <c r="H605" s="275"/>
      <c r="I605" s="415"/>
      <c r="J605" s="415"/>
      <c r="K605" s="715"/>
      <c r="L605" s="275"/>
    </row>
    <row r="606" spans="1:12">
      <c r="A606" s="274"/>
      <c r="B606" s="275"/>
      <c r="C606" s="276"/>
      <c r="D606" s="276"/>
      <c r="E606" s="276"/>
      <c r="F606" s="536"/>
      <c r="G606" s="536"/>
      <c r="H606" s="275"/>
      <c r="I606" s="415"/>
      <c r="J606" s="415"/>
      <c r="K606" s="715"/>
      <c r="L606" s="275"/>
    </row>
    <row r="607" spans="1:12">
      <c r="A607" s="274"/>
      <c r="B607" s="275"/>
      <c r="C607" s="276"/>
      <c r="D607" s="276"/>
      <c r="E607" s="276"/>
      <c r="F607" s="536"/>
      <c r="G607" s="536"/>
      <c r="H607" s="275"/>
      <c r="I607" s="415"/>
      <c r="J607" s="415"/>
      <c r="K607" s="715"/>
      <c r="L607" s="275"/>
    </row>
    <row r="608" spans="1:12">
      <c r="A608" s="274"/>
      <c r="B608" s="275"/>
      <c r="C608" s="276"/>
      <c r="D608" s="276"/>
      <c r="E608" s="276"/>
      <c r="F608" s="536"/>
      <c r="G608" s="536"/>
      <c r="H608" s="275"/>
      <c r="I608" s="415"/>
      <c r="J608" s="415"/>
      <c r="K608" s="715"/>
      <c r="L608" s="275"/>
    </row>
    <row r="609" spans="1:12">
      <c r="A609" s="274"/>
      <c r="B609" s="275"/>
      <c r="C609" s="276"/>
      <c r="D609" s="276"/>
      <c r="E609" s="276"/>
      <c r="F609" s="536"/>
      <c r="G609" s="536"/>
      <c r="H609" s="275"/>
      <c r="I609" s="415"/>
      <c r="J609" s="415"/>
      <c r="K609" s="715"/>
      <c r="L609" s="275"/>
    </row>
    <row r="610" spans="1:12">
      <c r="A610" s="274"/>
      <c r="B610" s="275"/>
      <c r="C610" s="276"/>
      <c r="D610" s="276"/>
      <c r="E610" s="276"/>
      <c r="F610" s="536"/>
      <c r="G610" s="536"/>
      <c r="H610" s="275"/>
      <c r="I610" s="415"/>
      <c r="J610" s="415"/>
      <c r="K610" s="715"/>
      <c r="L610" s="275"/>
    </row>
    <row r="611" spans="1:12">
      <c r="A611" s="274"/>
      <c r="B611" s="275"/>
      <c r="C611" s="276"/>
      <c r="D611" s="276"/>
      <c r="E611" s="276"/>
      <c r="F611" s="536"/>
      <c r="G611" s="536"/>
      <c r="H611" s="275"/>
      <c r="I611" s="415"/>
      <c r="J611" s="415"/>
      <c r="K611" s="715"/>
      <c r="L611" s="275"/>
    </row>
    <row r="612" spans="1:12">
      <c r="A612" s="274"/>
      <c r="B612" s="275"/>
      <c r="C612" s="276"/>
      <c r="D612" s="276"/>
      <c r="E612" s="276"/>
      <c r="F612" s="536"/>
      <c r="G612" s="536"/>
      <c r="H612" s="275"/>
      <c r="I612" s="415"/>
      <c r="J612" s="415"/>
      <c r="K612" s="715"/>
      <c r="L612" s="275"/>
    </row>
    <row r="613" spans="1:12">
      <c r="A613" s="274"/>
      <c r="B613" s="275"/>
      <c r="C613" s="276"/>
      <c r="D613" s="276"/>
      <c r="E613" s="276"/>
      <c r="F613" s="536"/>
      <c r="G613" s="536"/>
      <c r="H613" s="275"/>
      <c r="I613" s="415"/>
      <c r="J613" s="415"/>
      <c r="K613" s="715"/>
      <c r="L613" s="275"/>
    </row>
    <row r="614" spans="1:12">
      <c r="A614" s="274"/>
      <c r="B614" s="275"/>
      <c r="C614" s="276"/>
      <c r="D614" s="276"/>
      <c r="E614" s="276"/>
      <c r="F614" s="536"/>
      <c r="G614" s="536"/>
      <c r="H614" s="275"/>
      <c r="I614" s="415"/>
      <c r="J614" s="415"/>
      <c r="K614" s="715"/>
      <c r="L614" s="275"/>
    </row>
    <row r="615" spans="1:12">
      <c r="A615" s="274"/>
      <c r="B615" s="275"/>
      <c r="C615" s="276"/>
      <c r="D615" s="276"/>
      <c r="E615" s="276"/>
      <c r="F615" s="536"/>
      <c r="G615" s="536"/>
      <c r="H615" s="275"/>
      <c r="I615" s="415"/>
      <c r="J615" s="415"/>
      <c r="K615" s="715"/>
      <c r="L615" s="275"/>
    </row>
    <row r="616" spans="1:12">
      <c r="A616" s="274"/>
      <c r="B616" s="275"/>
      <c r="C616" s="276"/>
      <c r="D616" s="276"/>
      <c r="E616" s="276"/>
      <c r="F616" s="537"/>
      <c r="G616" s="536"/>
      <c r="H616" s="275"/>
      <c r="I616" s="415"/>
      <c r="J616" s="415"/>
      <c r="K616" s="715"/>
      <c r="L616" s="275"/>
    </row>
    <row r="617" spans="1:12">
      <c r="A617" s="274"/>
      <c r="B617" s="275"/>
      <c r="C617" s="276"/>
      <c r="D617" s="276"/>
      <c r="E617" s="276"/>
      <c r="F617" s="537"/>
      <c r="G617" s="536"/>
      <c r="H617" s="275"/>
      <c r="I617" s="415"/>
      <c r="J617" s="415"/>
      <c r="K617" s="715"/>
      <c r="L617" s="275"/>
    </row>
    <row r="618" spans="1:12">
      <c r="A618" s="274"/>
      <c r="B618" s="275"/>
      <c r="C618" s="276"/>
      <c r="D618" s="276"/>
      <c r="E618" s="276"/>
      <c r="F618" s="536"/>
      <c r="G618" s="536"/>
      <c r="H618" s="275"/>
      <c r="I618" s="415"/>
      <c r="J618" s="415"/>
      <c r="K618" s="715"/>
      <c r="L618" s="275"/>
    </row>
    <row r="619" spans="1:12">
      <c r="A619" s="274"/>
      <c r="B619" s="275"/>
      <c r="C619" s="276"/>
      <c r="D619" s="276"/>
      <c r="E619" s="276"/>
      <c r="F619" s="536"/>
      <c r="G619" s="536"/>
      <c r="H619" s="275"/>
      <c r="I619" s="415"/>
      <c r="J619" s="415"/>
      <c r="K619" s="715"/>
      <c r="L619" s="275"/>
    </row>
    <row r="620" spans="1:12">
      <c r="A620" s="274"/>
      <c r="B620" s="275"/>
      <c r="C620" s="276"/>
      <c r="D620" s="276"/>
      <c r="E620" s="276"/>
      <c r="F620" s="536"/>
      <c r="G620" s="536"/>
      <c r="H620" s="275"/>
      <c r="I620" s="415"/>
      <c r="J620" s="415"/>
      <c r="K620" s="715"/>
      <c r="L620" s="275"/>
    </row>
    <row r="621" spans="1:12">
      <c r="A621" s="274"/>
      <c r="B621" s="275"/>
      <c r="C621" s="276"/>
      <c r="D621" s="276"/>
      <c r="E621" s="276"/>
      <c r="F621" s="536"/>
      <c r="G621" s="536"/>
      <c r="H621" s="275"/>
      <c r="I621" s="415"/>
      <c r="J621" s="415"/>
      <c r="K621" s="715"/>
      <c r="L621" s="275"/>
    </row>
    <row r="622" spans="1:12">
      <c r="A622" s="274"/>
      <c r="B622" s="275"/>
      <c r="C622" s="276"/>
      <c r="D622" s="276"/>
      <c r="E622" s="276"/>
      <c r="F622" s="536"/>
      <c r="G622" s="536"/>
      <c r="H622" s="275"/>
      <c r="I622" s="415"/>
      <c r="J622" s="415"/>
      <c r="K622" s="715"/>
      <c r="L622" s="275"/>
    </row>
    <row r="623" spans="1:12">
      <c r="A623" s="274"/>
      <c r="B623" s="275"/>
      <c r="C623" s="276"/>
      <c r="D623" s="276"/>
      <c r="E623" s="276"/>
      <c r="F623" s="536"/>
      <c r="G623" s="536"/>
      <c r="H623" s="275"/>
      <c r="I623" s="415"/>
      <c r="J623" s="415"/>
      <c r="K623" s="715"/>
      <c r="L623" s="275"/>
    </row>
    <row r="624" spans="1:12">
      <c r="A624" s="274"/>
      <c r="B624" s="275"/>
      <c r="C624" s="276"/>
      <c r="D624" s="276"/>
      <c r="E624" s="276"/>
      <c r="F624" s="536"/>
      <c r="G624" s="536"/>
      <c r="H624" s="275"/>
      <c r="I624" s="415"/>
      <c r="J624" s="415"/>
      <c r="K624" s="715"/>
      <c r="L624" s="275"/>
    </row>
    <row r="625" spans="1:12">
      <c r="A625" s="274"/>
      <c r="B625" s="275"/>
      <c r="C625" s="276"/>
      <c r="D625" s="276"/>
      <c r="E625" s="276"/>
      <c r="F625" s="537"/>
      <c r="G625" s="536"/>
      <c r="H625" s="275"/>
      <c r="I625" s="415"/>
      <c r="J625" s="415"/>
      <c r="K625" s="715"/>
      <c r="L625" s="275"/>
    </row>
    <row r="626" spans="1:12">
      <c r="A626" s="274"/>
      <c r="B626" s="275"/>
      <c r="C626" s="276"/>
      <c r="D626" s="276"/>
      <c r="E626" s="276"/>
      <c r="F626" s="536"/>
      <c r="G626" s="536"/>
      <c r="H626" s="275"/>
      <c r="I626" s="415"/>
      <c r="J626" s="415"/>
      <c r="K626" s="715"/>
      <c r="L626" s="275"/>
    </row>
    <row r="627" spans="1:12">
      <c r="A627" s="274"/>
      <c r="B627" s="275"/>
      <c r="C627" s="276"/>
      <c r="D627" s="276"/>
      <c r="E627" s="276"/>
      <c r="F627" s="536"/>
      <c r="G627" s="536"/>
      <c r="H627" s="275"/>
      <c r="I627" s="415"/>
      <c r="J627" s="415"/>
      <c r="K627" s="715"/>
      <c r="L627" s="275"/>
    </row>
    <row r="628" spans="1:12">
      <c r="A628" s="274"/>
      <c r="B628" s="275"/>
      <c r="C628" s="276"/>
      <c r="D628" s="276"/>
      <c r="E628" s="276"/>
      <c r="F628" s="536"/>
      <c r="G628" s="536"/>
      <c r="H628" s="275"/>
      <c r="I628" s="415"/>
      <c r="J628" s="415"/>
      <c r="K628" s="715"/>
      <c r="L628" s="275"/>
    </row>
    <row r="629" spans="1:12">
      <c r="A629" s="274"/>
      <c r="B629" s="275"/>
      <c r="C629" s="276"/>
      <c r="D629" s="276"/>
      <c r="E629" s="276"/>
      <c r="F629" s="536"/>
      <c r="G629" s="536"/>
      <c r="H629" s="275"/>
      <c r="I629" s="415"/>
      <c r="J629" s="415"/>
      <c r="K629" s="715"/>
      <c r="L629" s="275"/>
    </row>
    <row r="630" spans="1:12">
      <c r="A630" s="274"/>
      <c r="B630" s="275"/>
      <c r="C630" s="276"/>
      <c r="D630" s="276"/>
      <c r="E630" s="276"/>
      <c r="F630" s="536"/>
      <c r="G630" s="536"/>
      <c r="H630" s="275"/>
      <c r="I630" s="415"/>
      <c r="J630" s="415"/>
      <c r="K630" s="715"/>
      <c r="L630" s="275"/>
    </row>
    <row r="631" spans="1:12">
      <c r="A631" s="274"/>
      <c r="B631" s="275"/>
      <c r="C631" s="276"/>
      <c r="D631" s="276"/>
      <c r="E631" s="276"/>
      <c r="F631" s="537"/>
      <c r="G631" s="536"/>
      <c r="H631" s="275"/>
      <c r="I631" s="415"/>
      <c r="J631" s="415"/>
      <c r="K631" s="715"/>
      <c r="L631" s="275"/>
    </row>
    <row r="632" spans="1:12">
      <c r="A632" s="274"/>
      <c r="B632" s="275"/>
      <c r="C632" s="276"/>
      <c r="D632" s="276"/>
      <c r="E632" s="276"/>
      <c r="F632" s="537"/>
      <c r="G632" s="536"/>
      <c r="H632" s="275"/>
      <c r="I632" s="415"/>
      <c r="J632" s="415"/>
      <c r="K632" s="715"/>
      <c r="L632" s="275"/>
    </row>
    <row r="633" spans="1:12">
      <c r="A633" s="274"/>
      <c r="B633" s="275"/>
      <c r="C633" s="276"/>
      <c r="D633" s="276"/>
      <c r="E633" s="276"/>
      <c r="F633" s="536"/>
      <c r="G633" s="536"/>
      <c r="H633" s="275"/>
      <c r="I633" s="415"/>
      <c r="J633" s="415"/>
      <c r="K633" s="715"/>
      <c r="L633" s="275"/>
    </row>
    <row r="634" spans="1:12">
      <c r="A634" s="274"/>
      <c r="B634" s="275"/>
      <c r="C634" s="276"/>
      <c r="D634" s="276"/>
      <c r="E634" s="276"/>
      <c r="F634" s="536"/>
      <c r="G634" s="536"/>
      <c r="H634" s="275"/>
      <c r="I634" s="415"/>
      <c r="J634" s="415"/>
      <c r="K634" s="715"/>
      <c r="L634" s="275"/>
    </row>
    <row r="635" spans="1:12">
      <c r="A635" s="274"/>
      <c r="B635" s="275"/>
      <c r="C635" s="276"/>
      <c r="D635" s="276"/>
      <c r="E635" s="276"/>
      <c r="F635" s="536"/>
      <c r="G635" s="536"/>
      <c r="H635" s="275"/>
      <c r="I635" s="415"/>
      <c r="J635" s="415"/>
      <c r="K635" s="715"/>
      <c r="L635" s="275"/>
    </row>
    <row r="636" spans="1:12">
      <c r="A636" s="274"/>
      <c r="B636" s="275"/>
      <c r="C636" s="276"/>
      <c r="D636" s="276"/>
      <c r="E636" s="276"/>
      <c r="F636" s="536"/>
      <c r="G636" s="536"/>
      <c r="H636" s="275"/>
      <c r="I636" s="415"/>
      <c r="J636" s="415"/>
      <c r="K636" s="715"/>
      <c r="L636" s="275"/>
    </row>
    <row r="637" spans="1:12">
      <c r="A637" s="274"/>
      <c r="B637" s="275"/>
      <c r="C637" s="276"/>
      <c r="D637" s="276"/>
      <c r="E637" s="276"/>
      <c r="F637" s="536"/>
      <c r="G637" s="536"/>
      <c r="H637" s="275"/>
      <c r="I637" s="415"/>
      <c r="J637" s="415"/>
      <c r="K637" s="715"/>
      <c r="L637" s="275"/>
    </row>
    <row r="638" spans="1:12">
      <c r="A638" s="274"/>
      <c r="B638" s="275"/>
      <c r="C638" s="276"/>
      <c r="D638" s="276"/>
      <c r="E638" s="276"/>
      <c r="F638" s="536"/>
      <c r="G638" s="536"/>
      <c r="H638" s="275"/>
      <c r="I638" s="415"/>
      <c r="J638" s="415"/>
      <c r="K638" s="715"/>
      <c r="L638" s="275"/>
    </row>
    <row r="639" spans="1:12">
      <c r="A639" s="274"/>
      <c r="B639" s="275"/>
      <c r="C639" s="276"/>
      <c r="D639" s="276"/>
      <c r="E639" s="276"/>
      <c r="F639" s="536"/>
      <c r="G639" s="536"/>
      <c r="H639" s="275"/>
      <c r="I639" s="415"/>
      <c r="J639" s="415"/>
      <c r="K639" s="715"/>
      <c r="L639" s="275"/>
    </row>
    <row r="640" spans="1:12">
      <c r="A640" s="274"/>
      <c r="B640" s="275"/>
      <c r="C640" s="276"/>
      <c r="D640" s="276"/>
      <c r="E640" s="276"/>
      <c r="F640" s="536"/>
      <c r="G640" s="536"/>
      <c r="H640" s="275"/>
      <c r="I640" s="415"/>
      <c r="J640" s="415"/>
      <c r="K640" s="715"/>
      <c r="L640" s="275"/>
    </row>
    <row r="641" spans="1:12">
      <c r="A641" s="274"/>
      <c r="B641" s="275"/>
      <c r="C641" s="276"/>
      <c r="D641" s="276"/>
      <c r="E641" s="276"/>
      <c r="F641" s="536"/>
      <c r="G641" s="536"/>
      <c r="H641" s="275"/>
      <c r="I641" s="415"/>
      <c r="J641" s="415"/>
      <c r="K641" s="715"/>
      <c r="L641" s="275"/>
    </row>
    <row r="642" spans="1:12">
      <c r="A642" s="274"/>
      <c r="B642" s="275"/>
      <c r="C642" s="276"/>
      <c r="D642" s="276"/>
      <c r="E642" s="276"/>
      <c r="F642" s="536"/>
      <c r="G642" s="536"/>
      <c r="H642" s="275"/>
      <c r="I642" s="415"/>
      <c r="J642" s="415"/>
      <c r="K642" s="715"/>
      <c r="L642" s="275"/>
    </row>
    <row r="643" spans="1:12">
      <c r="A643" s="274"/>
      <c r="B643" s="275"/>
      <c r="C643" s="276"/>
      <c r="D643" s="276"/>
      <c r="E643" s="276"/>
      <c r="F643" s="536"/>
      <c r="G643" s="536"/>
      <c r="H643" s="275"/>
      <c r="I643" s="415"/>
      <c r="J643" s="415"/>
      <c r="K643" s="715"/>
      <c r="L643" s="275"/>
    </row>
    <row r="644" spans="1:12">
      <c r="A644" s="274"/>
      <c r="B644" s="275"/>
      <c r="C644" s="276"/>
      <c r="D644" s="276"/>
      <c r="E644" s="276"/>
      <c r="F644" s="537"/>
      <c r="G644" s="536"/>
      <c r="H644" s="275"/>
      <c r="I644" s="415"/>
      <c r="J644" s="415"/>
      <c r="K644" s="715"/>
      <c r="L644" s="275"/>
    </row>
    <row r="645" spans="1:12">
      <c r="A645" s="274"/>
      <c r="B645" s="275"/>
      <c r="C645" s="276"/>
      <c r="D645" s="276"/>
      <c r="E645" s="276"/>
      <c r="F645" s="536"/>
      <c r="G645" s="536"/>
      <c r="H645" s="275"/>
      <c r="I645" s="415"/>
      <c r="J645" s="415"/>
      <c r="K645" s="715"/>
      <c r="L645" s="275"/>
    </row>
    <row r="646" spans="1:12">
      <c r="A646" s="274"/>
      <c r="B646" s="275"/>
      <c r="C646" s="276"/>
      <c r="D646" s="276"/>
      <c r="E646" s="276"/>
      <c r="F646" s="536"/>
      <c r="G646" s="536"/>
      <c r="H646" s="275"/>
      <c r="I646" s="415"/>
      <c r="J646" s="415"/>
      <c r="K646" s="715"/>
      <c r="L646" s="275"/>
    </row>
    <row r="647" spans="1:12">
      <c r="A647" s="274"/>
      <c r="B647" s="275"/>
      <c r="C647" s="276"/>
      <c r="D647" s="276"/>
      <c r="E647" s="276"/>
      <c r="F647" s="536"/>
      <c r="G647" s="536"/>
      <c r="H647" s="275"/>
      <c r="I647" s="415"/>
      <c r="J647" s="415"/>
      <c r="K647" s="715"/>
      <c r="L647" s="275"/>
    </row>
    <row r="648" spans="1:12">
      <c r="A648" s="274"/>
      <c r="B648" s="275"/>
      <c r="C648" s="276"/>
      <c r="D648" s="276"/>
      <c r="E648" s="276"/>
      <c r="F648" s="536"/>
      <c r="G648" s="536"/>
      <c r="H648" s="275"/>
      <c r="I648" s="415"/>
      <c r="J648" s="415"/>
      <c r="K648" s="715"/>
      <c r="L648" s="275"/>
    </row>
    <row r="649" spans="1:12">
      <c r="A649" s="274"/>
      <c r="B649" s="275"/>
      <c r="C649" s="276"/>
      <c r="D649" s="276"/>
      <c r="E649" s="276"/>
      <c r="F649" s="536"/>
      <c r="G649" s="536"/>
      <c r="H649" s="275"/>
      <c r="I649" s="415"/>
      <c r="J649" s="415"/>
      <c r="K649" s="715"/>
      <c r="L649" s="275"/>
    </row>
    <row r="650" spans="1:12">
      <c r="A650" s="274"/>
      <c r="B650" s="275"/>
      <c r="C650" s="276"/>
      <c r="D650" s="276"/>
      <c r="E650" s="276"/>
      <c r="F650" s="536"/>
      <c r="G650" s="536"/>
      <c r="H650" s="275"/>
      <c r="I650" s="415"/>
      <c r="J650" s="415"/>
      <c r="K650" s="715"/>
      <c r="L650" s="275"/>
    </row>
    <row r="651" spans="1:12">
      <c r="A651" s="274"/>
      <c r="B651" s="275"/>
      <c r="C651" s="276"/>
      <c r="D651" s="276"/>
      <c r="E651" s="276"/>
      <c r="F651" s="536"/>
      <c r="G651" s="536"/>
      <c r="H651" s="275"/>
      <c r="I651" s="415"/>
      <c r="J651" s="415"/>
      <c r="K651" s="715"/>
      <c r="L651" s="275"/>
    </row>
    <row r="652" spans="1:12">
      <c r="A652" s="274"/>
      <c r="B652" s="275"/>
      <c r="C652" s="276"/>
      <c r="D652" s="276"/>
      <c r="E652" s="276"/>
      <c r="F652" s="536"/>
      <c r="G652" s="536"/>
      <c r="H652" s="275"/>
      <c r="I652" s="415"/>
      <c r="J652" s="415"/>
      <c r="K652" s="715"/>
      <c r="L652" s="275"/>
    </row>
    <row r="653" spans="1:12">
      <c r="A653" s="274"/>
      <c r="B653" s="275"/>
      <c r="C653" s="276"/>
      <c r="D653" s="276"/>
      <c r="E653" s="276"/>
      <c r="F653" s="536"/>
      <c r="G653" s="536"/>
      <c r="H653" s="275"/>
      <c r="I653" s="415"/>
      <c r="J653" s="415"/>
      <c r="K653" s="715"/>
      <c r="L653" s="275"/>
    </row>
    <row r="654" spans="1:12">
      <c r="A654" s="274"/>
      <c r="B654" s="275"/>
      <c r="C654" s="276"/>
      <c r="D654" s="276"/>
      <c r="E654" s="276"/>
      <c r="F654" s="536"/>
      <c r="G654" s="536"/>
      <c r="H654" s="275"/>
      <c r="I654" s="415"/>
      <c r="J654" s="415"/>
      <c r="K654" s="715"/>
      <c r="L654" s="275"/>
    </row>
    <row r="655" spans="1:12">
      <c r="A655" s="274"/>
      <c r="B655" s="275"/>
      <c r="C655" s="276"/>
      <c r="D655" s="276"/>
      <c r="E655" s="276"/>
      <c r="F655" s="536"/>
      <c r="G655" s="536"/>
      <c r="H655" s="275"/>
      <c r="I655" s="415"/>
      <c r="J655" s="415"/>
      <c r="K655" s="715"/>
      <c r="L655" s="275"/>
    </row>
    <row r="656" spans="1:12">
      <c r="A656" s="274"/>
      <c r="B656" s="275"/>
      <c r="C656" s="276"/>
      <c r="D656" s="276"/>
      <c r="E656" s="276"/>
      <c r="F656" s="536"/>
      <c r="G656" s="536"/>
      <c r="H656" s="275"/>
      <c r="I656" s="415"/>
      <c r="J656" s="415"/>
      <c r="K656" s="715"/>
      <c r="L656" s="275"/>
    </row>
    <row r="657" spans="1:12">
      <c r="A657" s="274"/>
      <c r="B657" s="275"/>
      <c r="C657" s="276"/>
      <c r="D657" s="276"/>
      <c r="E657" s="276"/>
      <c r="F657" s="536"/>
      <c r="G657" s="536"/>
      <c r="H657" s="275"/>
      <c r="I657" s="415"/>
      <c r="J657" s="415"/>
      <c r="K657" s="715"/>
      <c r="L657" s="275"/>
    </row>
    <row r="658" spans="1:12">
      <c r="A658" s="274"/>
      <c r="B658" s="275"/>
      <c r="C658" s="276"/>
      <c r="D658" s="276"/>
      <c r="E658" s="276"/>
      <c r="F658" s="536"/>
      <c r="G658" s="536"/>
      <c r="H658" s="275"/>
      <c r="I658" s="415"/>
      <c r="J658" s="415"/>
      <c r="K658" s="715"/>
      <c r="L658" s="275"/>
    </row>
    <row r="659" spans="1:12">
      <c r="A659" s="274"/>
      <c r="B659" s="275"/>
      <c r="C659" s="276"/>
      <c r="D659" s="276"/>
      <c r="E659" s="276"/>
      <c r="F659" s="536"/>
      <c r="G659" s="536"/>
      <c r="H659" s="275"/>
      <c r="I659" s="415"/>
      <c r="J659" s="415"/>
      <c r="K659" s="715"/>
      <c r="L659" s="275"/>
    </row>
    <row r="660" spans="1:12">
      <c r="A660" s="274"/>
      <c r="B660" s="275"/>
      <c r="C660" s="276"/>
      <c r="D660" s="276"/>
      <c r="E660" s="276"/>
      <c r="F660" s="536"/>
      <c r="G660" s="536"/>
      <c r="H660" s="275"/>
      <c r="I660" s="415"/>
      <c r="J660" s="415"/>
      <c r="K660" s="715"/>
      <c r="L660" s="275"/>
    </row>
    <row r="661" spans="1:12">
      <c r="A661" s="274"/>
      <c r="B661" s="275"/>
      <c r="C661" s="276"/>
      <c r="D661" s="276"/>
      <c r="E661" s="276"/>
      <c r="F661" s="536"/>
      <c r="G661" s="536"/>
      <c r="H661" s="275"/>
      <c r="I661" s="415"/>
      <c r="J661" s="415"/>
      <c r="K661" s="715"/>
      <c r="L661" s="275"/>
    </row>
    <row r="662" spans="1:12">
      <c r="A662" s="274"/>
      <c r="B662" s="275"/>
      <c r="C662" s="276"/>
      <c r="D662" s="276"/>
      <c r="E662" s="276"/>
      <c r="F662" s="536"/>
      <c r="G662" s="536"/>
      <c r="H662" s="275"/>
      <c r="I662" s="415"/>
      <c r="J662" s="415"/>
      <c r="K662" s="715"/>
      <c r="L662" s="275"/>
    </row>
    <row r="663" spans="1:12">
      <c r="A663" s="274"/>
      <c r="B663" s="275"/>
      <c r="C663" s="276"/>
      <c r="D663" s="276"/>
      <c r="E663" s="276"/>
      <c r="F663" s="536"/>
      <c r="G663" s="536"/>
      <c r="H663" s="275"/>
      <c r="I663" s="415"/>
      <c r="J663" s="415"/>
      <c r="K663" s="715"/>
      <c r="L663" s="275"/>
    </row>
    <row r="664" spans="1:12">
      <c r="A664" s="274"/>
      <c r="B664" s="275"/>
      <c r="C664" s="276"/>
      <c r="D664" s="276"/>
      <c r="E664" s="276"/>
      <c r="F664" s="536"/>
      <c r="G664" s="536"/>
      <c r="H664" s="275"/>
      <c r="I664" s="415"/>
      <c r="J664" s="415"/>
      <c r="K664" s="715"/>
      <c r="L664" s="275"/>
    </row>
    <row r="665" spans="1:12">
      <c r="A665" s="274"/>
      <c r="B665" s="275"/>
      <c r="C665" s="276"/>
      <c r="D665" s="276"/>
      <c r="E665" s="276"/>
      <c r="F665" s="536"/>
      <c r="G665" s="536"/>
      <c r="H665" s="275"/>
      <c r="I665" s="415"/>
      <c r="J665" s="415"/>
      <c r="K665" s="715"/>
      <c r="L665" s="275"/>
    </row>
    <row r="666" spans="1:12">
      <c r="A666" s="274"/>
      <c r="B666" s="275"/>
      <c r="C666" s="276"/>
      <c r="D666" s="276"/>
      <c r="E666" s="276"/>
      <c r="F666" s="536"/>
      <c r="G666" s="536"/>
      <c r="H666" s="275"/>
      <c r="I666" s="415"/>
      <c r="J666" s="415"/>
      <c r="K666" s="715"/>
      <c r="L666" s="275"/>
    </row>
    <row r="667" spans="1:12">
      <c r="A667" s="274"/>
      <c r="B667" s="275"/>
      <c r="C667" s="276"/>
      <c r="D667" s="276"/>
      <c r="E667" s="276"/>
      <c r="F667" s="536"/>
      <c r="G667" s="536"/>
      <c r="H667" s="275"/>
      <c r="I667" s="415"/>
      <c r="J667" s="415"/>
      <c r="K667" s="715"/>
      <c r="L667" s="275"/>
    </row>
    <row r="668" spans="1:12">
      <c r="A668" s="274"/>
      <c r="B668" s="275"/>
      <c r="C668" s="276"/>
      <c r="D668" s="276"/>
      <c r="E668" s="276"/>
      <c r="F668" s="536"/>
      <c r="G668" s="536"/>
      <c r="H668" s="275"/>
      <c r="I668" s="415"/>
      <c r="J668" s="415"/>
      <c r="K668" s="715"/>
      <c r="L668" s="275"/>
    </row>
    <row r="669" spans="1:12">
      <c r="A669" s="274"/>
      <c r="B669" s="275"/>
      <c r="C669" s="276"/>
      <c r="D669" s="276"/>
      <c r="E669" s="276"/>
      <c r="F669" s="536"/>
      <c r="G669" s="536"/>
      <c r="H669" s="275"/>
      <c r="I669" s="415"/>
      <c r="J669" s="415"/>
      <c r="K669" s="715"/>
      <c r="L669" s="275"/>
    </row>
    <row r="670" spans="1:12">
      <c r="A670" s="274"/>
      <c r="B670" s="275"/>
      <c r="C670" s="276"/>
      <c r="D670" s="276"/>
      <c r="E670" s="276"/>
      <c r="F670" s="536"/>
      <c r="G670" s="536"/>
      <c r="H670" s="275"/>
      <c r="I670" s="415"/>
      <c r="J670" s="415"/>
      <c r="K670" s="715"/>
      <c r="L670" s="275"/>
    </row>
    <row r="671" spans="1:12">
      <c r="A671" s="274"/>
      <c r="B671" s="275"/>
      <c r="C671" s="276"/>
      <c r="D671" s="276"/>
      <c r="E671" s="276"/>
      <c r="F671" s="536"/>
      <c r="G671" s="536"/>
      <c r="H671" s="275"/>
      <c r="I671" s="415"/>
      <c r="J671" s="415"/>
      <c r="K671" s="715"/>
      <c r="L671" s="275"/>
    </row>
    <row r="672" spans="1:12">
      <c r="A672" s="274"/>
      <c r="B672" s="275"/>
      <c r="C672" s="276"/>
      <c r="D672" s="276"/>
      <c r="E672" s="276"/>
      <c r="F672" s="536"/>
      <c r="G672" s="536"/>
      <c r="H672" s="275"/>
      <c r="I672" s="415"/>
      <c r="J672" s="415"/>
      <c r="K672" s="715"/>
      <c r="L672" s="275"/>
    </row>
    <row r="673" spans="1:12">
      <c r="A673" s="274"/>
      <c r="B673" s="275"/>
      <c r="C673" s="276"/>
      <c r="D673" s="276"/>
      <c r="E673" s="276"/>
      <c r="F673" s="536"/>
      <c r="G673" s="536"/>
      <c r="H673" s="275"/>
      <c r="I673" s="415"/>
      <c r="J673" s="415"/>
      <c r="K673" s="715"/>
      <c r="L673" s="275"/>
    </row>
    <row r="674" spans="1:12">
      <c r="A674" s="274"/>
      <c r="B674" s="275"/>
      <c r="C674" s="276"/>
      <c r="D674" s="276"/>
      <c r="E674" s="276"/>
      <c r="F674" s="536"/>
      <c r="G674" s="536"/>
      <c r="H674" s="275"/>
      <c r="I674" s="415"/>
      <c r="J674" s="415"/>
      <c r="K674" s="715"/>
      <c r="L674" s="275"/>
    </row>
    <row r="675" spans="1:12">
      <c r="A675" s="274"/>
      <c r="B675" s="275"/>
      <c r="C675" s="276"/>
      <c r="D675" s="276"/>
      <c r="E675" s="276"/>
      <c r="F675" s="536"/>
      <c r="G675" s="536"/>
      <c r="H675" s="275"/>
      <c r="I675" s="415"/>
      <c r="J675" s="415"/>
      <c r="K675" s="715"/>
      <c r="L675" s="275"/>
    </row>
    <row r="676" spans="1:12">
      <c r="A676" s="274"/>
      <c r="B676" s="275"/>
      <c r="C676" s="276"/>
      <c r="D676" s="276"/>
      <c r="E676" s="276"/>
      <c r="F676" s="536"/>
      <c r="G676" s="536"/>
      <c r="H676" s="275"/>
      <c r="I676" s="415"/>
      <c r="J676" s="415"/>
      <c r="K676" s="715"/>
      <c r="L676" s="275"/>
    </row>
    <row r="677" spans="1:12">
      <c r="A677" s="274"/>
      <c r="B677" s="275"/>
      <c r="C677" s="276"/>
      <c r="D677" s="276"/>
      <c r="E677" s="276"/>
      <c r="F677" s="536"/>
      <c r="G677" s="536"/>
      <c r="H677" s="275"/>
      <c r="I677" s="415"/>
      <c r="J677" s="415"/>
      <c r="K677" s="715"/>
      <c r="L677" s="275"/>
    </row>
    <row r="678" spans="1:12">
      <c r="A678" s="274"/>
      <c r="B678" s="275"/>
      <c r="C678" s="276"/>
      <c r="D678" s="276"/>
      <c r="E678" s="276"/>
      <c r="F678" s="536"/>
      <c r="G678" s="536"/>
      <c r="H678" s="275"/>
      <c r="I678" s="415"/>
      <c r="J678" s="415"/>
      <c r="K678" s="715"/>
      <c r="L678" s="275"/>
    </row>
    <row r="679" spans="1:12">
      <c r="A679" s="274"/>
      <c r="B679" s="275"/>
      <c r="C679" s="276"/>
      <c r="D679" s="276"/>
      <c r="E679" s="276"/>
      <c r="F679" s="536"/>
      <c r="G679" s="536"/>
      <c r="H679" s="275"/>
      <c r="I679" s="415"/>
      <c r="J679" s="415"/>
      <c r="K679" s="715"/>
      <c r="L679" s="275"/>
    </row>
    <row r="680" spans="1:12">
      <c r="A680" s="274"/>
      <c r="B680" s="275"/>
      <c r="C680" s="276"/>
      <c r="D680" s="276"/>
      <c r="E680" s="276"/>
      <c r="F680" s="536"/>
      <c r="G680" s="536"/>
      <c r="H680" s="275"/>
      <c r="I680" s="415"/>
      <c r="J680" s="415"/>
      <c r="K680" s="715"/>
      <c r="L680" s="275"/>
    </row>
    <row r="681" spans="1:12">
      <c r="A681" s="274"/>
      <c r="B681" s="275"/>
      <c r="C681" s="276"/>
      <c r="D681" s="276"/>
      <c r="E681" s="276"/>
      <c r="F681" s="536"/>
      <c r="G681" s="536"/>
      <c r="H681" s="275"/>
      <c r="I681" s="415"/>
      <c r="J681" s="415"/>
      <c r="K681" s="715"/>
      <c r="L681" s="275"/>
    </row>
    <row r="682" spans="1:12">
      <c r="A682" s="274"/>
      <c r="B682" s="275"/>
      <c r="C682" s="276"/>
      <c r="D682" s="276"/>
      <c r="E682" s="276"/>
      <c r="F682" s="536"/>
      <c r="G682" s="536"/>
      <c r="H682" s="275"/>
      <c r="I682" s="415"/>
      <c r="J682" s="415"/>
      <c r="K682" s="715"/>
      <c r="L682" s="275"/>
    </row>
    <row r="683" spans="1:12">
      <c r="A683" s="274"/>
      <c r="B683" s="275"/>
      <c r="C683" s="276"/>
      <c r="D683" s="276"/>
      <c r="E683" s="276"/>
      <c r="F683" s="536"/>
      <c r="G683" s="536"/>
      <c r="H683" s="275"/>
      <c r="I683" s="415"/>
      <c r="J683" s="415"/>
      <c r="K683" s="715"/>
      <c r="L683" s="275"/>
    </row>
    <row r="684" spans="1:12">
      <c r="A684" s="274"/>
      <c r="B684" s="275"/>
      <c r="C684" s="276"/>
      <c r="D684" s="276"/>
      <c r="E684" s="276"/>
      <c r="F684" s="536"/>
      <c r="G684" s="536"/>
      <c r="H684" s="275"/>
      <c r="I684" s="415"/>
      <c r="J684" s="415"/>
      <c r="K684" s="715"/>
      <c r="L684" s="275"/>
    </row>
    <row r="685" spans="1:12">
      <c r="A685" s="274"/>
      <c r="B685" s="275"/>
      <c r="C685" s="276"/>
      <c r="D685" s="276"/>
      <c r="E685" s="276"/>
      <c r="F685" s="536"/>
      <c r="G685" s="536"/>
      <c r="H685" s="275"/>
      <c r="I685" s="415"/>
      <c r="J685" s="415"/>
      <c r="K685" s="715"/>
      <c r="L685" s="275"/>
    </row>
    <row r="686" spans="1:12">
      <c r="A686" s="274"/>
      <c r="B686" s="275"/>
      <c r="C686" s="276"/>
      <c r="D686" s="276"/>
      <c r="E686" s="276"/>
      <c r="F686" s="536"/>
      <c r="G686" s="536"/>
      <c r="H686" s="275"/>
      <c r="I686" s="415"/>
      <c r="J686" s="415"/>
      <c r="K686" s="715"/>
      <c r="L686" s="275"/>
    </row>
    <row r="687" spans="1:12">
      <c r="A687" s="274"/>
      <c r="B687" s="275"/>
      <c r="C687" s="276"/>
      <c r="D687" s="276"/>
      <c r="E687" s="276"/>
      <c r="F687" s="536"/>
      <c r="G687" s="536"/>
      <c r="H687" s="275"/>
      <c r="I687" s="415"/>
      <c r="J687" s="415"/>
      <c r="K687" s="715"/>
      <c r="L687" s="275"/>
    </row>
    <row r="688" spans="1:12">
      <c r="A688" s="274"/>
      <c r="B688" s="275"/>
      <c r="C688" s="276"/>
      <c r="D688" s="276"/>
      <c r="E688" s="276"/>
      <c r="F688" s="536"/>
      <c r="G688" s="536"/>
      <c r="H688" s="275"/>
      <c r="I688" s="415"/>
      <c r="J688" s="415"/>
      <c r="K688" s="715"/>
      <c r="L688" s="275"/>
    </row>
    <row r="689" spans="1:12">
      <c r="A689" s="274"/>
      <c r="B689" s="275"/>
      <c r="C689" s="276"/>
      <c r="D689" s="276"/>
      <c r="E689" s="276"/>
      <c r="F689" s="536"/>
      <c r="G689" s="536"/>
      <c r="H689" s="275"/>
      <c r="I689" s="415"/>
      <c r="J689" s="415"/>
      <c r="K689" s="715"/>
      <c r="L689" s="275"/>
    </row>
    <row r="690" spans="1:12">
      <c r="A690" s="274"/>
      <c r="B690" s="275"/>
      <c r="C690" s="276"/>
      <c r="D690" s="276"/>
      <c r="E690" s="276"/>
      <c r="F690" s="536"/>
      <c r="G690" s="536"/>
      <c r="H690" s="275"/>
      <c r="I690" s="415"/>
      <c r="J690" s="415"/>
      <c r="K690" s="715"/>
      <c r="L690" s="275"/>
    </row>
    <row r="691" spans="1:12">
      <c r="A691" s="274"/>
      <c r="B691" s="275"/>
      <c r="C691" s="276"/>
      <c r="D691" s="276"/>
      <c r="E691" s="276"/>
      <c r="F691" s="536"/>
      <c r="G691" s="536"/>
      <c r="H691" s="275"/>
      <c r="I691" s="415"/>
      <c r="J691" s="415"/>
      <c r="K691" s="715"/>
      <c r="L691" s="275"/>
    </row>
    <row r="692" spans="1:12">
      <c r="A692" s="274"/>
      <c r="B692" s="275"/>
      <c r="C692" s="276"/>
      <c r="D692" s="276"/>
      <c r="E692" s="276"/>
      <c r="F692" s="536"/>
      <c r="G692" s="536"/>
      <c r="H692" s="275"/>
      <c r="I692" s="415"/>
      <c r="J692" s="415"/>
      <c r="K692" s="715"/>
      <c r="L692" s="275"/>
    </row>
    <row r="693" spans="1:12">
      <c r="A693" s="274"/>
      <c r="B693" s="275"/>
      <c r="C693" s="276"/>
      <c r="D693" s="276"/>
      <c r="E693" s="276"/>
      <c r="F693" s="536"/>
      <c r="G693" s="536"/>
      <c r="H693" s="275"/>
      <c r="I693" s="415"/>
      <c r="J693" s="415"/>
      <c r="K693" s="715"/>
      <c r="L693" s="275"/>
    </row>
    <row r="694" spans="1:12">
      <c r="A694" s="274"/>
      <c r="B694" s="275"/>
      <c r="C694" s="276"/>
      <c r="D694" s="276"/>
      <c r="E694" s="276"/>
      <c r="F694" s="536"/>
      <c r="G694" s="536"/>
      <c r="H694" s="275"/>
      <c r="I694" s="415"/>
      <c r="J694" s="415"/>
      <c r="K694" s="715"/>
      <c r="L694" s="275"/>
    </row>
    <row r="695" spans="1:12">
      <c r="A695" s="274"/>
      <c r="B695" s="275"/>
      <c r="C695" s="276"/>
      <c r="D695" s="276"/>
      <c r="E695" s="276"/>
      <c r="F695" s="536"/>
      <c r="G695" s="536"/>
      <c r="H695" s="275"/>
      <c r="I695" s="415"/>
      <c r="J695" s="415"/>
      <c r="K695" s="715"/>
      <c r="L695" s="275"/>
    </row>
    <row r="696" spans="1:12">
      <c r="A696" s="274"/>
      <c r="B696" s="275"/>
      <c r="C696" s="276"/>
      <c r="D696" s="276"/>
      <c r="E696" s="276"/>
      <c r="F696" s="536"/>
      <c r="G696" s="536"/>
      <c r="H696" s="275"/>
      <c r="I696" s="415"/>
      <c r="J696" s="415"/>
      <c r="K696" s="715"/>
      <c r="L696" s="275"/>
    </row>
    <row r="697" spans="1:12">
      <c r="A697" s="274"/>
      <c r="B697" s="275"/>
      <c r="C697" s="276"/>
      <c r="D697" s="276"/>
      <c r="E697" s="276"/>
      <c r="F697" s="536"/>
      <c r="G697" s="536"/>
      <c r="H697" s="275"/>
      <c r="I697" s="415"/>
      <c r="J697" s="415"/>
      <c r="K697" s="715"/>
      <c r="L697" s="275"/>
    </row>
    <row r="698" spans="1:12">
      <c r="A698" s="274"/>
      <c r="B698" s="275"/>
      <c r="C698" s="276"/>
      <c r="D698" s="276"/>
      <c r="E698" s="276"/>
      <c r="F698" s="536"/>
      <c r="G698" s="536"/>
      <c r="H698" s="275"/>
      <c r="I698" s="415"/>
      <c r="J698" s="415"/>
      <c r="K698" s="715"/>
      <c r="L698" s="275"/>
    </row>
    <row r="699" spans="1:12">
      <c r="A699" s="274"/>
      <c r="B699" s="275"/>
      <c r="C699" s="276"/>
      <c r="D699" s="276"/>
      <c r="E699" s="276"/>
      <c r="F699" s="536"/>
      <c r="G699" s="536"/>
      <c r="H699" s="275"/>
      <c r="I699" s="415"/>
      <c r="J699" s="415"/>
      <c r="K699" s="715"/>
      <c r="L699" s="275"/>
    </row>
    <row r="700" spans="1:12">
      <c r="A700" s="274"/>
      <c r="B700" s="275"/>
      <c r="C700" s="276"/>
      <c r="D700" s="276"/>
      <c r="E700" s="276"/>
      <c r="F700" s="536"/>
      <c r="G700" s="536"/>
      <c r="H700" s="275"/>
      <c r="I700" s="415"/>
      <c r="J700" s="415"/>
      <c r="K700" s="715"/>
      <c r="L700" s="275"/>
    </row>
    <row r="701" spans="1:12">
      <c r="A701" s="274"/>
      <c r="B701" s="275"/>
      <c r="C701" s="276"/>
      <c r="D701" s="276"/>
      <c r="E701" s="276"/>
      <c r="F701" s="536"/>
      <c r="G701" s="536"/>
      <c r="H701" s="275"/>
      <c r="I701" s="415"/>
      <c r="J701" s="415"/>
      <c r="K701" s="715"/>
      <c r="L701" s="275"/>
    </row>
    <row r="702" spans="1:12">
      <c r="A702" s="274"/>
      <c r="B702" s="275"/>
      <c r="C702" s="276"/>
      <c r="D702" s="276"/>
      <c r="E702" s="276"/>
      <c r="F702" s="536"/>
      <c r="G702" s="536"/>
      <c r="H702" s="275"/>
      <c r="I702" s="415"/>
      <c r="J702" s="415"/>
      <c r="K702" s="715"/>
      <c r="L702" s="275"/>
    </row>
    <row r="703" spans="1:12">
      <c r="A703" s="274"/>
      <c r="B703" s="275"/>
      <c r="C703" s="276"/>
      <c r="D703" s="276"/>
      <c r="E703" s="276"/>
      <c r="F703" s="536"/>
      <c r="G703" s="536"/>
      <c r="H703" s="275"/>
      <c r="I703" s="415"/>
      <c r="J703" s="415"/>
      <c r="K703" s="715"/>
      <c r="L703" s="275"/>
    </row>
    <row r="704" spans="1:12">
      <c r="A704" s="274"/>
      <c r="B704" s="275"/>
      <c r="C704" s="276"/>
      <c r="D704" s="276"/>
      <c r="E704" s="276"/>
      <c r="F704" s="536"/>
      <c r="G704" s="536"/>
      <c r="H704" s="275"/>
      <c r="I704" s="415"/>
      <c r="J704" s="415"/>
      <c r="K704" s="715"/>
      <c r="L704" s="275"/>
    </row>
    <row r="705" spans="1:12">
      <c r="A705" s="274"/>
      <c r="B705" s="275"/>
      <c r="C705" s="276"/>
      <c r="D705" s="276"/>
      <c r="E705" s="276"/>
      <c r="F705" s="536"/>
      <c r="G705" s="536"/>
      <c r="H705" s="275"/>
      <c r="I705" s="415"/>
      <c r="J705" s="415"/>
      <c r="K705" s="715"/>
      <c r="L705" s="275"/>
    </row>
    <row r="706" spans="1:12">
      <c r="A706" s="274"/>
      <c r="B706" s="275"/>
      <c r="C706" s="276"/>
      <c r="D706" s="276"/>
      <c r="E706" s="276"/>
      <c r="F706" s="536"/>
      <c r="G706" s="536"/>
      <c r="H706" s="275"/>
      <c r="I706" s="415"/>
      <c r="J706" s="415"/>
      <c r="K706" s="715"/>
      <c r="L706" s="275"/>
    </row>
    <row r="707" spans="1:12">
      <c r="A707" s="274"/>
      <c r="B707" s="275"/>
      <c r="C707" s="276"/>
      <c r="D707" s="276"/>
      <c r="E707" s="276"/>
      <c r="F707" s="537"/>
      <c r="G707" s="536"/>
      <c r="H707" s="275"/>
      <c r="I707" s="415"/>
      <c r="J707" s="415"/>
      <c r="K707" s="715"/>
      <c r="L707" s="275"/>
    </row>
    <row r="708" spans="1:12">
      <c r="A708" s="274"/>
      <c r="B708" s="275"/>
      <c r="C708" s="276"/>
      <c r="D708" s="276"/>
      <c r="E708" s="276"/>
      <c r="F708" s="537"/>
      <c r="G708" s="536"/>
      <c r="H708" s="275"/>
      <c r="I708" s="415"/>
      <c r="J708" s="415"/>
      <c r="K708" s="715"/>
      <c r="L708" s="275"/>
    </row>
    <row r="709" spans="1:12">
      <c r="A709" s="274"/>
      <c r="B709" s="275"/>
      <c r="C709" s="276"/>
      <c r="D709" s="276"/>
      <c r="E709" s="276"/>
      <c r="F709" s="536"/>
      <c r="G709" s="536"/>
      <c r="H709" s="275"/>
      <c r="I709" s="415"/>
      <c r="J709" s="415"/>
      <c r="K709" s="715"/>
      <c r="L709" s="275"/>
    </row>
    <row r="710" spans="1:12">
      <c r="A710" s="274"/>
      <c r="B710" s="275"/>
      <c r="C710" s="276"/>
      <c r="D710" s="276"/>
      <c r="E710" s="276"/>
      <c r="F710" s="536"/>
      <c r="G710" s="536"/>
      <c r="H710" s="275"/>
      <c r="I710" s="415"/>
      <c r="J710" s="415"/>
      <c r="K710" s="715"/>
      <c r="L710" s="275"/>
    </row>
    <row r="711" spans="1:12">
      <c r="A711" s="274"/>
      <c r="B711" s="275"/>
      <c r="C711" s="276"/>
      <c r="D711" s="276"/>
      <c r="E711" s="276"/>
      <c r="F711" s="536"/>
      <c r="G711" s="536"/>
      <c r="H711" s="275"/>
      <c r="I711" s="415"/>
      <c r="J711" s="415"/>
      <c r="K711" s="715"/>
      <c r="L711" s="275"/>
    </row>
    <row r="712" spans="1:12">
      <c r="A712" s="274"/>
      <c r="B712" s="275"/>
      <c r="C712" s="276"/>
      <c r="D712" s="276"/>
      <c r="E712" s="276"/>
      <c r="F712" s="536"/>
      <c r="G712" s="536"/>
      <c r="H712" s="275"/>
      <c r="I712" s="415"/>
      <c r="J712" s="415"/>
      <c r="K712" s="715"/>
      <c r="L712" s="275"/>
    </row>
    <row r="713" spans="1:12">
      <c r="A713" s="274"/>
      <c r="B713" s="275"/>
      <c r="C713" s="276"/>
      <c r="D713" s="276"/>
      <c r="E713" s="276"/>
      <c r="F713" s="536"/>
      <c r="G713" s="536"/>
      <c r="H713" s="275"/>
      <c r="I713" s="415"/>
      <c r="J713" s="415"/>
      <c r="K713" s="715"/>
      <c r="L713" s="275"/>
    </row>
    <row r="714" spans="1:12">
      <c r="A714" s="274"/>
      <c r="B714" s="275"/>
      <c r="C714" s="276"/>
      <c r="D714" s="276"/>
      <c r="E714" s="276"/>
      <c r="F714" s="537"/>
      <c r="G714" s="536"/>
      <c r="H714" s="275"/>
      <c r="I714" s="415"/>
      <c r="J714" s="415"/>
      <c r="K714" s="715"/>
      <c r="L714" s="275"/>
    </row>
    <row r="715" spans="1:12">
      <c r="A715" s="274"/>
      <c r="B715" s="275"/>
      <c r="C715" s="276"/>
      <c r="D715" s="276"/>
      <c r="E715" s="276"/>
      <c r="F715" s="537"/>
      <c r="G715" s="536"/>
      <c r="H715" s="275"/>
      <c r="I715" s="415"/>
      <c r="J715" s="415"/>
      <c r="K715" s="715"/>
      <c r="L715" s="275"/>
    </row>
    <row r="716" spans="1:12">
      <c r="A716" s="274"/>
      <c r="B716" s="275"/>
      <c r="C716" s="276"/>
      <c r="D716" s="276"/>
      <c r="E716" s="276"/>
      <c r="F716" s="537"/>
      <c r="G716" s="536"/>
      <c r="H716" s="275"/>
      <c r="I716" s="415"/>
      <c r="J716" s="415"/>
      <c r="K716" s="715"/>
      <c r="L716" s="275"/>
    </row>
    <row r="717" spans="1:12">
      <c r="A717" s="274"/>
      <c r="B717" s="275"/>
      <c r="C717" s="276"/>
      <c r="D717" s="276"/>
      <c r="E717" s="276"/>
      <c r="F717" s="536"/>
      <c r="G717" s="536"/>
      <c r="H717" s="275"/>
      <c r="I717" s="415"/>
      <c r="J717" s="415"/>
      <c r="K717" s="715"/>
      <c r="L717" s="275"/>
    </row>
    <row r="718" spans="1:12">
      <c r="A718" s="274"/>
      <c r="B718" s="275"/>
      <c r="C718" s="276"/>
      <c r="D718" s="276"/>
      <c r="E718" s="276"/>
      <c r="F718" s="536"/>
      <c r="G718" s="536"/>
      <c r="H718" s="275"/>
      <c r="I718" s="415"/>
      <c r="J718" s="415"/>
      <c r="K718" s="715"/>
      <c r="L718" s="275"/>
    </row>
    <row r="719" spans="1:12">
      <c r="A719" s="274"/>
      <c r="B719" s="275"/>
      <c r="C719" s="276"/>
      <c r="D719" s="276"/>
      <c r="E719" s="276"/>
      <c r="F719" s="537"/>
      <c r="G719" s="536"/>
      <c r="H719" s="275"/>
      <c r="I719" s="415"/>
      <c r="J719" s="415"/>
      <c r="K719" s="715"/>
      <c r="L719" s="275"/>
    </row>
    <row r="720" spans="1:12">
      <c r="A720" s="274"/>
      <c r="B720" s="275"/>
      <c r="C720" s="276"/>
      <c r="D720" s="276"/>
      <c r="E720" s="276"/>
      <c r="F720" s="536"/>
      <c r="G720" s="536"/>
      <c r="H720" s="275"/>
      <c r="I720" s="415"/>
      <c r="J720" s="415"/>
      <c r="K720" s="715"/>
      <c r="L720" s="275"/>
    </row>
    <row r="721" spans="1:12">
      <c r="A721" s="274"/>
      <c r="B721" s="275"/>
      <c r="C721" s="276"/>
      <c r="D721" s="276"/>
      <c r="E721" s="276"/>
      <c r="F721" s="536"/>
      <c r="G721" s="536"/>
      <c r="H721" s="275"/>
      <c r="I721" s="415"/>
      <c r="J721" s="415"/>
      <c r="K721" s="715"/>
      <c r="L721" s="275"/>
    </row>
    <row r="722" spans="1:12">
      <c r="A722" s="274"/>
      <c r="B722" s="275"/>
      <c r="C722" s="276"/>
      <c r="D722" s="276"/>
      <c r="E722" s="276"/>
      <c r="F722" s="536"/>
      <c r="G722" s="536"/>
      <c r="H722" s="275"/>
      <c r="I722" s="415"/>
      <c r="J722" s="415"/>
      <c r="K722" s="715"/>
      <c r="L722" s="275"/>
    </row>
    <row r="723" spans="1:12">
      <c r="A723" s="274"/>
      <c r="B723" s="275"/>
      <c r="C723" s="276"/>
      <c r="D723" s="276"/>
      <c r="E723" s="276"/>
      <c r="F723" s="536"/>
      <c r="G723" s="536"/>
      <c r="H723" s="275"/>
      <c r="I723" s="415"/>
      <c r="J723" s="415"/>
      <c r="K723" s="715"/>
      <c r="L723" s="275"/>
    </row>
    <row r="724" spans="1:12">
      <c r="A724" s="274"/>
      <c r="B724" s="275"/>
      <c r="C724" s="276"/>
      <c r="D724" s="276"/>
      <c r="E724" s="276"/>
      <c r="F724" s="537"/>
      <c r="G724" s="536"/>
      <c r="H724" s="275"/>
      <c r="I724" s="415"/>
      <c r="J724" s="415"/>
      <c r="K724" s="715"/>
      <c r="L724" s="275"/>
    </row>
    <row r="725" spans="1:12">
      <c r="A725" s="274"/>
      <c r="B725" s="275"/>
      <c r="C725" s="276"/>
      <c r="D725" s="276"/>
      <c r="E725" s="276"/>
      <c r="F725" s="536"/>
      <c r="G725" s="536"/>
      <c r="H725" s="275"/>
      <c r="I725" s="415"/>
      <c r="J725" s="415"/>
      <c r="K725" s="715"/>
      <c r="L725" s="275"/>
    </row>
    <row r="726" spans="1:12">
      <c r="A726" s="274"/>
      <c r="B726" s="275"/>
      <c r="C726" s="276"/>
      <c r="D726" s="276"/>
      <c r="E726" s="276"/>
      <c r="F726" s="537"/>
      <c r="G726" s="536"/>
      <c r="H726" s="275"/>
      <c r="I726" s="415"/>
      <c r="J726" s="415"/>
      <c r="K726" s="715"/>
      <c r="L726" s="275"/>
    </row>
    <row r="727" spans="1:12">
      <c r="A727" s="274"/>
      <c r="B727" s="275"/>
      <c r="C727" s="276"/>
      <c r="D727" s="276"/>
      <c r="E727" s="276"/>
      <c r="F727" s="536"/>
      <c r="G727" s="536"/>
      <c r="H727" s="275"/>
      <c r="I727" s="415"/>
      <c r="J727" s="415"/>
      <c r="K727" s="715"/>
      <c r="L727" s="275"/>
    </row>
    <row r="728" spans="1:12">
      <c r="A728" s="274"/>
      <c r="B728" s="275"/>
      <c r="C728" s="276"/>
      <c r="D728" s="276"/>
      <c r="E728" s="276"/>
      <c r="F728" s="536"/>
      <c r="G728" s="536"/>
      <c r="H728" s="275"/>
      <c r="I728" s="415"/>
      <c r="J728" s="415"/>
      <c r="K728" s="715"/>
      <c r="L728" s="275"/>
    </row>
    <row r="729" spans="1:12">
      <c r="A729" s="274"/>
      <c r="B729" s="275"/>
      <c r="C729" s="276"/>
      <c r="D729" s="276"/>
      <c r="E729" s="276"/>
      <c r="F729" s="537"/>
      <c r="G729" s="536"/>
      <c r="H729" s="275"/>
      <c r="I729" s="415"/>
      <c r="J729" s="415"/>
      <c r="K729" s="715"/>
      <c r="L729" s="275"/>
    </row>
    <row r="730" spans="1:12">
      <c r="A730" s="274"/>
      <c r="B730" s="275"/>
      <c r="C730" s="276"/>
      <c r="D730" s="276"/>
      <c r="E730" s="276"/>
      <c r="F730" s="537"/>
      <c r="G730" s="536"/>
      <c r="H730" s="275"/>
      <c r="I730" s="415"/>
      <c r="J730" s="415"/>
      <c r="K730" s="715"/>
      <c r="L730" s="275"/>
    </row>
    <row r="731" spans="1:12">
      <c r="A731" s="274"/>
      <c r="B731" s="275"/>
      <c r="C731" s="276"/>
      <c r="D731" s="276"/>
      <c r="E731" s="276"/>
      <c r="F731" s="536"/>
      <c r="G731" s="536"/>
      <c r="H731" s="275"/>
      <c r="I731" s="415"/>
      <c r="J731" s="415"/>
      <c r="K731" s="715"/>
      <c r="L731" s="275"/>
    </row>
    <row r="732" spans="1:12">
      <c r="A732" s="274"/>
      <c r="B732" s="275"/>
      <c r="C732" s="276"/>
      <c r="D732" s="276"/>
      <c r="E732" s="276"/>
      <c r="F732" s="536"/>
      <c r="G732" s="536"/>
      <c r="H732" s="275"/>
      <c r="I732" s="415"/>
      <c r="J732" s="415"/>
      <c r="K732" s="715"/>
      <c r="L732" s="275"/>
    </row>
    <row r="733" spans="1:12">
      <c r="A733" s="274"/>
      <c r="B733" s="275"/>
      <c r="C733" s="276"/>
      <c r="D733" s="276"/>
      <c r="E733" s="276"/>
      <c r="F733" s="536"/>
      <c r="G733" s="536"/>
      <c r="H733" s="275"/>
      <c r="I733" s="415"/>
      <c r="J733" s="415"/>
      <c r="K733" s="715"/>
      <c r="L733" s="275"/>
    </row>
    <row r="734" spans="1:12">
      <c r="A734" s="274"/>
      <c r="B734" s="275"/>
      <c r="C734" s="276"/>
      <c r="D734" s="276"/>
      <c r="E734" s="276"/>
      <c r="F734" s="536"/>
      <c r="G734" s="536"/>
      <c r="H734" s="275"/>
      <c r="I734" s="415"/>
      <c r="J734" s="415"/>
      <c r="K734" s="715"/>
      <c r="L734" s="275"/>
    </row>
    <row r="735" spans="1:12">
      <c r="A735" s="274"/>
      <c r="B735" s="275"/>
      <c r="C735" s="276"/>
      <c r="D735" s="276"/>
      <c r="E735" s="276"/>
      <c r="F735" s="536"/>
      <c r="G735" s="536"/>
      <c r="H735" s="275"/>
      <c r="I735" s="415"/>
      <c r="J735" s="415"/>
      <c r="K735" s="715"/>
      <c r="L735" s="275"/>
    </row>
    <row r="736" spans="1:12">
      <c r="A736" s="274"/>
      <c r="B736" s="275"/>
      <c r="C736" s="276"/>
      <c r="D736" s="276"/>
      <c r="E736" s="276"/>
      <c r="F736" s="536"/>
      <c r="G736" s="536"/>
      <c r="H736" s="275"/>
      <c r="I736" s="415"/>
      <c r="J736" s="415"/>
      <c r="K736" s="715"/>
      <c r="L736" s="275"/>
    </row>
    <row r="737" spans="1:12">
      <c r="A737" s="274"/>
      <c r="B737" s="275"/>
      <c r="C737" s="276"/>
      <c r="D737" s="276"/>
      <c r="E737" s="276"/>
      <c r="F737" s="536"/>
      <c r="G737" s="536"/>
      <c r="H737" s="275"/>
      <c r="I737" s="415"/>
      <c r="J737" s="415"/>
      <c r="K737" s="715"/>
      <c r="L737" s="275"/>
    </row>
    <row r="738" spans="1:12">
      <c r="A738" s="274"/>
      <c r="B738" s="275"/>
      <c r="C738" s="276"/>
      <c r="D738" s="276"/>
      <c r="E738" s="276"/>
      <c r="F738" s="536"/>
      <c r="G738" s="536"/>
      <c r="H738" s="275"/>
      <c r="I738" s="415"/>
      <c r="J738" s="415"/>
      <c r="K738" s="715"/>
      <c r="L738" s="275"/>
    </row>
    <row r="739" spans="1:12">
      <c r="A739" s="274"/>
      <c r="B739" s="275"/>
      <c r="C739" s="276"/>
      <c r="D739" s="276"/>
      <c r="E739" s="276"/>
      <c r="F739" s="536"/>
      <c r="G739" s="536"/>
      <c r="H739" s="275"/>
      <c r="I739" s="415"/>
      <c r="J739" s="415"/>
      <c r="K739" s="715"/>
      <c r="L739" s="275"/>
    </row>
    <row r="740" spans="1:12">
      <c r="A740" s="274"/>
      <c r="B740" s="275"/>
      <c r="C740" s="276"/>
      <c r="D740" s="276"/>
      <c r="E740" s="276"/>
      <c r="F740" s="537"/>
      <c r="G740" s="536"/>
      <c r="H740" s="275"/>
      <c r="I740" s="415"/>
      <c r="J740" s="415"/>
      <c r="K740" s="715"/>
      <c r="L740" s="275"/>
    </row>
    <row r="741" spans="1:12">
      <c r="A741" s="274"/>
      <c r="B741" s="275"/>
      <c r="C741" s="276"/>
      <c r="D741" s="276"/>
      <c r="E741" s="276"/>
      <c r="F741" s="536"/>
      <c r="G741" s="536"/>
      <c r="H741" s="275"/>
      <c r="I741" s="415"/>
      <c r="J741" s="415"/>
      <c r="K741" s="715"/>
      <c r="L741" s="275"/>
    </row>
    <row r="742" spans="1:12">
      <c r="A742" s="274"/>
      <c r="B742" s="275"/>
      <c r="C742" s="276"/>
      <c r="D742" s="276"/>
      <c r="E742" s="276"/>
      <c r="F742" s="536"/>
      <c r="G742" s="536"/>
      <c r="H742" s="275"/>
      <c r="I742" s="415"/>
      <c r="J742" s="415"/>
      <c r="K742" s="715"/>
      <c r="L742" s="275"/>
    </row>
    <row r="743" spans="1:12">
      <c r="A743" s="274"/>
      <c r="B743" s="275"/>
      <c r="C743" s="276"/>
      <c r="D743" s="276"/>
      <c r="E743" s="276"/>
      <c r="F743" s="536"/>
      <c r="G743" s="536"/>
      <c r="H743" s="275"/>
      <c r="I743" s="415"/>
      <c r="J743" s="415"/>
      <c r="K743" s="715"/>
      <c r="L743" s="275"/>
    </row>
    <row r="744" spans="1:12">
      <c r="A744" s="274"/>
      <c r="B744" s="275"/>
      <c r="C744" s="276"/>
      <c r="D744" s="276"/>
      <c r="E744" s="276"/>
      <c r="F744" s="537"/>
      <c r="G744" s="536"/>
      <c r="H744" s="275"/>
      <c r="I744" s="415"/>
      <c r="J744" s="415"/>
      <c r="K744" s="715"/>
      <c r="L744" s="275"/>
    </row>
    <row r="745" spans="1:12">
      <c r="A745" s="274"/>
      <c r="B745" s="275"/>
      <c r="C745" s="276"/>
      <c r="D745" s="276"/>
      <c r="E745" s="276"/>
      <c r="F745" s="537"/>
      <c r="G745" s="536"/>
      <c r="H745" s="275"/>
      <c r="I745" s="415"/>
      <c r="J745" s="415"/>
      <c r="K745" s="715"/>
      <c r="L745" s="275"/>
    </row>
    <row r="746" spans="1:12">
      <c r="A746" s="274"/>
      <c r="B746" s="275"/>
      <c r="C746" s="276"/>
      <c r="D746" s="276"/>
      <c r="E746" s="276"/>
      <c r="F746" s="536"/>
      <c r="G746" s="536"/>
      <c r="H746" s="275"/>
      <c r="I746" s="415"/>
      <c r="J746" s="415"/>
      <c r="K746" s="715"/>
      <c r="L746" s="275"/>
    </row>
    <row r="747" spans="1:12">
      <c r="A747" s="274"/>
      <c r="B747" s="275"/>
      <c r="C747" s="276"/>
      <c r="D747" s="276"/>
      <c r="E747" s="276"/>
      <c r="F747" s="536"/>
      <c r="G747" s="536"/>
      <c r="H747" s="275"/>
      <c r="I747" s="415"/>
      <c r="J747" s="415"/>
      <c r="K747" s="715"/>
      <c r="L747" s="275"/>
    </row>
    <row r="748" spans="1:12">
      <c r="A748" s="274"/>
      <c r="B748" s="275"/>
      <c r="C748" s="276"/>
      <c r="D748" s="276"/>
      <c r="E748" s="276"/>
      <c r="F748" s="536"/>
      <c r="G748" s="536"/>
      <c r="H748" s="275"/>
      <c r="I748" s="415"/>
      <c r="J748" s="415"/>
      <c r="K748" s="715"/>
      <c r="L748" s="275"/>
    </row>
    <row r="749" spans="1:12">
      <c r="A749" s="274"/>
      <c r="B749" s="275"/>
      <c r="C749" s="276"/>
      <c r="D749" s="276"/>
      <c r="E749" s="276"/>
      <c r="F749" s="536"/>
      <c r="G749" s="536"/>
      <c r="H749" s="275"/>
      <c r="I749" s="415"/>
      <c r="J749" s="415"/>
      <c r="K749" s="715"/>
      <c r="L749" s="275"/>
    </row>
    <row r="750" spans="1:12">
      <c r="A750" s="274"/>
      <c r="B750" s="275"/>
      <c r="C750" s="276"/>
      <c r="D750" s="276"/>
      <c r="E750" s="276"/>
      <c r="F750" s="536"/>
      <c r="G750" s="536"/>
      <c r="H750" s="275"/>
      <c r="I750" s="415"/>
      <c r="J750" s="415"/>
      <c r="K750" s="715"/>
      <c r="L750" s="275"/>
    </row>
    <row r="751" spans="1:12">
      <c r="A751" s="274"/>
      <c r="B751" s="275"/>
      <c r="C751" s="276"/>
      <c r="D751" s="276"/>
      <c r="E751" s="276"/>
      <c r="F751" s="536"/>
      <c r="G751" s="536"/>
      <c r="H751" s="275"/>
      <c r="I751" s="415"/>
      <c r="J751" s="415"/>
      <c r="K751" s="715"/>
      <c r="L751" s="275"/>
    </row>
    <row r="752" spans="1:12">
      <c r="A752" s="274"/>
      <c r="B752" s="275"/>
      <c r="C752" s="276"/>
      <c r="D752" s="276"/>
      <c r="E752" s="276"/>
      <c r="F752" s="536"/>
      <c r="G752" s="536"/>
      <c r="H752" s="275"/>
      <c r="I752" s="415"/>
      <c r="J752" s="415"/>
      <c r="K752" s="715"/>
      <c r="L752" s="275"/>
    </row>
    <row r="753" spans="1:12">
      <c r="A753" s="274"/>
      <c r="B753" s="275"/>
      <c r="C753" s="276"/>
      <c r="D753" s="276"/>
      <c r="E753" s="276"/>
      <c r="F753" s="536"/>
      <c r="G753" s="536"/>
      <c r="H753" s="275"/>
      <c r="I753" s="415"/>
      <c r="J753" s="415"/>
      <c r="K753" s="715"/>
      <c r="L753" s="275"/>
    </row>
    <row r="754" spans="1:12">
      <c r="A754" s="274"/>
      <c r="B754" s="275"/>
      <c r="C754" s="276"/>
      <c r="D754" s="276"/>
      <c r="E754" s="276"/>
      <c r="F754" s="536"/>
      <c r="G754" s="536"/>
      <c r="H754" s="275"/>
      <c r="I754" s="415"/>
      <c r="J754" s="415"/>
      <c r="K754" s="715"/>
      <c r="L754" s="275"/>
    </row>
    <row r="755" spans="1:12">
      <c r="A755" s="274"/>
      <c r="B755" s="275"/>
      <c r="C755" s="276"/>
      <c r="D755" s="276"/>
      <c r="E755" s="276"/>
      <c r="F755" s="536"/>
      <c r="G755" s="536"/>
      <c r="H755" s="275"/>
      <c r="I755" s="415"/>
      <c r="J755" s="415"/>
      <c r="K755" s="715"/>
      <c r="L755" s="275"/>
    </row>
    <row r="756" spans="1:12">
      <c r="A756" s="274"/>
      <c r="B756" s="275"/>
      <c r="C756" s="276"/>
      <c r="D756" s="276"/>
      <c r="E756" s="276"/>
      <c r="F756" s="537"/>
      <c r="G756" s="536"/>
      <c r="H756" s="275"/>
      <c r="I756" s="415"/>
      <c r="J756" s="415"/>
      <c r="K756" s="715"/>
      <c r="L756" s="275"/>
    </row>
    <row r="757" spans="1:12">
      <c r="A757" s="274"/>
      <c r="B757" s="275"/>
      <c r="C757" s="276"/>
      <c r="D757" s="276"/>
      <c r="E757" s="276"/>
      <c r="F757" s="537"/>
      <c r="G757" s="536"/>
      <c r="H757" s="275"/>
      <c r="I757" s="415"/>
      <c r="J757" s="415"/>
      <c r="K757" s="715"/>
      <c r="L757" s="275"/>
    </row>
    <row r="758" spans="1:12">
      <c r="A758" s="274"/>
      <c r="B758" s="275"/>
      <c r="C758" s="276"/>
      <c r="D758" s="276"/>
      <c r="E758" s="276"/>
      <c r="F758" s="536"/>
      <c r="G758" s="536"/>
      <c r="H758" s="275"/>
      <c r="I758" s="415"/>
      <c r="J758" s="415"/>
      <c r="K758" s="715"/>
      <c r="L758" s="275"/>
    </row>
    <row r="759" spans="1:12">
      <c r="A759" s="274"/>
      <c r="B759" s="275"/>
      <c r="C759" s="276"/>
      <c r="D759" s="276"/>
      <c r="E759" s="276"/>
      <c r="F759" s="536"/>
      <c r="G759" s="536"/>
      <c r="H759" s="275"/>
      <c r="I759" s="415"/>
      <c r="J759" s="415"/>
      <c r="K759" s="715"/>
      <c r="L759" s="275"/>
    </row>
    <row r="760" spans="1:12">
      <c r="A760" s="274"/>
      <c r="B760" s="275"/>
      <c r="C760" s="276"/>
      <c r="D760" s="276"/>
      <c r="E760" s="276"/>
      <c r="F760" s="536"/>
      <c r="G760" s="536"/>
      <c r="H760" s="275"/>
      <c r="I760" s="415"/>
      <c r="J760" s="415"/>
      <c r="K760" s="715"/>
      <c r="L760" s="275"/>
    </row>
    <row r="761" spans="1:12">
      <c r="A761" s="274"/>
      <c r="B761" s="275"/>
      <c r="C761" s="276"/>
      <c r="D761" s="276"/>
      <c r="E761" s="276"/>
      <c r="F761" s="536"/>
      <c r="G761" s="536"/>
      <c r="H761" s="275"/>
      <c r="I761" s="415"/>
      <c r="J761" s="415"/>
      <c r="K761" s="715"/>
      <c r="L761" s="275"/>
    </row>
    <row r="762" spans="1:12">
      <c r="A762" s="274"/>
      <c r="B762" s="275"/>
      <c r="C762" s="276"/>
      <c r="D762" s="276"/>
      <c r="E762" s="276"/>
      <c r="F762" s="536"/>
      <c r="G762" s="536"/>
      <c r="H762" s="275"/>
      <c r="I762" s="415"/>
      <c r="J762" s="415"/>
      <c r="K762" s="715"/>
      <c r="L762" s="275"/>
    </row>
    <row r="763" spans="1:12">
      <c r="A763" s="274"/>
      <c r="B763" s="275"/>
      <c r="C763" s="276"/>
      <c r="D763" s="276"/>
      <c r="E763" s="276"/>
      <c r="F763" s="537"/>
      <c r="G763" s="536"/>
      <c r="H763" s="275"/>
      <c r="I763" s="415"/>
      <c r="J763" s="415"/>
      <c r="K763" s="715"/>
      <c r="L763" s="275"/>
    </row>
    <row r="764" spans="1:12">
      <c r="A764" s="274"/>
      <c r="B764" s="275"/>
      <c r="C764" s="276"/>
      <c r="D764" s="276"/>
      <c r="E764" s="276"/>
      <c r="F764" s="537"/>
      <c r="G764" s="536"/>
      <c r="H764" s="275"/>
      <c r="I764" s="415"/>
      <c r="J764" s="415"/>
      <c r="K764" s="715"/>
      <c r="L764" s="275"/>
    </row>
    <row r="765" spans="1:12">
      <c r="A765" s="274"/>
      <c r="B765" s="275"/>
      <c r="C765" s="276"/>
      <c r="D765" s="276"/>
      <c r="E765" s="276"/>
      <c r="F765" s="537"/>
      <c r="G765" s="536"/>
      <c r="H765" s="275"/>
      <c r="I765" s="415"/>
      <c r="J765" s="415"/>
      <c r="K765" s="715"/>
      <c r="L765" s="275"/>
    </row>
    <row r="766" spans="1:12">
      <c r="A766" s="274"/>
      <c r="B766" s="275"/>
      <c r="C766" s="276"/>
      <c r="D766" s="276"/>
      <c r="E766" s="276"/>
      <c r="F766" s="536"/>
      <c r="G766" s="536"/>
      <c r="H766" s="275"/>
      <c r="I766" s="415"/>
      <c r="J766" s="415"/>
      <c r="K766" s="715"/>
      <c r="L766" s="275"/>
    </row>
    <row r="767" spans="1:12">
      <c r="A767" s="274"/>
      <c r="B767" s="275"/>
      <c r="C767" s="276"/>
      <c r="D767" s="276"/>
      <c r="E767" s="276"/>
      <c r="F767" s="536"/>
      <c r="G767" s="536"/>
      <c r="H767" s="275"/>
      <c r="I767" s="415"/>
      <c r="J767" s="415"/>
      <c r="K767" s="715"/>
      <c r="L767" s="275"/>
    </row>
    <row r="768" spans="1:12">
      <c r="A768" s="274"/>
      <c r="B768" s="275"/>
      <c r="C768" s="276"/>
      <c r="D768" s="276"/>
      <c r="E768" s="276"/>
      <c r="F768" s="536"/>
      <c r="G768" s="536"/>
      <c r="H768" s="275"/>
      <c r="I768" s="415"/>
      <c r="J768" s="415"/>
      <c r="K768" s="715"/>
      <c r="L768" s="275"/>
    </row>
    <row r="769" spans="1:12">
      <c r="A769" s="274"/>
      <c r="B769" s="275"/>
      <c r="C769" s="276"/>
      <c r="D769" s="276"/>
      <c r="E769" s="276"/>
      <c r="F769" s="536"/>
      <c r="G769" s="536"/>
      <c r="H769" s="275"/>
      <c r="I769" s="415"/>
      <c r="J769" s="415"/>
      <c r="K769" s="715"/>
      <c r="L769" s="275"/>
    </row>
    <row r="770" spans="1:12">
      <c r="A770" s="274"/>
      <c r="B770" s="275"/>
      <c r="C770" s="276"/>
      <c r="D770" s="276"/>
      <c r="E770" s="276"/>
      <c r="F770" s="536"/>
      <c r="G770" s="536"/>
      <c r="H770" s="275"/>
      <c r="I770" s="415"/>
      <c r="J770" s="415"/>
      <c r="K770" s="715"/>
      <c r="L770" s="275"/>
    </row>
    <row r="771" spans="1:12">
      <c r="A771" s="274"/>
      <c r="B771" s="275"/>
      <c r="C771" s="276"/>
      <c r="D771" s="276"/>
      <c r="E771" s="276"/>
      <c r="F771" s="536"/>
      <c r="G771" s="536"/>
      <c r="H771" s="275"/>
      <c r="I771" s="415"/>
      <c r="J771" s="415"/>
      <c r="K771" s="715"/>
      <c r="L771" s="275"/>
    </row>
    <row r="772" spans="1:12">
      <c r="A772" s="274"/>
      <c r="B772" s="275"/>
      <c r="C772" s="276"/>
      <c r="D772" s="276"/>
      <c r="E772" s="276"/>
      <c r="F772" s="536"/>
      <c r="G772" s="536"/>
      <c r="H772" s="275"/>
      <c r="I772" s="415"/>
      <c r="J772" s="415"/>
      <c r="K772" s="715"/>
      <c r="L772" s="275"/>
    </row>
    <row r="773" spans="1:12">
      <c r="A773" s="274"/>
      <c r="B773" s="275"/>
      <c r="C773" s="276"/>
      <c r="D773" s="276"/>
      <c r="E773" s="276"/>
      <c r="F773" s="536"/>
      <c r="G773" s="536"/>
      <c r="H773" s="275"/>
      <c r="I773" s="415"/>
      <c r="J773" s="415"/>
      <c r="K773" s="715"/>
      <c r="L773" s="275"/>
    </row>
    <row r="774" spans="1:12">
      <c r="A774" s="274"/>
      <c r="B774" s="275"/>
      <c r="C774" s="276"/>
      <c r="D774" s="276"/>
      <c r="E774" s="276"/>
      <c r="F774" s="536"/>
      <c r="G774" s="536"/>
      <c r="H774" s="275"/>
      <c r="I774" s="415"/>
      <c r="J774" s="415"/>
      <c r="K774" s="715"/>
      <c r="L774" s="275"/>
    </row>
    <row r="775" spans="1:12">
      <c r="A775" s="274"/>
      <c r="B775" s="275"/>
      <c r="C775" s="276"/>
      <c r="D775" s="276"/>
      <c r="E775" s="276"/>
      <c r="F775" s="536"/>
      <c r="G775" s="536"/>
      <c r="H775" s="275"/>
      <c r="I775" s="415"/>
      <c r="J775" s="415"/>
      <c r="K775" s="715"/>
      <c r="L775" s="275"/>
    </row>
    <row r="776" spans="1:12">
      <c r="A776" s="274"/>
      <c r="B776" s="275"/>
      <c r="C776" s="276"/>
      <c r="D776" s="276"/>
      <c r="E776" s="276"/>
      <c r="F776" s="536"/>
      <c r="G776" s="536"/>
      <c r="H776" s="275"/>
      <c r="I776" s="415"/>
      <c r="J776" s="415"/>
      <c r="K776" s="715"/>
      <c r="L776" s="275"/>
    </row>
    <row r="777" spans="1:12">
      <c r="A777" s="274"/>
      <c r="B777" s="275"/>
      <c r="C777" s="276"/>
      <c r="D777" s="276"/>
      <c r="E777" s="276"/>
      <c r="F777" s="536"/>
      <c r="G777" s="536"/>
      <c r="H777" s="275"/>
      <c r="I777" s="415"/>
      <c r="J777" s="415"/>
      <c r="K777" s="715"/>
      <c r="L777" s="275"/>
    </row>
    <row r="778" spans="1:12">
      <c r="A778" s="274"/>
      <c r="B778" s="275"/>
      <c r="C778" s="276"/>
      <c r="D778" s="276"/>
      <c r="E778" s="276"/>
      <c r="F778" s="536"/>
      <c r="G778" s="536"/>
      <c r="H778" s="275"/>
      <c r="I778" s="415"/>
      <c r="J778" s="415"/>
      <c r="K778" s="715"/>
      <c r="L778" s="275"/>
    </row>
    <row r="779" spans="1:12">
      <c r="A779" s="274"/>
      <c r="B779" s="275"/>
      <c r="C779" s="276"/>
      <c r="D779" s="276"/>
      <c r="E779" s="276"/>
      <c r="F779" s="536"/>
      <c r="G779" s="536"/>
      <c r="H779" s="275"/>
      <c r="I779" s="415"/>
      <c r="J779" s="415"/>
      <c r="K779" s="715"/>
      <c r="L779" s="275"/>
    </row>
    <row r="780" spans="1:12">
      <c r="A780" s="274"/>
      <c r="B780" s="275"/>
      <c r="C780" s="276"/>
      <c r="D780" s="276"/>
      <c r="E780" s="276"/>
      <c r="F780" s="536"/>
      <c r="G780" s="536"/>
      <c r="H780" s="275"/>
      <c r="I780" s="415"/>
      <c r="J780" s="415"/>
      <c r="K780" s="715"/>
      <c r="L780" s="275"/>
    </row>
    <row r="781" spans="1:12">
      <c r="A781" s="274"/>
      <c r="B781" s="275"/>
      <c r="C781" s="276"/>
      <c r="D781" s="276"/>
      <c r="E781" s="276"/>
      <c r="F781" s="536"/>
      <c r="G781" s="536"/>
      <c r="H781" s="275"/>
      <c r="I781" s="415"/>
      <c r="J781" s="415"/>
      <c r="K781" s="715"/>
      <c r="L781" s="275"/>
    </row>
    <row r="782" spans="1:12">
      <c r="A782" s="274"/>
      <c r="B782" s="275"/>
      <c r="C782" s="276"/>
      <c r="D782" s="276"/>
      <c r="E782" s="276"/>
      <c r="F782" s="536"/>
      <c r="G782" s="536"/>
      <c r="H782" s="275"/>
      <c r="I782" s="415"/>
      <c r="J782" s="415"/>
      <c r="K782" s="715"/>
      <c r="L782" s="275"/>
    </row>
    <row r="783" spans="1:12">
      <c r="A783" s="274"/>
      <c r="B783" s="275"/>
      <c r="C783" s="276"/>
      <c r="D783" s="276"/>
      <c r="E783" s="276"/>
      <c r="F783" s="536"/>
      <c r="G783" s="536"/>
      <c r="H783" s="275"/>
      <c r="I783" s="415"/>
      <c r="J783" s="415"/>
      <c r="K783" s="715"/>
      <c r="L783" s="275"/>
    </row>
    <row r="784" spans="1:12">
      <c r="A784" s="274"/>
      <c r="B784" s="275"/>
      <c r="C784" s="276"/>
      <c r="D784" s="276"/>
      <c r="E784" s="276"/>
      <c r="F784" s="537"/>
      <c r="G784" s="536"/>
      <c r="H784" s="275"/>
      <c r="I784" s="415"/>
      <c r="J784" s="415"/>
      <c r="K784" s="715"/>
      <c r="L784" s="275"/>
    </row>
    <row r="785" spans="1:12">
      <c r="A785" s="274"/>
      <c r="B785" s="275"/>
      <c r="C785" s="276"/>
      <c r="D785" s="276"/>
      <c r="E785" s="276"/>
      <c r="F785" s="536"/>
      <c r="G785" s="536"/>
      <c r="H785" s="275"/>
      <c r="I785" s="415"/>
      <c r="J785" s="415"/>
      <c r="K785" s="715"/>
      <c r="L785" s="275"/>
    </row>
    <row r="786" spans="1:12">
      <c r="A786" s="274"/>
      <c r="B786" s="275"/>
      <c r="C786" s="276"/>
      <c r="D786" s="276"/>
      <c r="E786" s="276"/>
      <c r="F786" s="536"/>
      <c r="G786" s="536"/>
      <c r="H786" s="275"/>
      <c r="I786" s="415"/>
      <c r="J786" s="415"/>
      <c r="K786" s="715"/>
      <c r="L786" s="275"/>
    </row>
    <row r="787" spans="1:12">
      <c r="A787" s="274"/>
      <c r="B787" s="275"/>
      <c r="C787" s="276"/>
      <c r="D787" s="276"/>
      <c r="E787" s="276"/>
      <c r="F787" s="536"/>
      <c r="G787" s="536"/>
      <c r="H787" s="275"/>
      <c r="I787" s="415"/>
      <c r="J787" s="415"/>
      <c r="K787" s="715"/>
      <c r="L787" s="275"/>
    </row>
    <row r="788" spans="1:12">
      <c r="A788" s="274"/>
      <c r="B788" s="275"/>
      <c r="C788" s="276"/>
      <c r="D788" s="276"/>
      <c r="E788" s="276"/>
      <c r="F788" s="536"/>
      <c r="G788" s="536"/>
      <c r="H788" s="275"/>
      <c r="I788" s="415"/>
      <c r="J788" s="415"/>
      <c r="K788" s="715"/>
      <c r="L788" s="275"/>
    </row>
    <row r="789" spans="1:12">
      <c r="A789" s="274"/>
      <c r="B789" s="275"/>
      <c r="C789" s="276"/>
      <c r="D789" s="276"/>
      <c r="E789" s="276"/>
      <c r="F789" s="536"/>
      <c r="G789" s="536"/>
      <c r="H789" s="275"/>
      <c r="I789" s="415"/>
      <c r="J789" s="415"/>
      <c r="K789" s="715"/>
      <c r="L789" s="275"/>
    </row>
    <row r="790" spans="1:12">
      <c r="A790" s="274"/>
      <c r="B790" s="275"/>
      <c r="C790" s="276"/>
      <c r="D790" s="276"/>
      <c r="E790" s="276"/>
      <c r="F790" s="536"/>
      <c r="G790" s="536"/>
      <c r="H790" s="275"/>
      <c r="I790" s="415"/>
      <c r="J790" s="415"/>
      <c r="K790" s="715"/>
      <c r="L790" s="275"/>
    </row>
    <row r="791" spans="1:12">
      <c r="A791" s="274"/>
      <c r="B791" s="275"/>
      <c r="C791" s="276"/>
      <c r="D791" s="276"/>
      <c r="E791" s="276"/>
      <c r="F791" s="536"/>
      <c r="G791" s="536"/>
      <c r="H791" s="275"/>
      <c r="I791" s="415"/>
      <c r="J791" s="415"/>
      <c r="K791" s="715"/>
      <c r="L791" s="275"/>
    </row>
    <row r="792" spans="1:12">
      <c r="A792" s="274"/>
      <c r="B792" s="275"/>
      <c r="C792" s="276"/>
      <c r="D792" s="276"/>
      <c r="E792" s="276"/>
      <c r="F792" s="536"/>
      <c r="G792" s="536"/>
      <c r="H792" s="275"/>
      <c r="I792" s="415"/>
      <c r="J792" s="415"/>
      <c r="K792" s="715"/>
      <c r="L792" s="275"/>
    </row>
    <row r="793" spans="1:12">
      <c r="A793" s="274"/>
      <c r="B793" s="275"/>
      <c r="C793" s="276"/>
      <c r="D793" s="276"/>
      <c r="E793" s="276"/>
      <c r="F793" s="536"/>
      <c r="G793" s="536"/>
      <c r="H793" s="275"/>
      <c r="I793" s="415"/>
      <c r="J793" s="415"/>
      <c r="K793" s="715"/>
      <c r="L793" s="275"/>
    </row>
    <row r="794" spans="1:12">
      <c r="A794" s="274"/>
      <c r="B794" s="275"/>
      <c r="C794" s="276"/>
      <c r="D794" s="276"/>
      <c r="E794" s="276"/>
      <c r="F794" s="536"/>
      <c r="G794" s="536"/>
      <c r="H794" s="275"/>
      <c r="I794" s="415"/>
      <c r="J794" s="415"/>
      <c r="K794" s="715"/>
      <c r="L794" s="275"/>
    </row>
    <row r="795" spans="1:12">
      <c r="A795" s="274"/>
      <c r="B795" s="275"/>
      <c r="C795" s="276"/>
      <c r="D795" s="276"/>
      <c r="E795" s="276"/>
      <c r="F795" s="536"/>
      <c r="G795" s="536"/>
      <c r="H795" s="275"/>
      <c r="I795" s="415"/>
      <c r="J795" s="415"/>
      <c r="K795" s="715"/>
      <c r="L795" s="275"/>
    </row>
    <row r="796" spans="1:12">
      <c r="A796" s="274"/>
      <c r="B796" s="275"/>
      <c r="C796" s="276"/>
      <c r="D796" s="276"/>
      <c r="E796" s="276"/>
      <c r="F796" s="536"/>
      <c r="G796" s="536"/>
      <c r="H796" s="275"/>
      <c r="I796" s="415"/>
      <c r="J796" s="415"/>
      <c r="K796" s="715"/>
      <c r="L796" s="275"/>
    </row>
    <row r="797" spans="1:12">
      <c r="A797" s="274"/>
      <c r="B797" s="275"/>
      <c r="C797" s="276"/>
      <c r="D797" s="276"/>
      <c r="E797" s="276"/>
      <c r="F797" s="536"/>
      <c r="G797" s="536"/>
      <c r="H797" s="275"/>
      <c r="I797" s="415"/>
      <c r="J797" s="415"/>
      <c r="K797" s="715"/>
      <c r="L797" s="275"/>
    </row>
    <row r="798" spans="1:12">
      <c r="A798" s="274"/>
      <c r="B798" s="275"/>
      <c r="C798" s="276"/>
      <c r="D798" s="276"/>
      <c r="E798" s="276"/>
      <c r="F798" s="536"/>
      <c r="G798" s="536"/>
      <c r="H798" s="275"/>
      <c r="I798" s="415"/>
      <c r="J798" s="415"/>
      <c r="K798" s="715"/>
      <c r="L798" s="275"/>
    </row>
    <row r="799" spans="1:12">
      <c r="A799" s="274"/>
      <c r="B799" s="275"/>
      <c r="C799" s="276"/>
      <c r="D799" s="276"/>
      <c r="E799" s="276"/>
      <c r="F799" s="536"/>
      <c r="G799" s="536"/>
      <c r="H799" s="275"/>
      <c r="I799" s="415"/>
      <c r="J799" s="415"/>
      <c r="K799" s="715"/>
      <c r="L799" s="275"/>
    </row>
    <row r="800" spans="1:12">
      <c r="A800" s="274"/>
      <c r="B800" s="275"/>
      <c r="C800" s="276"/>
      <c r="D800" s="276"/>
      <c r="E800" s="276"/>
      <c r="F800" s="536"/>
      <c r="G800" s="536"/>
      <c r="H800" s="275"/>
      <c r="I800" s="415"/>
      <c r="J800" s="415"/>
      <c r="K800" s="715"/>
      <c r="L800" s="275"/>
    </row>
    <row r="801" spans="1:12">
      <c r="A801" s="274"/>
      <c r="B801" s="275"/>
      <c r="C801" s="276"/>
      <c r="D801" s="276"/>
      <c r="E801" s="276"/>
      <c r="F801" s="536"/>
      <c r="G801" s="536"/>
      <c r="H801" s="275"/>
      <c r="I801" s="415"/>
      <c r="J801" s="415"/>
      <c r="K801" s="715"/>
      <c r="L801" s="275"/>
    </row>
    <row r="802" spans="1:12">
      <c r="A802" s="274"/>
      <c r="B802" s="275"/>
      <c r="C802" s="276"/>
      <c r="D802" s="276"/>
      <c r="E802" s="276"/>
      <c r="F802" s="536"/>
      <c r="G802" s="536"/>
      <c r="H802" s="275"/>
      <c r="I802" s="415"/>
      <c r="J802" s="415"/>
      <c r="K802" s="715"/>
      <c r="L802" s="275"/>
    </row>
    <row r="803" spans="1:12">
      <c r="A803" s="274"/>
      <c r="B803" s="275"/>
      <c r="C803" s="276"/>
      <c r="D803" s="276"/>
      <c r="E803" s="276"/>
      <c r="F803" s="536"/>
      <c r="G803" s="536"/>
      <c r="H803" s="275"/>
      <c r="I803" s="415"/>
      <c r="J803" s="415"/>
      <c r="K803" s="715"/>
      <c r="L803" s="275"/>
    </row>
    <row r="804" spans="1:12">
      <c r="A804" s="274"/>
      <c r="B804" s="275"/>
      <c r="C804" s="276"/>
      <c r="D804" s="276"/>
      <c r="E804" s="276"/>
      <c r="F804" s="536"/>
      <c r="G804" s="536"/>
      <c r="H804" s="275"/>
      <c r="I804" s="415"/>
      <c r="J804" s="415"/>
      <c r="K804" s="715"/>
      <c r="L804" s="275"/>
    </row>
    <row r="805" spans="1:12">
      <c r="A805" s="274"/>
      <c r="B805" s="275"/>
      <c r="C805" s="276"/>
      <c r="D805" s="276"/>
      <c r="E805" s="276"/>
      <c r="F805" s="536"/>
      <c r="G805" s="536"/>
      <c r="H805" s="275"/>
      <c r="I805" s="415"/>
      <c r="J805" s="415"/>
      <c r="K805" s="715"/>
      <c r="L805" s="275"/>
    </row>
    <row r="806" spans="1:12">
      <c r="A806" s="274"/>
      <c r="B806" s="275"/>
      <c r="C806" s="276"/>
      <c r="D806" s="276"/>
      <c r="E806" s="276"/>
      <c r="F806" s="536"/>
      <c r="G806" s="536"/>
      <c r="H806" s="275"/>
      <c r="I806" s="415"/>
      <c r="J806" s="415"/>
      <c r="K806" s="715"/>
      <c r="L806" s="275"/>
    </row>
    <row r="807" spans="1:12">
      <c r="A807" s="274"/>
      <c r="B807" s="275"/>
      <c r="C807" s="276"/>
      <c r="D807" s="276"/>
      <c r="E807" s="276"/>
      <c r="F807" s="536"/>
      <c r="G807" s="536"/>
      <c r="H807" s="275"/>
      <c r="I807" s="415"/>
      <c r="J807" s="415"/>
      <c r="K807" s="715"/>
      <c r="L807" s="275"/>
    </row>
    <row r="808" spans="1:12">
      <c r="A808" s="274"/>
      <c r="B808" s="275"/>
      <c r="C808" s="276"/>
      <c r="D808" s="276"/>
      <c r="E808" s="276"/>
      <c r="F808" s="536"/>
      <c r="G808" s="536"/>
      <c r="H808" s="275"/>
      <c r="I808" s="415"/>
      <c r="J808" s="415"/>
      <c r="K808" s="715"/>
      <c r="L808" s="275"/>
    </row>
    <row r="809" spans="1:12">
      <c r="A809" s="274"/>
      <c r="B809" s="275"/>
      <c r="C809" s="276"/>
      <c r="D809" s="276"/>
      <c r="E809" s="276"/>
      <c r="F809" s="536"/>
      <c r="G809" s="536"/>
      <c r="H809" s="275"/>
      <c r="I809" s="415"/>
      <c r="J809" s="415"/>
      <c r="K809" s="715"/>
      <c r="L809" s="275"/>
    </row>
    <row r="810" spans="1:12">
      <c r="A810" s="274"/>
      <c r="B810" s="275"/>
      <c r="C810" s="276"/>
      <c r="D810" s="276"/>
      <c r="E810" s="276"/>
      <c r="F810" s="536"/>
      <c r="G810" s="536"/>
      <c r="H810" s="275"/>
      <c r="I810" s="415"/>
      <c r="J810" s="415"/>
      <c r="K810" s="715"/>
      <c r="L810" s="275"/>
    </row>
    <row r="811" spans="1:12">
      <c r="A811" s="274"/>
      <c r="B811" s="275"/>
      <c r="C811" s="276"/>
      <c r="D811" s="276"/>
      <c r="E811" s="276"/>
      <c r="F811" s="536"/>
      <c r="G811" s="536"/>
      <c r="H811" s="275"/>
      <c r="I811" s="415"/>
      <c r="J811" s="415"/>
      <c r="K811" s="715"/>
      <c r="L811" s="275"/>
    </row>
    <row r="812" spans="1:12">
      <c r="A812" s="274"/>
      <c r="B812" s="275"/>
      <c r="C812" s="276"/>
      <c r="D812" s="276"/>
      <c r="E812" s="276"/>
      <c r="F812" s="536"/>
      <c r="G812" s="536"/>
      <c r="H812" s="275"/>
      <c r="I812" s="415"/>
      <c r="J812" s="415"/>
      <c r="K812" s="715"/>
      <c r="L812" s="275"/>
    </row>
    <row r="813" spans="1:12">
      <c r="A813" s="274"/>
      <c r="B813" s="275"/>
      <c r="C813" s="276"/>
      <c r="D813" s="276"/>
      <c r="E813" s="276"/>
      <c r="F813" s="536"/>
      <c r="G813" s="536"/>
      <c r="H813" s="275"/>
      <c r="I813" s="415"/>
      <c r="J813" s="415"/>
      <c r="K813" s="715"/>
      <c r="L813" s="275"/>
    </row>
    <row r="814" spans="1:12">
      <c r="A814" s="274"/>
      <c r="B814" s="275"/>
      <c r="C814" s="276"/>
      <c r="D814" s="276"/>
      <c r="E814" s="276"/>
      <c r="F814" s="536"/>
      <c r="G814" s="536"/>
      <c r="H814" s="275"/>
      <c r="I814" s="415"/>
      <c r="J814" s="415"/>
      <c r="K814" s="715"/>
      <c r="L814" s="275"/>
    </row>
    <row r="815" spans="1:12">
      <c r="A815" s="274"/>
      <c r="B815" s="275"/>
      <c r="C815" s="276"/>
      <c r="D815" s="276"/>
      <c r="E815" s="276"/>
      <c r="F815" s="536"/>
      <c r="G815" s="536"/>
      <c r="H815" s="275"/>
      <c r="I815" s="415"/>
      <c r="J815" s="415"/>
      <c r="K815" s="715"/>
      <c r="L815" s="275"/>
    </row>
    <row r="816" spans="1:12">
      <c r="A816" s="274"/>
      <c r="B816" s="275"/>
      <c r="C816" s="276"/>
      <c r="D816" s="276"/>
      <c r="E816" s="276"/>
      <c r="F816" s="536"/>
      <c r="G816" s="536"/>
      <c r="H816" s="275"/>
      <c r="I816" s="415"/>
      <c r="J816" s="415"/>
      <c r="K816" s="715"/>
      <c r="L816" s="275"/>
    </row>
    <row r="817" spans="1:12">
      <c r="A817" s="274"/>
      <c r="B817" s="275"/>
      <c r="C817" s="276"/>
      <c r="D817" s="276"/>
      <c r="E817" s="276"/>
      <c r="F817" s="536"/>
      <c r="G817" s="536"/>
      <c r="H817" s="275"/>
      <c r="I817" s="415"/>
      <c r="J817" s="415"/>
      <c r="K817" s="715"/>
      <c r="L817" s="275"/>
    </row>
    <row r="818" spans="1:12">
      <c r="A818" s="274"/>
      <c r="B818" s="275"/>
      <c r="C818" s="276"/>
      <c r="D818" s="276"/>
      <c r="E818" s="276"/>
      <c r="F818" s="536"/>
      <c r="G818" s="536"/>
      <c r="H818" s="275"/>
      <c r="I818" s="415"/>
      <c r="J818" s="415"/>
      <c r="K818" s="715"/>
      <c r="L818" s="275"/>
    </row>
    <row r="819" spans="1:12">
      <c r="A819" s="274"/>
      <c r="B819" s="275"/>
      <c r="C819" s="276"/>
      <c r="D819" s="276"/>
      <c r="E819" s="276"/>
      <c r="F819" s="536"/>
      <c r="G819" s="536"/>
      <c r="H819" s="275"/>
      <c r="I819" s="415"/>
      <c r="J819" s="415"/>
      <c r="K819" s="715"/>
      <c r="L819" s="275"/>
    </row>
    <row r="820" spans="1:12">
      <c r="A820" s="274"/>
      <c r="B820" s="275"/>
      <c r="C820" s="276"/>
      <c r="D820" s="276"/>
      <c r="E820" s="276"/>
      <c r="F820" s="536"/>
      <c r="G820" s="536"/>
      <c r="H820" s="275"/>
      <c r="I820" s="415"/>
      <c r="J820" s="415"/>
      <c r="K820" s="715"/>
      <c r="L820" s="275"/>
    </row>
    <row r="821" spans="1:12">
      <c r="A821" s="274"/>
      <c r="B821" s="275"/>
      <c r="C821" s="276"/>
      <c r="D821" s="276"/>
      <c r="E821" s="276"/>
      <c r="F821" s="536"/>
      <c r="G821" s="536"/>
      <c r="H821" s="275"/>
      <c r="I821" s="415"/>
      <c r="J821" s="415"/>
      <c r="K821" s="715"/>
      <c r="L821" s="275"/>
    </row>
    <row r="822" spans="1:12">
      <c r="A822" s="274"/>
      <c r="B822" s="275"/>
      <c r="C822" s="276"/>
      <c r="D822" s="276"/>
      <c r="E822" s="276"/>
      <c r="F822" s="536"/>
      <c r="G822" s="536"/>
      <c r="H822" s="275"/>
      <c r="I822" s="415"/>
      <c r="J822" s="415"/>
      <c r="K822" s="715"/>
      <c r="L822" s="275"/>
    </row>
    <row r="823" spans="1:12">
      <c r="A823" s="274"/>
      <c r="B823" s="275"/>
      <c r="C823" s="276"/>
      <c r="D823" s="276"/>
      <c r="E823" s="276"/>
      <c r="F823" s="536"/>
      <c r="G823" s="536"/>
      <c r="H823" s="275"/>
      <c r="I823" s="415"/>
      <c r="J823" s="415"/>
      <c r="K823" s="715"/>
      <c r="L823" s="275"/>
    </row>
    <row r="824" spans="1:12">
      <c r="A824" s="274"/>
      <c r="B824" s="275"/>
      <c r="C824" s="276"/>
      <c r="D824" s="276"/>
      <c r="E824" s="276"/>
      <c r="F824" s="536"/>
      <c r="G824" s="536"/>
      <c r="H824" s="275"/>
      <c r="I824" s="415"/>
      <c r="J824" s="415"/>
      <c r="K824" s="715"/>
      <c r="L824" s="275"/>
    </row>
    <row r="825" spans="1:12">
      <c r="A825" s="274"/>
      <c r="B825" s="275"/>
      <c r="C825" s="276"/>
      <c r="D825" s="276"/>
      <c r="E825" s="276"/>
      <c r="F825" s="536"/>
      <c r="G825" s="536"/>
      <c r="H825" s="275"/>
      <c r="I825" s="415"/>
      <c r="J825" s="415"/>
      <c r="K825" s="715"/>
      <c r="L825" s="275"/>
    </row>
    <row r="826" spans="1:12">
      <c r="A826" s="274"/>
      <c r="B826" s="275"/>
      <c r="C826" s="276"/>
      <c r="D826" s="276"/>
      <c r="E826" s="276"/>
      <c r="F826" s="536"/>
      <c r="G826" s="536"/>
      <c r="H826" s="275"/>
      <c r="I826" s="415"/>
      <c r="J826" s="415"/>
      <c r="K826" s="715"/>
      <c r="L826" s="275"/>
    </row>
    <row r="827" spans="1:12">
      <c r="A827" s="274"/>
      <c r="B827" s="275"/>
      <c r="C827" s="276"/>
      <c r="D827" s="276"/>
      <c r="E827" s="276"/>
      <c r="F827" s="536"/>
      <c r="G827" s="536"/>
      <c r="H827" s="275"/>
      <c r="I827" s="415"/>
      <c r="J827" s="415"/>
      <c r="K827" s="715"/>
      <c r="L827" s="275"/>
    </row>
    <row r="828" spans="1:12">
      <c r="A828" s="274"/>
      <c r="B828" s="275"/>
      <c r="C828" s="276"/>
      <c r="D828" s="276"/>
      <c r="E828" s="276"/>
      <c r="F828" s="536"/>
      <c r="G828" s="536"/>
      <c r="H828" s="275"/>
      <c r="I828" s="415"/>
      <c r="J828" s="415"/>
      <c r="K828" s="715"/>
      <c r="L828" s="275"/>
    </row>
    <row r="829" spans="1:12">
      <c r="A829" s="274"/>
      <c r="B829" s="275"/>
      <c r="C829" s="276"/>
      <c r="D829" s="276"/>
      <c r="E829" s="276"/>
      <c r="F829" s="536"/>
      <c r="G829" s="536"/>
      <c r="H829" s="275"/>
      <c r="I829" s="415"/>
      <c r="J829" s="415"/>
      <c r="K829" s="715"/>
      <c r="L829" s="275"/>
    </row>
    <row r="830" spans="1:12">
      <c r="A830" s="274"/>
      <c r="B830" s="275"/>
      <c r="C830" s="276"/>
      <c r="D830" s="276"/>
      <c r="E830" s="276"/>
      <c r="F830" s="536"/>
      <c r="G830" s="536"/>
      <c r="H830" s="275"/>
      <c r="I830" s="415"/>
      <c r="J830" s="415"/>
      <c r="K830" s="715"/>
      <c r="L830" s="275"/>
    </row>
    <row r="831" spans="1:12">
      <c r="A831" s="274"/>
      <c r="B831" s="275"/>
      <c r="C831" s="276"/>
      <c r="D831" s="276"/>
      <c r="E831" s="276"/>
      <c r="F831" s="536"/>
      <c r="G831" s="536"/>
      <c r="H831" s="275"/>
      <c r="I831" s="415"/>
      <c r="J831" s="415"/>
      <c r="K831" s="715"/>
      <c r="L831" s="275"/>
    </row>
    <row r="832" spans="1:12">
      <c r="A832" s="274"/>
      <c r="B832" s="275"/>
      <c r="C832" s="276"/>
      <c r="D832" s="276"/>
      <c r="E832" s="276"/>
      <c r="F832" s="536"/>
      <c r="G832" s="536"/>
      <c r="H832" s="275"/>
      <c r="I832" s="415"/>
      <c r="J832" s="415"/>
      <c r="K832" s="715"/>
      <c r="L832" s="275"/>
    </row>
    <row r="833" spans="1:12">
      <c r="A833" s="274"/>
      <c r="B833" s="275"/>
      <c r="C833" s="276"/>
      <c r="D833" s="276"/>
      <c r="E833" s="276"/>
      <c r="F833" s="536"/>
      <c r="G833" s="536"/>
      <c r="H833" s="275"/>
      <c r="I833" s="415"/>
      <c r="J833" s="415"/>
      <c r="K833" s="715"/>
      <c r="L833" s="275"/>
    </row>
    <row r="834" spans="1:12">
      <c r="A834" s="274"/>
      <c r="B834" s="275"/>
      <c r="C834" s="276"/>
      <c r="D834" s="276"/>
      <c r="E834" s="276"/>
      <c r="F834" s="536"/>
      <c r="G834" s="536"/>
      <c r="H834" s="275"/>
      <c r="I834" s="415"/>
      <c r="J834" s="415"/>
      <c r="K834" s="715"/>
      <c r="L834" s="275"/>
    </row>
    <row r="835" spans="1:12">
      <c r="A835" s="274"/>
      <c r="B835" s="275"/>
      <c r="C835" s="276"/>
      <c r="D835" s="276"/>
      <c r="E835" s="276"/>
      <c r="F835" s="536"/>
      <c r="G835" s="536"/>
      <c r="H835" s="275"/>
      <c r="I835" s="415"/>
      <c r="J835" s="415"/>
      <c r="K835" s="715"/>
      <c r="L835" s="275"/>
    </row>
    <row r="836" spans="1:12">
      <c r="A836" s="274"/>
      <c r="B836" s="275"/>
      <c r="C836" s="276"/>
      <c r="D836" s="276"/>
      <c r="E836" s="276"/>
      <c r="F836" s="536"/>
      <c r="G836" s="536"/>
      <c r="H836" s="275"/>
      <c r="I836" s="415"/>
      <c r="J836" s="415"/>
      <c r="K836" s="715"/>
      <c r="L836" s="275"/>
    </row>
    <row r="837" spans="1:12">
      <c r="A837" s="274"/>
      <c r="B837" s="275"/>
      <c r="C837" s="276"/>
      <c r="D837" s="276"/>
      <c r="E837" s="276"/>
      <c r="F837" s="536"/>
      <c r="G837" s="536"/>
      <c r="H837" s="275"/>
      <c r="I837" s="415"/>
      <c r="J837" s="415"/>
      <c r="K837" s="715"/>
      <c r="L837" s="275"/>
    </row>
    <row r="838" spans="1:12">
      <c r="A838" s="274"/>
      <c r="B838" s="275"/>
      <c r="C838" s="276"/>
      <c r="D838" s="276"/>
      <c r="E838" s="276"/>
      <c r="F838" s="536"/>
      <c r="G838" s="536"/>
      <c r="H838" s="275"/>
      <c r="I838" s="415"/>
      <c r="J838" s="415"/>
      <c r="K838" s="715"/>
      <c r="L838" s="275"/>
    </row>
    <row r="839" spans="1:12">
      <c r="A839" s="274"/>
      <c r="B839" s="275"/>
      <c r="C839" s="276"/>
      <c r="D839" s="276"/>
      <c r="E839" s="276"/>
      <c r="F839" s="536"/>
      <c r="G839" s="536"/>
      <c r="H839" s="275"/>
      <c r="I839" s="415"/>
      <c r="J839" s="415"/>
      <c r="K839" s="715"/>
      <c r="L839" s="275"/>
    </row>
    <row r="840" spans="1:12">
      <c r="A840" s="274"/>
      <c r="B840" s="275"/>
      <c r="C840" s="276"/>
      <c r="D840" s="276"/>
      <c r="E840" s="276"/>
      <c r="F840" s="536"/>
      <c r="G840" s="536"/>
      <c r="H840" s="275"/>
      <c r="I840" s="415"/>
      <c r="J840" s="415"/>
      <c r="K840" s="715"/>
      <c r="L840" s="275"/>
    </row>
    <row r="841" spans="1:12">
      <c r="A841" s="274"/>
      <c r="B841" s="275"/>
      <c r="C841" s="276"/>
      <c r="D841" s="276"/>
      <c r="E841" s="276"/>
      <c r="F841" s="536"/>
      <c r="G841" s="536"/>
      <c r="H841" s="275"/>
      <c r="I841" s="415"/>
      <c r="J841" s="415"/>
      <c r="K841" s="715"/>
      <c r="L841" s="275"/>
    </row>
    <row r="842" spans="1:12">
      <c r="A842" s="274"/>
      <c r="B842" s="275"/>
      <c r="C842" s="276"/>
      <c r="D842" s="276"/>
      <c r="E842" s="276"/>
      <c r="F842" s="536"/>
      <c r="G842" s="536"/>
      <c r="H842" s="275"/>
      <c r="I842" s="415"/>
      <c r="J842" s="415"/>
      <c r="K842" s="715"/>
      <c r="L842" s="275"/>
    </row>
    <row r="843" spans="1:12">
      <c r="A843" s="274"/>
      <c r="B843" s="275"/>
      <c r="C843" s="276"/>
      <c r="D843" s="276"/>
      <c r="E843" s="276"/>
      <c r="F843" s="536"/>
      <c r="G843" s="536"/>
      <c r="H843" s="275"/>
      <c r="I843" s="415"/>
      <c r="J843" s="415"/>
      <c r="K843" s="715"/>
      <c r="L843" s="275"/>
    </row>
    <row r="844" spans="1:12">
      <c r="A844" s="274"/>
      <c r="B844" s="275"/>
      <c r="C844" s="276"/>
      <c r="D844" s="276"/>
      <c r="E844" s="276"/>
      <c r="F844" s="536"/>
      <c r="G844" s="536"/>
      <c r="H844" s="275"/>
      <c r="I844" s="415"/>
      <c r="J844" s="415"/>
      <c r="K844" s="715"/>
      <c r="L844" s="275"/>
    </row>
    <row r="845" spans="1:12">
      <c r="A845" s="274"/>
      <c r="B845" s="275"/>
      <c r="C845" s="276"/>
      <c r="D845" s="276"/>
      <c r="E845" s="276"/>
      <c r="F845" s="536"/>
      <c r="G845" s="536"/>
      <c r="H845" s="275"/>
      <c r="I845" s="415"/>
      <c r="J845" s="415"/>
      <c r="K845" s="715"/>
      <c r="L845" s="275"/>
    </row>
    <row r="846" spans="1:12">
      <c r="A846" s="274"/>
      <c r="B846" s="275"/>
      <c r="C846" s="276"/>
      <c r="D846" s="276"/>
      <c r="E846" s="276"/>
      <c r="F846" s="536"/>
      <c r="G846" s="536"/>
      <c r="H846" s="275"/>
      <c r="I846" s="415"/>
      <c r="J846" s="415"/>
      <c r="K846" s="715"/>
      <c r="L846" s="275"/>
    </row>
    <row r="847" spans="1:12">
      <c r="A847" s="274"/>
      <c r="B847" s="275"/>
      <c r="C847" s="276"/>
      <c r="D847" s="276"/>
      <c r="E847" s="276"/>
      <c r="F847" s="536"/>
      <c r="G847" s="536"/>
      <c r="H847" s="275"/>
      <c r="I847" s="415"/>
      <c r="J847" s="415"/>
      <c r="K847" s="715"/>
      <c r="L847" s="275"/>
    </row>
    <row r="848" spans="1:12">
      <c r="A848" s="274"/>
      <c r="B848" s="275"/>
      <c r="C848" s="276"/>
      <c r="D848" s="276"/>
      <c r="E848" s="276"/>
      <c r="F848" s="536"/>
      <c r="G848" s="536"/>
      <c r="H848" s="275"/>
      <c r="I848" s="415"/>
      <c r="J848" s="415"/>
      <c r="K848" s="715"/>
      <c r="L848" s="275"/>
    </row>
    <row r="849" spans="1:12">
      <c r="A849" s="274"/>
      <c r="B849" s="275"/>
      <c r="C849" s="276"/>
      <c r="D849" s="276"/>
      <c r="E849" s="276"/>
      <c r="F849" s="536"/>
      <c r="G849" s="536"/>
      <c r="H849" s="275"/>
      <c r="I849" s="415"/>
      <c r="J849" s="415"/>
      <c r="K849" s="715"/>
      <c r="L849" s="275"/>
    </row>
    <row r="850" spans="1:12">
      <c r="A850" s="274"/>
      <c r="B850" s="275"/>
      <c r="C850" s="276"/>
      <c r="D850" s="276"/>
      <c r="E850" s="276"/>
      <c r="F850" s="536"/>
      <c r="G850" s="536"/>
      <c r="H850" s="275"/>
      <c r="I850" s="415"/>
      <c r="J850" s="415"/>
      <c r="K850" s="715"/>
      <c r="L850" s="275"/>
    </row>
    <row r="851" spans="1:12">
      <c r="A851" s="274"/>
      <c r="B851" s="275"/>
      <c r="C851" s="276"/>
      <c r="D851" s="276"/>
      <c r="E851" s="276"/>
      <c r="F851" s="536"/>
      <c r="G851" s="536"/>
      <c r="H851" s="275"/>
      <c r="I851" s="415"/>
      <c r="J851" s="415"/>
      <c r="K851" s="715"/>
      <c r="L851" s="275"/>
    </row>
    <row r="852" spans="1:12">
      <c r="A852" s="274"/>
      <c r="B852" s="275"/>
      <c r="C852" s="276"/>
      <c r="D852" s="276"/>
      <c r="E852" s="276"/>
      <c r="F852" s="536"/>
      <c r="G852" s="536"/>
      <c r="H852" s="275"/>
      <c r="I852" s="415"/>
      <c r="J852" s="415"/>
      <c r="K852" s="715"/>
      <c r="L852" s="275"/>
    </row>
    <row r="853" spans="1:12">
      <c r="A853" s="274"/>
      <c r="B853" s="275"/>
      <c r="C853" s="276"/>
      <c r="D853" s="276"/>
      <c r="E853" s="276"/>
      <c r="F853" s="536"/>
      <c r="G853" s="536"/>
      <c r="H853" s="275"/>
      <c r="I853" s="415"/>
      <c r="J853" s="415"/>
      <c r="K853" s="715"/>
      <c r="L853" s="275"/>
    </row>
    <row r="854" spans="1:12">
      <c r="A854" s="274"/>
      <c r="B854" s="275"/>
      <c r="C854" s="276"/>
      <c r="D854" s="276"/>
      <c r="E854" s="276"/>
      <c r="F854" s="536"/>
      <c r="G854" s="536"/>
      <c r="H854" s="275"/>
      <c r="I854" s="415"/>
      <c r="J854" s="415"/>
      <c r="K854" s="715"/>
      <c r="L854" s="275"/>
    </row>
    <row r="855" spans="1:12">
      <c r="A855" s="274"/>
      <c r="B855" s="275"/>
      <c r="C855" s="276"/>
      <c r="D855" s="276"/>
      <c r="E855" s="276"/>
      <c r="F855" s="536"/>
      <c r="G855" s="536"/>
      <c r="H855" s="275"/>
      <c r="I855" s="415"/>
      <c r="J855" s="415"/>
      <c r="K855" s="715"/>
      <c r="L855" s="275"/>
    </row>
    <row r="856" spans="1:12">
      <c r="A856" s="274"/>
      <c r="B856" s="275"/>
      <c r="C856" s="276"/>
      <c r="D856" s="276"/>
      <c r="E856" s="276"/>
      <c r="F856" s="536"/>
      <c r="G856" s="536"/>
      <c r="H856" s="275"/>
      <c r="I856" s="415"/>
      <c r="J856" s="415"/>
      <c r="K856" s="715"/>
      <c r="L856" s="275"/>
    </row>
    <row r="857" spans="1:12">
      <c r="A857" s="274"/>
      <c r="B857" s="275"/>
      <c r="C857" s="276"/>
      <c r="D857" s="276"/>
      <c r="E857" s="276"/>
      <c r="F857" s="536"/>
      <c r="G857" s="536"/>
      <c r="H857" s="275"/>
      <c r="I857" s="415"/>
      <c r="J857" s="415"/>
      <c r="K857" s="715"/>
      <c r="L857" s="275"/>
    </row>
    <row r="858" spans="1:12">
      <c r="A858" s="274"/>
      <c r="B858" s="275"/>
      <c r="C858" s="276"/>
      <c r="D858" s="276"/>
      <c r="E858" s="276"/>
      <c r="F858" s="536"/>
      <c r="G858" s="536"/>
      <c r="H858" s="275"/>
      <c r="I858" s="415"/>
      <c r="J858" s="415"/>
      <c r="K858" s="715"/>
      <c r="L858" s="275"/>
    </row>
    <row r="859" spans="1:12">
      <c r="A859" s="274"/>
      <c r="B859" s="275"/>
      <c r="C859" s="276"/>
      <c r="D859" s="276"/>
      <c r="E859" s="276"/>
      <c r="F859" s="536"/>
      <c r="G859" s="536"/>
      <c r="H859" s="275"/>
      <c r="I859" s="415"/>
      <c r="J859" s="415"/>
      <c r="K859" s="715"/>
      <c r="L859" s="275"/>
    </row>
    <row r="860" spans="1:12">
      <c r="A860" s="274"/>
      <c r="B860" s="275"/>
      <c r="C860" s="276"/>
      <c r="D860" s="276"/>
      <c r="E860" s="276"/>
      <c r="F860" s="536"/>
      <c r="G860" s="536"/>
      <c r="H860" s="275"/>
      <c r="I860" s="415"/>
      <c r="J860" s="415"/>
      <c r="K860" s="715"/>
      <c r="L860" s="275"/>
    </row>
    <row r="861" spans="1:12">
      <c r="A861" s="274"/>
      <c r="B861" s="275"/>
      <c r="C861" s="276"/>
      <c r="D861" s="276"/>
      <c r="E861" s="276"/>
      <c r="F861" s="536"/>
      <c r="G861" s="536"/>
      <c r="H861" s="275"/>
      <c r="I861" s="415"/>
      <c r="J861" s="415"/>
      <c r="K861" s="715"/>
      <c r="L861" s="275"/>
    </row>
    <row r="862" spans="1:12">
      <c r="A862" s="274"/>
      <c r="B862" s="275"/>
      <c r="C862" s="276"/>
      <c r="D862" s="276"/>
      <c r="E862" s="276"/>
      <c r="F862" s="536"/>
      <c r="G862" s="536"/>
      <c r="H862" s="275"/>
      <c r="I862" s="415"/>
      <c r="J862" s="415"/>
      <c r="K862" s="715"/>
      <c r="L862" s="275"/>
    </row>
    <row r="863" spans="1:12">
      <c r="A863" s="274"/>
      <c r="B863" s="275"/>
      <c r="C863" s="276"/>
      <c r="D863" s="276"/>
      <c r="E863" s="276"/>
      <c r="F863" s="537"/>
      <c r="G863" s="536"/>
      <c r="H863" s="275"/>
      <c r="I863" s="415"/>
      <c r="J863" s="415"/>
      <c r="K863" s="715"/>
      <c r="L863" s="275"/>
    </row>
    <row r="864" spans="1:12">
      <c r="A864" s="274"/>
      <c r="B864" s="275"/>
      <c r="C864" s="276"/>
      <c r="D864" s="276"/>
      <c r="E864" s="276"/>
      <c r="F864" s="536"/>
      <c r="G864" s="536"/>
      <c r="H864" s="275"/>
      <c r="I864" s="415"/>
      <c r="J864" s="415"/>
      <c r="K864" s="715"/>
      <c r="L864" s="275"/>
    </row>
    <row r="865" spans="1:12">
      <c r="A865" s="274"/>
      <c r="B865" s="275"/>
      <c r="C865" s="276"/>
      <c r="D865" s="276"/>
      <c r="E865" s="276"/>
      <c r="F865" s="536"/>
      <c r="G865" s="536"/>
      <c r="H865" s="275"/>
      <c r="I865" s="415"/>
      <c r="J865" s="415"/>
      <c r="K865" s="715"/>
      <c r="L865" s="275"/>
    </row>
    <row r="866" spans="1:12">
      <c r="A866" s="274"/>
      <c r="B866" s="275"/>
      <c r="C866" s="276"/>
      <c r="D866" s="276"/>
      <c r="E866" s="276"/>
      <c r="F866" s="536"/>
      <c r="G866" s="536"/>
      <c r="H866" s="275"/>
      <c r="I866" s="415"/>
      <c r="J866" s="415"/>
      <c r="K866" s="715"/>
      <c r="L866" s="275"/>
    </row>
    <row r="867" spans="1:12">
      <c r="A867" s="274"/>
      <c r="B867" s="275"/>
      <c r="C867" s="276"/>
      <c r="D867" s="276"/>
      <c r="E867" s="276"/>
      <c r="F867" s="536"/>
      <c r="G867" s="536"/>
      <c r="H867" s="275"/>
      <c r="I867" s="415"/>
      <c r="J867" s="415"/>
      <c r="K867" s="715"/>
      <c r="L867" s="275"/>
    </row>
    <row r="868" spans="1:12">
      <c r="A868" s="274"/>
      <c r="B868" s="275"/>
      <c r="C868" s="276"/>
      <c r="D868" s="276"/>
      <c r="E868" s="276"/>
      <c r="F868" s="536"/>
      <c r="G868" s="536"/>
      <c r="H868" s="275"/>
      <c r="I868" s="415"/>
      <c r="J868" s="415"/>
      <c r="K868" s="715"/>
      <c r="L868" s="275"/>
    </row>
    <row r="869" spans="1:12">
      <c r="A869" s="274"/>
      <c r="B869" s="275"/>
      <c r="C869" s="276"/>
      <c r="D869" s="276"/>
      <c r="E869" s="276"/>
      <c r="F869" s="536"/>
      <c r="G869" s="536"/>
      <c r="H869" s="275"/>
      <c r="I869" s="415"/>
      <c r="J869" s="415"/>
      <c r="K869" s="715"/>
      <c r="L869" s="275"/>
    </row>
    <row r="870" spans="1:12">
      <c r="A870" s="274"/>
      <c r="B870" s="275"/>
      <c r="C870" s="276"/>
      <c r="D870" s="276"/>
      <c r="E870" s="276"/>
      <c r="F870" s="536"/>
      <c r="G870" s="536"/>
      <c r="H870" s="275"/>
      <c r="I870" s="415"/>
      <c r="J870" s="415"/>
      <c r="K870" s="715"/>
      <c r="L870" s="275"/>
    </row>
    <row r="871" spans="1:12">
      <c r="A871" s="274"/>
      <c r="B871" s="275"/>
      <c r="C871" s="276"/>
      <c r="D871" s="276"/>
      <c r="E871" s="276"/>
      <c r="F871" s="536"/>
      <c r="G871" s="536"/>
      <c r="H871" s="275"/>
      <c r="I871" s="415"/>
      <c r="J871" s="415"/>
      <c r="K871" s="715"/>
      <c r="L871" s="275"/>
    </row>
    <row r="872" spans="1:12">
      <c r="A872" s="274"/>
      <c r="B872" s="275"/>
      <c r="C872" s="276"/>
      <c r="D872" s="276"/>
      <c r="E872" s="276"/>
      <c r="F872" s="536"/>
      <c r="G872" s="536"/>
      <c r="H872" s="275"/>
      <c r="I872" s="415"/>
      <c r="J872" s="415"/>
      <c r="K872" s="715"/>
      <c r="L872" s="275"/>
    </row>
    <row r="873" spans="1:12">
      <c r="A873" s="274"/>
      <c r="B873" s="275"/>
      <c r="C873" s="276"/>
      <c r="D873" s="276"/>
      <c r="E873" s="276"/>
      <c r="F873" s="536"/>
      <c r="G873" s="536"/>
      <c r="H873" s="275"/>
      <c r="I873" s="415"/>
      <c r="J873" s="415"/>
      <c r="K873" s="715"/>
      <c r="L873" s="275"/>
    </row>
    <row r="874" spans="1:12">
      <c r="A874" s="274"/>
      <c r="B874" s="275"/>
      <c r="C874" s="276"/>
      <c r="D874" s="276"/>
      <c r="E874" s="276"/>
      <c r="F874" s="536"/>
      <c r="G874" s="536"/>
      <c r="H874" s="275"/>
      <c r="I874" s="415"/>
      <c r="J874" s="415"/>
      <c r="K874" s="715"/>
      <c r="L874" s="275"/>
    </row>
    <row r="875" spans="1:12">
      <c r="A875" s="274"/>
      <c r="B875" s="275"/>
      <c r="C875" s="276"/>
      <c r="D875" s="276"/>
      <c r="E875" s="276"/>
      <c r="F875" s="536"/>
      <c r="G875" s="536"/>
      <c r="H875" s="275"/>
      <c r="I875" s="415"/>
      <c r="J875" s="415"/>
      <c r="K875" s="715"/>
      <c r="L875" s="275"/>
    </row>
    <row r="876" spans="1:12">
      <c r="A876" s="274"/>
      <c r="B876" s="275"/>
      <c r="C876" s="276"/>
      <c r="D876" s="276"/>
      <c r="E876" s="276"/>
      <c r="F876" s="536"/>
      <c r="G876" s="536"/>
      <c r="H876" s="275"/>
      <c r="I876" s="415"/>
      <c r="J876" s="415"/>
      <c r="K876" s="715"/>
      <c r="L876" s="275"/>
    </row>
    <row r="877" spans="1:12">
      <c r="A877" s="274"/>
      <c r="B877" s="275"/>
      <c r="C877" s="276"/>
      <c r="D877" s="276"/>
      <c r="E877" s="276"/>
      <c r="F877" s="536"/>
      <c r="G877" s="536"/>
      <c r="H877" s="275"/>
      <c r="I877" s="415"/>
      <c r="J877" s="415"/>
      <c r="K877" s="715"/>
      <c r="L877" s="275"/>
    </row>
    <row r="878" spans="1:12">
      <c r="A878" s="274"/>
      <c r="B878" s="275"/>
      <c r="C878" s="276"/>
      <c r="D878" s="276"/>
      <c r="E878" s="276"/>
      <c r="F878" s="536"/>
      <c r="G878" s="536"/>
      <c r="H878" s="275"/>
      <c r="I878" s="415"/>
      <c r="J878" s="415"/>
      <c r="K878" s="715"/>
      <c r="L878" s="275"/>
    </row>
    <row r="879" spans="1:12">
      <c r="A879" s="274"/>
      <c r="B879" s="275"/>
      <c r="C879" s="276"/>
      <c r="D879" s="276"/>
      <c r="E879" s="276"/>
      <c r="F879" s="536"/>
      <c r="G879" s="536"/>
      <c r="H879" s="275"/>
      <c r="I879" s="415"/>
      <c r="J879" s="415"/>
      <c r="K879" s="715"/>
      <c r="L879" s="275"/>
    </row>
    <row r="880" spans="1:12">
      <c r="A880" s="274"/>
      <c r="B880" s="275"/>
      <c r="C880" s="276"/>
      <c r="D880" s="276"/>
      <c r="E880" s="276"/>
      <c r="F880" s="536"/>
      <c r="G880" s="536"/>
      <c r="H880" s="275"/>
      <c r="I880" s="415"/>
      <c r="J880" s="415"/>
      <c r="K880" s="715"/>
      <c r="L880" s="275"/>
    </row>
    <row r="881" spans="1:12">
      <c r="A881" s="274"/>
      <c r="B881" s="275"/>
      <c r="C881" s="276"/>
      <c r="D881" s="276"/>
      <c r="E881" s="276"/>
      <c r="F881" s="536"/>
      <c r="G881" s="536"/>
      <c r="H881" s="275"/>
      <c r="I881" s="415"/>
      <c r="J881" s="415"/>
      <c r="K881" s="715"/>
      <c r="L881" s="275"/>
    </row>
    <row r="882" spans="1:12">
      <c r="A882" s="274"/>
      <c r="B882" s="275"/>
      <c r="C882" s="276"/>
      <c r="D882" s="276"/>
      <c r="E882" s="276"/>
      <c r="F882" s="536"/>
      <c r="G882" s="536"/>
      <c r="H882" s="275"/>
      <c r="I882" s="415"/>
      <c r="J882" s="415"/>
      <c r="K882" s="715"/>
      <c r="L882" s="275"/>
    </row>
    <row r="883" spans="1:12">
      <c r="A883" s="274"/>
      <c r="B883" s="275"/>
      <c r="C883" s="276"/>
      <c r="D883" s="276"/>
      <c r="E883" s="276"/>
      <c r="F883" s="536"/>
      <c r="G883" s="536"/>
      <c r="H883" s="275"/>
      <c r="I883" s="415"/>
      <c r="J883" s="415"/>
      <c r="K883" s="715"/>
      <c r="L883" s="275"/>
    </row>
    <row r="884" spans="1:12">
      <c r="A884" s="274"/>
      <c r="B884" s="275"/>
      <c r="C884" s="276"/>
      <c r="D884" s="276"/>
      <c r="E884" s="276"/>
      <c r="F884" s="536"/>
      <c r="G884" s="536"/>
      <c r="H884" s="275"/>
      <c r="I884" s="415"/>
      <c r="J884" s="415"/>
      <c r="K884" s="715"/>
      <c r="L884" s="275"/>
    </row>
    <row r="885" spans="1:12">
      <c r="A885" s="274"/>
      <c r="B885" s="275"/>
      <c r="C885" s="276"/>
      <c r="D885" s="276"/>
      <c r="E885" s="276"/>
      <c r="F885" s="536"/>
      <c r="G885" s="536"/>
      <c r="H885" s="275"/>
      <c r="I885" s="415"/>
      <c r="J885" s="415"/>
      <c r="K885" s="715"/>
      <c r="L885" s="275"/>
    </row>
    <row r="886" spans="1:12">
      <c r="A886" s="274"/>
      <c r="B886" s="275"/>
      <c r="C886" s="276"/>
      <c r="D886" s="276"/>
      <c r="E886" s="276"/>
      <c r="F886" s="536"/>
      <c r="G886" s="536"/>
      <c r="H886" s="275"/>
      <c r="I886" s="415"/>
      <c r="J886" s="415"/>
      <c r="K886" s="715"/>
      <c r="L886" s="275"/>
    </row>
    <row r="887" spans="1:12">
      <c r="A887" s="274"/>
      <c r="B887" s="275"/>
      <c r="C887" s="276"/>
      <c r="D887" s="276"/>
      <c r="E887" s="276"/>
      <c r="F887" s="536"/>
      <c r="G887" s="536"/>
      <c r="H887" s="275"/>
      <c r="I887" s="415"/>
      <c r="J887" s="415"/>
      <c r="K887" s="715"/>
      <c r="L887" s="275"/>
    </row>
    <row r="888" spans="1:12">
      <c r="A888" s="274"/>
      <c r="B888" s="275"/>
      <c r="C888" s="276"/>
      <c r="D888" s="276"/>
      <c r="E888" s="276"/>
      <c r="F888" s="536"/>
      <c r="G888" s="536"/>
      <c r="H888" s="275"/>
      <c r="I888" s="415"/>
      <c r="J888" s="415"/>
      <c r="K888" s="715"/>
      <c r="L888" s="275"/>
    </row>
    <row r="889" spans="1:12">
      <c r="A889" s="274"/>
      <c r="B889" s="275"/>
      <c r="C889" s="276"/>
      <c r="D889" s="276"/>
      <c r="E889" s="276"/>
      <c r="F889" s="536"/>
      <c r="G889" s="536"/>
      <c r="H889" s="275"/>
      <c r="I889" s="415"/>
      <c r="J889" s="415"/>
      <c r="K889" s="715"/>
      <c r="L889" s="275"/>
    </row>
    <row r="890" spans="1:12">
      <c r="A890" s="274"/>
      <c r="B890" s="275"/>
      <c r="C890" s="276"/>
      <c r="D890" s="276"/>
      <c r="E890" s="276"/>
      <c r="F890" s="536"/>
      <c r="G890" s="536"/>
      <c r="H890" s="275"/>
      <c r="I890" s="415"/>
      <c r="J890" s="415"/>
      <c r="K890" s="715"/>
      <c r="L890" s="275"/>
    </row>
    <row r="891" spans="1:12">
      <c r="A891" s="274"/>
      <c r="B891" s="275"/>
      <c r="C891" s="276"/>
      <c r="D891" s="276"/>
      <c r="E891" s="276"/>
      <c r="F891" s="537"/>
      <c r="G891" s="536"/>
      <c r="H891" s="275"/>
      <c r="I891" s="415"/>
      <c r="J891" s="415"/>
      <c r="K891" s="715"/>
      <c r="L891" s="275"/>
    </row>
    <row r="892" spans="1:12">
      <c r="A892" s="274"/>
      <c r="B892" s="275"/>
      <c r="C892" s="276"/>
      <c r="D892" s="276"/>
      <c r="E892" s="276"/>
      <c r="F892" s="536"/>
      <c r="G892" s="536"/>
      <c r="H892" s="275"/>
      <c r="I892" s="415"/>
      <c r="J892" s="415"/>
      <c r="K892" s="715"/>
      <c r="L892" s="275"/>
    </row>
    <row r="893" spans="1:12">
      <c r="A893" s="274"/>
      <c r="B893" s="275"/>
      <c r="C893" s="276"/>
      <c r="D893" s="276"/>
      <c r="E893" s="276"/>
      <c r="F893" s="536"/>
      <c r="G893" s="536"/>
      <c r="H893" s="275"/>
      <c r="I893" s="415"/>
      <c r="J893" s="415"/>
      <c r="K893" s="715"/>
      <c r="L893" s="275"/>
    </row>
    <row r="894" spans="1:12">
      <c r="A894" s="274"/>
      <c r="B894" s="275"/>
      <c r="C894" s="276"/>
      <c r="D894" s="276"/>
      <c r="E894" s="276"/>
      <c r="F894" s="536"/>
      <c r="G894" s="536"/>
      <c r="H894" s="275"/>
      <c r="I894" s="415"/>
      <c r="J894" s="415"/>
      <c r="K894" s="715"/>
      <c r="L894" s="275"/>
    </row>
    <row r="895" spans="1:12">
      <c r="A895" s="274"/>
      <c r="B895" s="275"/>
      <c r="C895" s="276"/>
      <c r="D895" s="276"/>
      <c r="E895" s="276"/>
      <c r="F895" s="536"/>
      <c r="G895" s="536"/>
      <c r="H895" s="275"/>
      <c r="I895" s="415"/>
      <c r="J895" s="415"/>
      <c r="K895" s="715"/>
      <c r="L895" s="275"/>
    </row>
    <row r="896" spans="1:12">
      <c r="A896" s="274"/>
      <c r="B896" s="275"/>
      <c r="C896" s="276"/>
      <c r="D896" s="276"/>
      <c r="E896" s="276"/>
      <c r="F896" s="536"/>
      <c r="G896" s="536"/>
      <c r="H896" s="275"/>
      <c r="I896" s="415"/>
      <c r="J896" s="415"/>
      <c r="K896" s="715"/>
      <c r="L896" s="275"/>
    </row>
    <row r="897" spans="1:12">
      <c r="A897" s="274"/>
      <c r="B897" s="275"/>
      <c r="C897" s="276"/>
      <c r="D897" s="276"/>
      <c r="E897" s="276"/>
      <c r="F897" s="536"/>
      <c r="G897" s="536"/>
      <c r="H897" s="275"/>
      <c r="I897" s="415"/>
      <c r="J897" s="415"/>
      <c r="K897" s="715"/>
      <c r="L897" s="275"/>
    </row>
    <row r="898" spans="1:12">
      <c r="A898" s="274"/>
      <c r="B898" s="275"/>
      <c r="C898" s="276"/>
      <c r="D898" s="276"/>
      <c r="E898" s="276"/>
      <c r="F898" s="536"/>
      <c r="G898" s="536"/>
      <c r="H898" s="275"/>
      <c r="I898" s="415"/>
      <c r="J898" s="415"/>
      <c r="K898" s="715"/>
      <c r="L898" s="275"/>
    </row>
    <row r="899" spans="1:12">
      <c r="A899" s="274"/>
      <c r="B899" s="275"/>
      <c r="C899" s="276"/>
      <c r="D899" s="276"/>
      <c r="E899" s="276"/>
      <c r="F899" s="536"/>
      <c r="G899" s="536"/>
      <c r="H899" s="275"/>
      <c r="I899" s="415"/>
      <c r="J899" s="415"/>
      <c r="K899" s="715"/>
      <c r="L899" s="275"/>
    </row>
    <row r="900" spans="1:12">
      <c r="A900" s="274"/>
      <c r="B900" s="275"/>
      <c r="C900" s="276"/>
      <c r="D900" s="276"/>
      <c r="E900" s="276"/>
      <c r="F900" s="536"/>
      <c r="G900" s="536"/>
      <c r="H900" s="275"/>
      <c r="I900" s="415"/>
      <c r="J900" s="415"/>
      <c r="K900" s="715"/>
      <c r="L900" s="275"/>
    </row>
    <row r="901" spans="1:12">
      <c r="A901" s="274"/>
      <c r="B901" s="275"/>
      <c r="C901" s="276"/>
      <c r="D901" s="276"/>
      <c r="E901" s="276"/>
      <c r="F901" s="536"/>
      <c r="G901" s="536"/>
      <c r="H901" s="275"/>
      <c r="I901" s="415"/>
      <c r="J901" s="415"/>
      <c r="K901" s="715"/>
      <c r="L901" s="275"/>
    </row>
    <row r="902" spans="1:12">
      <c r="A902" s="274"/>
      <c r="B902" s="275"/>
      <c r="C902" s="276"/>
      <c r="D902" s="276"/>
      <c r="E902" s="276"/>
      <c r="F902" s="536"/>
      <c r="G902" s="536"/>
      <c r="H902" s="275"/>
      <c r="I902" s="415"/>
      <c r="J902" s="415"/>
      <c r="K902" s="715"/>
      <c r="L902" s="275"/>
    </row>
    <row r="903" spans="1:12">
      <c r="A903" s="274"/>
      <c r="B903" s="275"/>
      <c r="C903" s="276"/>
      <c r="D903" s="276"/>
      <c r="E903" s="276"/>
      <c r="F903" s="536"/>
      <c r="G903" s="536"/>
      <c r="H903" s="275"/>
      <c r="I903" s="415"/>
      <c r="J903" s="415"/>
      <c r="K903" s="715"/>
      <c r="L903" s="275"/>
    </row>
    <row r="904" spans="1:12">
      <c r="A904" s="274"/>
      <c r="B904" s="275"/>
      <c r="C904" s="276"/>
      <c r="D904" s="276"/>
      <c r="E904" s="276"/>
      <c r="F904" s="536"/>
      <c r="G904" s="536"/>
      <c r="H904" s="275"/>
      <c r="I904" s="415"/>
      <c r="J904" s="415"/>
      <c r="K904" s="715"/>
      <c r="L904" s="275"/>
    </row>
    <row r="905" spans="1:12">
      <c r="A905" s="274"/>
      <c r="B905" s="275"/>
      <c r="C905" s="276"/>
      <c r="D905" s="276"/>
      <c r="E905" s="276"/>
      <c r="F905" s="536"/>
      <c r="G905" s="536"/>
      <c r="H905" s="275"/>
      <c r="I905" s="415"/>
      <c r="J905" s="415"/>
      <c r="K905" s="715"/>
      <c r="L905" s="275"/>
    </row>
    <row r="906" spans="1:12">
      <c r="A906" s="274"/>
      <c r="B906" s="275"/>
      <c r="C906" s="276"/>
      <c r="D906" s="276"/>
      <c r="E906" s="276"/>
      <c r="F906" s="536"/>
      <c r="G906" s="536"/>
      <c r="H906" s="275"/>
      <c r="I906" s="415"/>
      <c r="J906" s="415"/>
      <c r="K906" s="715"/>
      <c r="L906" s="275"/>
    </row>
    <row r="907" spans="1:12">
      <c r="A907" s="274"/>
      <c r="B907" s="275"/>
      <c r="C907" s="276"/>
      <c r="D907" s="276"/>
      <c r="E907" s="276"/>
      <c r="F907" s="536"/>
      <c r="G907" s="536"/>
      <c r="H907" s="275"/>
      <c r="I907" s="415"/>
      <c r="J907" s="415"/>
      <c r="K907" s="715"/>
      <c r="L907" s="275"/>
    </row>
    <row r="908" spans="1:12">
      <c r="A908" s="274"/>
      <c r="B908" s="275"/>
      <c r="C908" s="276"/>
      <c r="D908" s="276"/>
      <c r="E908" s="276"/>
      <c r="F908" s="536"/>
      <c r="G908" s="536"/>
      <c r="H908" s="275"/>
      <c r="I908" s="415"/>
      <c r="J908" s="415"/>
      <c r="K908" s="715"/>
      <c r="L908" s="275"/>
    </row>
    <row r="909" spans="1:12">
      <c r="A909" s="274"/>
      <c r="B909" s="275"/>
      <c r="C909" s="276"/>
      <c r="D909" s="276"/>
      <c r="E909" s="276"/>
      <c r="F909" s="536"/>
      <c r="G909" s="536"/>
      <c r="H909" s="275"/>
      <c r="I909" s="415"/>
      <c r="J909" s="415"/>
      <c r="K909" s="715"/>
      <c r="L909" s="275"/>
    </row>
    <row r="910" spans="1:12">
      <c r="A910" s="274"/>
      <c r="B910" s="275"/>
      <c r="C910" s="276"/>
      <c r="D910" s="276"/>
      <c r="E910" s="276"/>
      <c r="F910" s="536"/>
      <c r="G910" s="536"/>
      <c r="H910" s="275"/>
      <c r="I910" s="415"/>
      <c r="J910" s="415"/>
      <c r="K910" s="715"/>
      <c r="L910" s="275"/>
    </row>
    <row r="911" spans="1:12">
      <c r="A911" s="274"/>
      <c r="B911" s="275"/>
      <c r="C911" s="276"/>
      <c r="D911" s="276"/>
      <c r="E911" s="276"/>
      <c r="F911" s="536"/>
      <c r="G911" s="536"/>
      <c r="H911" s="275"/>
      <c r="I911" s="415"/>
      <c r="J911" s="415"/>
      <c r="K911" s="715"/>
      <c r="L911" s="275"/>
    </row>
    <row r="912" spans="1:12">
      <c r="A912" s="274"/>
      <c r="B912" s="275"/>
      <c r="C912" s="276"/>
      <c r="D912" s="276"/>
      <c r="E912" s="276"/>
      <c r="F912" s="537"/>
      <c r="G912" s="536"/>
      <c r="H912" s="275"/>
      <c r="I912" s="415"/>
      <c r="J912" s="415"/>
      <c r="K912" s="715"/>
      <c r="L912" s="275"/>
    </row>
    <row r="913" spans="1:12">
      <c r="A913" s="274"/>
      <c r="B913" s="275"/>
      <c r="C913" s="276"/>
      <c r="D913" s="276"/>
      <c r="E913" s="276"/>
      <c r="F913" s="535"/>
      <c r="G913" s="536"/>
      <c r="H913" s="275"/>
      <c r="I913" s="415"/>
      <c r="J913" s="415"/>
      <c r="K913" s="715"/>
      <c r="L913" s="275"/>
    </row>
    <row r="914" spans="1:12">
      <c r="A914" s="274"/>
      <c r="B914" s="275"/>
      <c r="C914" s="276"/>
      <c r="D914" s="276"/>
      <c r="E914" s="276"/>
      <c r="F914" s="535"/>
      <c r="G914" s="536"/>
      <c r="H914" s="275"/>
      <c r="I914" s="415"/>
      <c r="J914" s="415"/>
      <c r="K914" s="715"/>
      <c r="L914" s="275"/>
    </row>
    <row r="915" spans="1:12">
      <c r="A915" s="274"/>
      <c r="B915" s="275"/>
      <c r="C915" s="276"/>
      <c r="D915" s="276"/>
      <c r="E915" s="276"/>
      <c r="F915" s="537"/>
      <c r="G915" s="536"/>
      <c r="H915" s="275"/>
      <c r="I915" s="415"/>
      <c r="J915" s="415"/>
      <c r="K915" s="715"/>
      <c r="L915" s="275"/>
    </row>
    <row r="916" spans="1:12">
      <c r="A916" s="274"/>
      <c r="B916" s="275"/>
      <c r="C916" s="276"/>
      <c r="D916" s="276"/>
      <c r="E916" s="276"/>
      <c r="F916" s="536"/>
      <c r="G916" s="536"/>
      <c r="H916" s="275"/>
      <c r="I916" s="415"/>
      <c r="J916" s="415"/>
      <c r="K916" s="715"/>
      <c r="L916" s="275"/>
    </row>
    <row r="917" spans="1:12">
      <c r="A917" s="274"/>
      <c r="B917" s="275"/>
      <c r="C917" s="276"/>
      <c r="D917" s="276"/>
      <c r="E917" s="276"/>
      <c r="F917" s="536"/>
      <c r="G917" s="536"/>
      <c r="H917" s="275"/>
      <c r="I917" s="415"/>
      <c r="J917" s="415"/>
      <c r="K917" s="715"/>
      <c r="L917" s="275"/>
    </row>
    <row r="918" spans="1:12">
      <c r="A918" s="274"/>
      <c r="B918" s="275"/>
      <c r="C918" s="276"/>
      <c r="D918" s="276"/>
      <c r="E918" s="276"/>
      <c r="F918" s="536"/>
      <c r="G918" s="536"/>
      <c r="H918" s="275"/>
      <c r="I918" s="415"/>
      <c r="J918" s="415"/>
      <c r="K918" s="715"/>
      <c r="L918" s="275"/>
    </row>
    <row r="919" spans="1:12">
      <c r="A919" s="274"/>
      <c r="B919" s="275"/>
      <c r="C919" s="276"/>
      <c r="D919" s="276"/>
      <c r="E919" s="276"/>
      <c r="F919" s="536"/>
      <c r="G919" s="536"/>
      <c r="H919" s="275"/>
      <c r="I919" s="415"/>
      <c r="J919" s="415"/>
      <c r="K919" s="715"/>
      <c r="L919" s="275"/>
    </row>
    <row r="920" spans="1:12">
      <c r="A920" s="274"/>
      <c r="B920" s="275"/>
      <c r="C920" s="276"/>
      <c r="D920" s="276"/>
      <c r="E920" s="276"/>
      <c r="F920" s="536"/>
      <c r="G920" s="536"/>
      <c r="H920" s="275"/>
      <c r="I920" s="415"/>
      <c r="J920" s="415"/>
      <c r="K920" s="715"/>
      <c r="L920" s="275"/>
    </row>
    <row r="921" spans="1:12">
      <c r="A921" s="274"/>
      <c r="B921" s="275"/>
      <c r="C921" s="276"/>
      <c r="D921" s="276"/>
      <c r="E921" s="276"/>
      <c r="F921" s="536"/>
      <c r="G921" s="536"/>
      <c r="H921" s="275"/>
      <c r="I921" s="415"/>
      <c r="J921" s="415"/>
      <c r="K921" s="715"/>
      <c r="L921" s="275"/>
    </row>
    <row r="922" spans="1:12">
      <c r="A922" s="274"/>
      <c r="B922" s="275"/>
      <c r="C922" s="276"/>
      <c r="D922" s="276"/>
      <c r="E922" s="276"/>
      <c r="F922" s="536"/>
      <c r="G922" s="536"/>
      <c r="H922" s="275"/>
      <c r="I922" s="415"/>
      <c r="J922" s="415"/>
      <c r="K922" s="715"/>
      <c r="L922" s="275"/>
    </row>
    <row r="923" spans="1:12">
      <c r="A923" s="274"/>
      <c r="B923" s="275"/>
      <c r="C923" s="276"/>
      <c r="D923" s="276"/>
      <c r="E923" s="276"/>
      <c r="F923" s="536"/>
      <c r="G923" s="536"/>
      <c r="H923" s="275"/>
      <c r="I923" s="415"/>
      <c r="J923" s="415"/>
      <c r="K923" s="715"/>
      <c r="L923" s="275"/>
    </row>
    <row r="924" spans="1:12">
      <c r="A924" s="274"/>
      <c r="B924" s="275"/>
      <c r="C924" s="276"/>
      <c r="D924" s="276"/>
      <c r="E924" s="276"/>
      <c r="F924" s="536"/>
      <c r="G924" s="536"/>
      <c r="H924" s="275"/>
      <c r="I924" s="415"/>
      <c r="J924" s="415"/>
      <c r="K924" s="715"/>
      <c r="L924" s="275"/>
    </row>
    <row r="925" spans="1:12">
      <c r="A925" s="274"/>
      <c r="B925" s="275"/>
      <c r="C925" s="276"/>
      <c r="D925" s="276"/>
      <c r="E925" s="276"/>
      <c r="F925" s="536"/>
      <c r="G925" s="536"/>
      <c r="H925" s="275"/>
      <c r="I925" s="415"/>
      <c r="J925" s="415"/>
      <c r="K925" s="715"/>
      <c r="L925" s="275"/>
    </row>
    <row r="926" spans="1:12">
      <c r="A926" s="274"/>
      <c r="B926" s="275"/>
      <c r="C926" s="276"/>
      <c r="D926" s="276"/>
      <c r="E926" s="276"/>
      <c r="F926" s="536"/>
      <c r="G926" s="536"/>
      <c r="H926" s="275"/>
      <c r="I926" s="415"/>
      <c r="J926" s="415"/>
      <c r="K926" s="715"/>
      <c r="L926" s="275"/>
    </row>
    <row r="927" spans="1:12">
      <c r="A927" s="274"/>
      <c r="B927" s="275"/>
      <c r="C927" s="276"/>
      <c r="D927" s="276"/>
      <c r="E927" s="276"/>
      <c r="F927" s="537"/>
      <c r="G927" s="536"/>
      <c r="H927" s="275"/>
      <c r="I927" s="415"/>
      <c r="J927" s="415"/>
      <c r="K927" s="715"/>
      <c r="L927" s="275"/>
    </row>
    <row r="928" spans="1:12">
      <c r="A928" s="274"/>
      <c r="B928" s="275"/>
      <c r="C928" s="276"/>
      <c r="D928" s="276"/>
      <c r="E928" s="276"/>
      <c r="F928" s="536"/>
      <c r="G928" s="536"/>
      <c r="H928" s="275"/>
      <c r="I928" s="415"/>
      <c r="J928" s="415"/>
      <c r="K928" s="715"/>
      <c r="L928" s="275"/>
    </row>
    <row r="929" spans="1:12">
      <c r="A929" s="274"/>
      <c r="B929" s="275"/>
      <c r="C929" s="276"/>
      <c r="D929" s="276"/>
      <c r="E929" s="276"/>
      <c r="F929" s="536"/>
      <c r="G929" s="536"/>
      <c r="H929" s="275"/>
      <c r="I929" s="415"/>
      <c r="J929" s="415"/>
      <c r="K929" s="715"/>
      <c r="L929" s="275"/>
    </row>
    <row r="930" spans="1:12">
      <c r="A930" s="274"/>
      <c r="B930" s="275"/>
      <c r="C930" s="276"/>
      <c r="D930" s="276"/>
      <c r="E930" s="276"/>
      <c r="F930" s="536"/>
      <c r="G930" s="536"/>
      <c r="H930" s="275"/>
      <c r="I930" s="415"/>
      <c r="J930" s="415"/>
      <c r="K930" s="715"/>
      <c r="L930" s="275"/>
    </row>
    <row r="931" spans="1:12">
      <c r="A931" s="274"/>
      <c r="B931" s="275"/>
      <c r="C931" s="276"/>
      <c r="D931" s="276"/>
      <c r="E931" s="276"/>
      <c r="F931" s="536"/>
      <c r="G931" s="536"/>
      <c r="H931" s="275"/>
      <c r="I931" s="415"/>
      <c r="J931" s="415"/>
      <c r="K931" s="715"/>
      <c r="L931" s="275"/>
    </row>
    <row r="932" spans="1:12">
      <c r="A932" s="274"/>
      <c r="B932" s="275"/>
      <c r="C932" s="276"/>
      <c r="D932" s="276"/>
      <c r="E932" s="276"/>
      <c r="F932" s="536"/>
      <c r="G932" s="536"/>
      <c r="H932" s="275"/>
      <c r="I932" s="415"/>
      <c r="J932" s="415"/>
      <c r="K932" s="715"/>
      <c r="L932" s="275"/>
    </row>
    <row r="933" spans="1:12">
      <c r="A933" s="274"/>
      <c r="B933" s="275"/>
      <c r="C933" s="276"/>
      <c r="D933" s="276"/>
      <c r="E933" s="276"/>
      <c r="F933" s="536"/>
      <c r="G933" s="536"/>
      <c r="H933" s="275"/>
      <c r="I933" s="415"/>
      <c r="J933" s="415"/>
      <c r="K933" s="715"/>
      <c r="L933" s="275"/>
    </row>
    <row r="934" spans="1:12">
      <c r="A934" s="274"/>
      <c r="B934" s="275"/>
      <c r="C934" s="276"/>
      <c r="D934" s="276"/>
      <c r="E934" s="276"/>
      <c r="F934" s="536"/>
      <c r="G934" s="536"/>
      <c r="H934" s="275"/>
      <c r="I934" s="415"/>
      <c r="J934" s="415"/>
      <c r="K934" s="715"/>
      <c r="L934" s="275"/>
    </row>
    <row r="935" spans="1:12">
      <c r="A935" s="274"/>
      <c r="B935" s="275"/>
      <c r="C935" s="276"/>
      <c r="D935" s="276"/>
      <c r="E935" s="276"/>
      <c r="F935" s="536"/>
      <c r="G935" s="536"/>
      <c r="H935" s="275"/>
      <c r="I935" s="415"/>
      <c r="J935" s="415"/>
      <c r="K935" s="715"/>
      <c r="L935" s="275"/>
    </row>
    <row r="936" spans="1:12">
      <c r="A936" s="274"/>
      <c r="B936" s="275"/>
      <c r="C936" s="276"/>
      <c r="D936" s="276"/>
      <c r="E936" s="276"/>
      <c r="F936" s="536"/>
      <c r="G936" s="536"/>
      <c r="H936" s="275"/>
      <c r="I936" s="415"/>
      <c r="J936" s="415"/>
      <c r="K936" s="715"/>
      <c r="L936" s="275"/>
    </row>
    <row r="937" spans="1:12">
      <c r="A937" s="274"/>
      <c r="B937" s="275"/>
      <c r="C937" s="276"/>
      <c r="D937" s="276"/>
      <c r="E937" s="276"/>
      <c r="F937" s="536"/>
      <c r="G937" s="536"/>
      <c r="H937" s="275"/>
      <c r="I937" s="415"/>
      <c r="J937" s="415"/>
      <c r="K937" s="715"/>
      <c r="L937" s="275"/>
    </row>
    <row r="938" spans="1:12">
      <c r="A938" s="274"/>
      <c r="B938" s="275"/>
      <c r="C938" s="276"/>
      <c r="D938" s="276"/>
      <c r="E938" s="276"/>
      <c r="F938" s="536"/>
      <c r="G938" s="536"/>
      <c r="H938" s="275"/>
      <c r="I938" s="415"/>
      <c r="J938" s="415"/>
      <c r="K938" s="715"/>
      <c r="L938" s="275"/>
    </row>
    <row r="939" spans="1:12">
      <c r="A939" s="274"/>
      <c r="B939" s="275"/>
      <c r="C939" s="276"/>
      <c r="D939" s="276"/>
      <c r="E939" s="276"/>
      <c r="F939" s="536"/>
      <c r="G939" s="536"/>
      <c r="H939" s="275"/>
      <c r="I939" s="415"/>
      <c r="J939" s="415"/>
      <c r="K939" s="715"/>
      <c r="L939" s="275"/>
    </row>
    <row r="940" spans="1:12">
      <c r="A940" s="274"/>
      <c r="B940" s="275"/>
      <c r="C940" s="276"/>
      <c r="D940" s="276"/>
      <c r="E940" s="276"/>
      <c r="F940" s="536"/>
      <c r="G940" s="536"/>
      <c r="H940" s="275"/>
      <c r="I940" s="415"/>
      <c r="J940" s="415"/>
      <c r="K940" s="715"/>
      <c r="L940" s="275"/>
    </row>
    <row r="941" spans="1:12">
      <c r="A941" s="274"/>
      <c r="B941" s="275"/>
      <c r="C941" s="276"/>
      <c r="D941" s="276"/>
      <c r="E941" s="276"/>
      <c r="F941" s="536"/>
      <c r="G941" s="536"/>
      <c r="H941" s="275"/>
      <c r="I941" s="415"/>
      <c r="J941" s="415"/>
      <c r="K941" s="715"/>
      <c r="L941" s="275"/>
    </row>
    <row r="942" spans="1:12">
      <c r="A942" s="274"/>
      <c r="B942" s="275"/>
      <c r="C942" s="276"/>
      <c r="D942" s="276"/>
      <c r="E942" s="276"/>
      <c r="F942" s="536"/>
      <c r="G942" s="536"/>
      <c r="H942" s="275"/>
      <c r="I942" s="415"/>
      <c r="J942" s="415"/>
      <c r="K942" s="715"/>
      <c r="L942" s="275"/>
    </row>
    <row r="943" spans="1:12">
      <c r="A943" s="274"/>
      <c r="B943" s="275"/>
      <c r="C943" s="276"/>
      <c r="D943" s="276"/>
      <c r="E943" s="276"/>
      <c r="F943" s="536"/>
      <c r="G943" s="536"/>
      <c r="H943" s="275"/>
      <c r="I943" s="415"/>
      <c r="J943" s="415"/>
      <c r="K943" s="715"/>
      <c r="L943" s="275"/>
    </row>
    <row r="944" spans="1:12">
      <c r="A944" s="274"/>
      <c r="B944" s="275"/>
      <c r="C944" s="276"/>
      <c r="D944" s="276"/>
      <c r="E944" s="276"/>
      <c r="F944" s="536"/>
      <c r="G944" s="536"/>
      <c r="H944" s="275"/>
      <c r="I944" s="415"/>
      <c r="J944" s="415"/>
      <c r="K944" s="715"/>
      <c r="L944" s="275"/>
    </row>
    <row r="945" spans="1:12">
      <c r="A945" s="274"/>
      <c r="B945" s="275"/>
      <c r="C945" s="276"/>
      <c r="D945" s="276"/>
      <c r="E945" s="276"/>
      <c r="F945" s="537"/>
      <c r="G945" s="536"/>
      <c r="H945" s="275"/>
      <c r="I945" s="415"/>
      <c r="J945" s="415"/>
      <c r="K945" s="715"/>
      <c r="L945" s="275"/>
    </row>
    <row r="946" spans="1:12">
      <c r="A946" s="274"/>
      <c r="B946" s="275"/>
      <c r="C946" s="276"/>
      <c r="D946" s="276"/>
      <c r="E946" s="276"/>
      <c r="F946" s="535"/>
      <c r="G946" s="536"/>
      <c r="H946" s="275"/>
      <c r="I946" s="415"/>
      <c r="J946" s="415"/>
      <c r="K946" s="715"/>
      <c r="L946" s="275"/>
    </row>
    <row r="947" spans="1:12">
      <c r="A947" s="274"/>
      <c r="B947" s="275"/>
      <c r="C947" s="276"/>
      <c r="D947" s="276"/>
      <c r="E947" s="276"/>
      <c r="F947" s="537"/>
      <c r="G947" s="536"/>
      <c r="H947" s="275"/>
      <c r="I947" s="415"/>
      <c r="J947" s="415"/>
      <c r="K947" s="715"/>
      <c r="L947" s="275"/>
    </row>
    <row r="948" spans="1:12">
      <c r="A948" s="274"/>
      <c r="B948" s="275"/>
      <c r="C948" s="276"/>
      <c r="D948" s="276"/>
      <c r="E948" s="276"/>
      <c r="F948" s="535"/>
      <c r="G948" s="536"/>
      <c r="H948" s="275"/>
      <c r="I948" s="415"/>
      <c r="J948" s="415"/>
      <c r="K948" s="715"/>
      <c r="L948" s="275"/>
    </row>
    <row r="949" spans="1:12">
      <c r="A949" s="274"/>
      <c r="B949" s="275"/>
      <c r="C949" s="276"/>
      <c r="D949" s="276"/>
      <c r="E949" s="276"/>
      <c r="F949" s="537"/>
      <c r="G949" s="536"/>
      <c r="H949" s="275"/>
      <c r="I949" s="415"/>
      <c r="J949" s="415"/>
      <c r="K949" s="715"/>
      <c r="L949" s="275"/>
    </row>
    <row r="950" spans="1:12">
      <c r="A950" s="274"/>
      <c r="B950" s="275"/>
      <c r="C950" s="276"/>
      <c r="D950" s="276"/>
      <c r="E950" s="276"/>
      <c r="F950" s="537"/>
      <c r="G950" s="536"/>
      <c r="H950" s="275"/>
      <c r="I950" s="415"/>
      <c r="J950" s="415"/>
      <c r="K950" s="715"/>
      <c r="L950" s="275"/>
    </row>
    <row r="951" spans="1:12">
      <c r="A951" s="274"/>
      <c r="B951" s="275"/>
      <c r="C951" s="276"/>
      <c r="D951" s="276"/>
      <c r="E951" s="276"/>
      <c r="F951" s="537"/>
      <c r="G951" s="536"/>
      <c r="H951" s="275"/>
      <c r="I951" s="415"/>
      <c r="J951" s="415"/>
      <c r="K951" s="715"/>
      <c r="L951" s="275"/>
    </row>
    <row r="952" spans="1:12">
      <c r="A952" s="274"/>
      <c r="B952" s="275"/>
      <c r="C952" s="276"/>
      <c r="D952" s="276"/>
      <c r="E952" s="276"/>
      <c r="F952" s="535"/>
      <c r="G952" s="536"/>
      <c r="H952" s="275"/>
      <c r="I952" s="415"/>
      <c r="J952" s="415"/>
      <c r="K952" s="715"/>
      <c r="L952" s="275"/>
    </row>
    <row r="953" spans="1:12">
      <c r="A953" s="274"/>
      <c r="B953" s="275"/>
      <c r="C953" s="276"/>
      <c r="D953" s="276"/>
      <c r="E953" s="276"/>
      <c r="F953" s="537"/>
      <c r="G953" s="536"/>
      <c r="H953" s="275"/>
      <c r="I953" s="415"/>
      <c r="J953" s="415"/>
      <c r="K953" s="715"/>
      <c r="L953" s="275"/>
    </row>
    <row r="954" spans="1:12">
      <c r="A954" s="274"/>
      <c r="B954" s="275"/>
      <c r="C954" s="276"/>
      <c r="D954" s="276"/>
      <c r="E954" s="276"/>
      <c r="F954" s="537"/>
      <c r="G954" s="536"/>
      <c r="H954" s="275"/>
      <c r="I954" s="415"/>
      <c r="J954" s="415"/>
      <c r="K954" s="715"/>
      <c r="L954" s="275"/>
    </row>
    <row r="955" spans="1:12">
      <c r="A955" s="274"/>
      <c r="B955" s="275"/>
      <c r="C955" s="276"/>
      <c r="D955" s="276"/>
      <c r="E955" s="276"/>
      <c r="F955" s="537"/>
      <c r="G955" s="536"/>
      <c r="H955" s="275"/>
      <c r="I955" s="415"/>
      <c r="J955" s="415"/>
      <c r="K955" s="715"/>
      <c r="L955" s="275"/>
    </row>
    <row r="956" spans="1:12">
      <c r="A956" s="274"/>
      <c r="B956" s="275"/>
      <c r="C956" s="276"/>
      <c r="D956" s="276"/>
      <c r="E956" s="276"/>
      <c r="F956" s="537"/>
      <c r="G956" s="536"/>
      <c r="H956" s="275"/>
      <c r="I956" s="415"/>
      <c r="J956" s="415"/>
      <c r="K956" s="715"/>
      <c r="L956" s="275"/>
    </row>
    <row r="957" spans="1:12">
      <c r="A957" s="274"/>
      <c r="B957" s="275"/>
      <c r="C957" s="276"/>
      <c r="D957" s="276"/>
      <c r="E957" s="276"/>
      <c r="F957" s="537"/>
      <c r="G957" s="536"/>
      <c r="H957" s="275"/>
      <c r="I957" s="415"/>
      <c r="J957" s="415"/>
      <c r="K957" s="715"/>
      <c r="L957" s="275"/>
    </row>
    <row r="958" spans="1:12">
      <c r="A958" s="274"/>
      <c r="B958" s="275"/>
      <c r="C958" s="276"/>
      <c r="D958" s="276"/>
      <c r="E958" s="276"/>
      <c r="F958" s="537"/>
      <c r="G958" s="536"/>
      <c r="H958" s="275"/>
      <c r="I958" s="415"/>
      <c r="J958" s="415"/>
      <c r="K958" s="715"/>
      <c r="L958" s="275"/>
    </row>
    <row r="959" spans="1:12">
      <c r="A959" s="274"/>
      <c r="B959" s="275"/>
      <c r="C959" s="276"/>
      <c r="D959" s="276"/>
      <c r="E959" s="276"/>
      <c r="F959" s="537"/>
      <c r="G959" s="536"/>
      <c r="H959" s="275"/>
      <c r="I959" s="415"/>
      <c r="J959" s="415"/>
      <c r="K959" s="715"/>
      <c r="L959" s="275"/>
    </row>
    <row r="960" spans="1:12">
      <c r="A960" s="274"/>
      <c r="B960" s="275"/>
      <c r="C960" s="276"/>
      <c r="D960" s="276"/>
      <c r="E960" s="276"/>
      <c r="F960" s="536"/>
      <c r="G960" s="536"/>
      <c r="H960" s="275"/>
      <c r="I960" s="415"/>
      <c r="J960" s="415"/>
      <c r="K960" s="715"/>
      <c r="L960" s="275"/>
    </row>
    <row r="961" spans="1:12">
      <c r="A961" s="274"/>
      <c r="B961" s="275"/>
      <c r="C961" s="276"/>
      <c r="D961" s="276"/>
      <c r="E961" s="276"/>
      <c r="F961" s="536"/>
      <c r="G961" s="536"/>
      <c r="H961" s="275"/>
      <c r="I961" s="415"/>
      <c r="J961" s="415"/>
      <c r="K961" s="715"/>
      <c r="L961" s="275"/>
    </row>
    <row r="962" spans="1:12">
      <c r="A962" s="274"/>
      <c r="B962" s="275"/>
      <c r="C962" s="276"/>
      <c r="D962" s="276"/>
      <c r="E962" s="276"/>
      <c r="F962" s="536"/>
      <c r="G962" s="536"/>
      <c r="H962" s="275"/>
      <c r="I962" s="415"/>
      <c r="J962" s="415"/>
      <c r="K962" s="715"/>
      <c r="L962" s="275"/>
    </row>
    <row r="963" spans="1:12">
      <c r="A963" s="274"/>
      <c r="B963" s="275"/>
      <c r="C963" s="276"/>
      <c r="D963" s="276"/>
      <c r="E963" s="276"/>
      <c r="F963" s="536"/>
      <c r="G963" s="536"/>
      <c r="H963" s="275"/>
      <c r="I963" s="415"/>
      <c r="J963" s="415"/>
      <c r="K963" s="715"/>
      <c r="L963" s="275"/>
    </row>
    <row r="964" spans="1:12">
      <c r="A964" s="274"/>
      <c r="B964" s="275"/>
      <c r="C964" s="276"/>
      <c r="D964" s="276"/>
      <c r="E964" s="276"/>
      <c r="F964" s="537"/>
      <c r="G964" s="536"/>
      <c r="H964" s="275"/>
      <c r="I964" s="415"/>
      <c r="J964" s="415"/>
      <c r="K964" s="715"/>
      <c r="L964" s="275"/>
    </row>
    <row r="965" spans="1:12">
      <c r="A965" s="274"/>
      <c r="B965" s="275"/>
      <c r="C965" s="276"/>
      <c r="D965" s="276"/>
      <c r="E965" s="276"/>
      <c r="F965" s="536"/>
      <c r="G965" s="536"/>
      <c r="H965" s="275"/>
      <c r="I965" s="415"/>
      <c r="J965" s="415"/>
      <c r="K965" s="715"/>
      <c r="L965" s="275"/>
    </row>
    <row r="966" spans="1:12">
      <c r="A966" s="274"/>
      <c r="B966" s="275"/>
      <c r="C966" s="276"/>
      <c r="D966" s="276"/>
      <c r="E966" s="276"/>
      <c r="F966" s="536"/>
      <c r="G966" s="536"/>
      <c r="H966" s="275"/>
      <c r="I966" s="415"/>
      <c r="J966" s="415"/>
      <c r="K966" s="715"/>
      <c r="L966" s="275"/>
    </row>
    <row r="967" spans="1:12">
      <c r="A967" s="274"/>
      <c r="B967" s="275"/>
      <c r="C967" s="276"/>
      <c r="D967" s="276"/>
      <c r="E967" s="276"/>
      <c r="F967" s="537"/>
      <c r="G967" s="536"/>
      <c r="H967" s="275"/>
      <c r="I967" s="415"/>
      <c r="J967" s="415"/>
      <c r="K967" s="715"/>
      <c r="L967" s="275"/>
    </row>
    <row r="968" spans="1:12">
      <c r="A968" s="274"/>
      <c r="B968" s="275"/>
      <c r="C968" s="276"/>
      <c r="D968" s="276"/>
      <c r="E968" s="276"/>
      <c r="F968" s="537"/>
      <c r="G968" s="536"/>
      <c r="H968" s="275"/>
      <c r="I968" s="415"/>
      <c r="J968" s="415"/>
      <c r="K968" s="715"/>
      <c r="L968" s="275"/>
    </row>
    <row r="969" spans="1:12">
      <c r="A969" s="274"/>
      <c r="B969" s="275"/>
      <c r="C969" s="276"/>
      <c r="D969" s="276"/>
      <c r="E969" s="276"/>
      <c r="F969" s="535"/>
      <c r="G969" s="536"/>
      <c r="H969" s="275"/>
      <c r="I969" s="415"/>
      <c r="J969" s="415"/>
      <c r="K969" s="715"/>
      <c r="L969" s="275"/>
    </row>
    <row r="970" spans="1:12">
      <c r="A970" s="274"/>
      <c r="B970" s="275"/>
      <c r="C970" s="276"/>
      <c r="D970" s="276"/>
      <c r="E970" s="276"/>
      <c r="F970" s="537"/>
      <c r="G970" s="536"/>
      <c r="H970" s="275"/>
      <c r="I970" s="415"/>
      <c r="J970" s="415"/>
      <c r="K970" s="715"/>
      <c r="L970" s="275"/>
    </row>
    <row r="971" spans="1:12">
      <c r="A971" s="274"/>
      <c r="B971" s="275"/>
      <c r="C971" s="276"/>
      <c r="D971" s="276"/>
      <c r="E971" s="276"/>
      <c r="F971" s="537"/>
      <c r="G971" s="536"/>
      <c r="H971" s="275"/>
      <c r="I971" s="415"/>
      <c r="J971" s="415"/>
      <c r="K971" s="715"/>
      <c r="L971" s="275"/>
    </row>
    <row r="972" spans="1:12">
      <c r="A972" s="274"/>
      <c r="B972" s="275"/>
      <c r="C972" s="276"/>
      <c r="D972" s="276"/>
      <c r="E972" s="276"/>
      <c r="F972" s="535"/>
      <c r="G972" s="536"/>
      <c r="H972" s="275"/>
      <c r="I972" s="415"/>
      <c r="J972" s="415"/>
      <c r="K972" s="715"/>
      <c r="L972" s="275"/>
    </row>
    <row r="973" spans="1:12">
      <c r="A973" s="274"/>
      <c r="B973" s="275"/>
      <c r="C973" s="276"/>
      <c r="D973" s="276"/>
      <c r="E973" s="276"/>
      <c r="F973" s="535"/>
      <c r="G973" s="536"/>
      <c r="H973" s="275"/>
      <c r="I973" s="415"/>
      <c r="J973" s="415"/>
      <c r="K973" s="715"/>
      <c r="L973" s="275"/>
    </row>
    <row r="974" spans="1:12">
      <c r="A974" s="274"/>
      <c r="B974" s="275"/>
      <c r="C974" s="276"/>
      <c r="D974" s="276"/>
      <c r="E974" s="276"/>
      <c r="F974" s="535"/>
      <c r="G974" s="536"/>
      <c r="H974" s="275"/>
      <c r="I974" s="415"/>
      <c r="J974" s="415"/>
      <c r="K974" s="715"/>
      <c r="L974" s="275"/>
    </row>
    <row r="975" spans="1:12">
      <c r="A975" s="274"/>
      <c r="B975" s="275"/>
      <c r="C975" s="276"/>
      <c r="D975" s="276"/>
      <c r="E975" s="276"/>
      <c r="F975" s="535"/>
      <c r="G975" s="536"/>
      <c r="H975" s="275"/>
      <c r="I975" s="415"/>
      <c r="J975" s="415"/>
      <c r="K975" s="715"/>
      <c r="L975" s="275"/>
    </row>
    <row r="976" spans="1:12">
      <c r="A976" s="274"/>
      <c r="B976" s="275"/>
      <c r="C976" s="276"/>
      <c r="D976" s="276"/>
      <c r="E976" s="276"/>
      <c r="F976" s="537"/>
      <c r="G976" s="536"/>
      <c r="H976" s="275"/>
      <c r="I976" s="415"/>
      <c r="J976" s="415"/>
      <c r="K976" s="715"/>
      <c r="L976" s="275"/>
    </row>
    <row r="977" spans="1:12">
      <c r="A977" s="274"/>
      <c r="B977" s="275"/>
      <c r="C977" s="276"/>
      <c r="D977" s="276"/>
      <c r="E977" s="276"/>
      <c r="F977" s="537"/>
      <c r="G977" s="536"/>
      <c r="H977" s="275"/>
      <c r="I977" s="415"/>
      <c r="J977" s="415"/>
      <c r="K977" s="715"/>
      <c r="L977" s="275"/>
    </row>
    <row r="978" spans="1:12">
      <c r="A978" s="274"/>
      <c r="B978" s="275"/>
      <c r="C978" s="276"/>
      <c r="D978" s="276"/>
      <c r="E978" s="276"/>
      <c r="F978" s="535"/>
      <c r="G978" s="536"/>
      <c r="H978" s="275"/>
      <c r="I978" s="415"/>
      <c r="J978" s="415"/>
      <c r="K978" s="715"/>
      <c r="L978" s="275"/>
    </row>
    <row r="979" spans="1:12">
      <c r="A979" s="274"/>
      <c r="B979" s="275"/>
      <c r="C979" s="276"/>
      <c r="D979" s="276"/>
      <c r="E979" s="276"/>
      <c r="F979" s="537"/>
      <c r="G979" s="536"/>
      <c r="H979" s="275"/>
      <c r="I979" s="415"/>
      <c r="J979" s="415"/>
      <c r="K979" s="715"/>
      <c r="L979" s="275"/>
    </row>
    <row r="980" spans="1:12">
      <c r="A980" s="274"/>
      <c r="B980" s="275"/>
      <c r="C980" s="276"/>
      <c r="D980" s="276"/>
      <c r="E980" s="276"/>
      <c r="F980" s="536"/>
      <c r="G980" s="536"/>
      <c r="H980" s="275"/>
      <c r="I980" s="415"/>
      <c r="J980" s="415"/>
      <c r="K980" s="715"/>
      <c r="L980" s="275"/>
    </row>
    <row r="981" spans="1:12">
      <c r="A981" s="274"/>
      <c r="B981" s="275"/>
      <c r="C981" s="276"/>
      <c r="D981" s="276"/>
      <c r="E981" s="276"/>
      <c r="F981" s="536"/>
      <c r="G981" s="536"/>
      <c r="H981" s="275"/>
      <c r="I981" s="415"/>
      <c r="J981" s="415"/>
      <c r="K981" s="715"/>
      <c r="L981" s="275"/>
    </row>
    <row r="982" spans="1:12">
      <c r="A982" s="274"/>
      <c r="B982" s="275"/>
      <c r="C982" s="276"/>
      <c r="D982" s="276"/>
      <c r="E982" s="276"/>
      <c r="F982" s="536"/>
      <c r="G982" s="536"/>
      <c r="H982" s="275"/>
      <c r="I982" s="415"/>
      <c r="J982" s="415"/>
      <c r="K982" s="715"/>
      <c r="L982" s="275"/>
    </row>
    <row r="983" spans="1:12">
      <c r="A983" s="274"/>
      <c r="B983" s="275"/>
      <c r="C983" s="276"/>
      <c r="D983" s="276"/>
      <c r="E983" s="276"/>
      <c r="F983" s="536"/>
      <c r="G983" s="536"/>
      <c r="H983" s="275"/>
      <c r="I983" s="415"/>
      <c r="J983" s="415"/>
      <c r="K983" s="715"/>
      <c r="L983" s="275"/>
    </row>
    <row r="984" spans="1:12">
      <c r="A984" s="274"/>
      <c r="B984" s="275"/>
      <c r="C984" s="276"/>
      <c r="D984" s="276"/>
      <c r="E984" s="276"/>
      <c r="F984" s="536"/>
      <c r="G984" s="536"/>
      <c r="H984" s="275"/>
      <c r="I984" s="415"/>
      <c r="J984" s="415"/>
      <c r="K984" s="715"/>
      <c r="L984" s="275"/>
    </row>
    <row r="985" spans="1:12">
      <c r="A985" s="274"/>
      <c r="B985" s="275"/>
      <c r="C985" s="276"/>
      <c r="D985" s="276"/>
      <c r="E985" s="263"/>
      <c r="F985" s="537"/>
      <c r="G985" s="536"/>
      <c r="H985" s="275"/>
      <c r="I985" s="415"/>
      <c r="J985" s="415"/>
      <c r="K985" s="715"/>
      <c r="L985" s="275"/>
    </row>
    <row r="986" spans="1:12">
      <c r="A986" s="274"/>
      <c r="B986" s="275"/>
      <c r="C986" s="276"/>
      <c r="D986" s="276"/>
      <c r="E986" s="263"/>
      <c r="F986" s="535"/>
      <c r="G986" s="536"/>
      <c r="H986" s="275"/>
      <c r="I986" s="415"/>
      <c r="J986" s="415"/>
      <c r="K986" s="715"/>
      <c r="L986" s="275"/>
    </row>
    <row r="987" spans="1:12">
      <c r="A987" s="274"/>
      <c r="B987" s="275"/>
      <c r="C987" s="276"/>
      <c r="D987" s="276"/>
      <c r="E987" s="263"/>
      <c r="F987" s="535"/>
      <c r="G987" s="536"/>
      <c r="H987" s="275"/>
      <c r="I987" s="415"/>
      <c r="J987" s="415"/>
      <c r="K987" s="715"/>
      <c r="L987" s="275"/>
    </row>
    <row r="988" spans="1:12">
      <c r="A988" s="274"/>
      <c r="B988" s="275"/>
      <c r="C988" s="276"/>
      <c r="D988" s="276"/>
      <c r="E988" s="263"/>
      <c r="F988" s="535"/>
      <c r="G988" s="536"/>
      <c r="H988" s="275"/>
      <c r="I988" s="415"/>
      <c r="J988" s="415"/>
      <c r="K988" s="715"/>
      <c r="L988" s="275"/>
    </row>
    <row r="989" spans="1:12">
      <c r="A989" s="274"/>
      <c r="B989" s="275"/>
      <c r="C989" s="276"/>
      <c r="D989" s="276"/>
      <c r="E989" s="263"/>
      <c r="F989" s="535"/>
      <c r="G989" s="536"/>
      <c r="H989" s="275"/>
      <c r="I989" s="415"/>
      <c r="J989" s="415"/>
      <c r="K989" s="715"/>
      <c r="L989" s="275"/>
    </row>
    <row r="990" spans="1:12">
      <c r="A990" s="274"/>
      <c r="B990" s="275"/>
      <c r="C990" s="276"/>
      <c r="D990" s="276"/>
      <c r="E990" s="263"/>
      <c r="F990" s="535"/>
      <c r="G990" s="536"/>
      <c r="H990" s="275"/>
      <c r="I990" s="415"/>
      <c r="J990" s="415"/>
      <c r="K990" s="715"/>
      <c r="L990" s="275"/>
    </row>
    <row r="991" spans="1:12">
      <c r="A991" s="274"/>
      <c r="B991" s="275"/>
      <c r="C991" s="276"/>
      <c r="D991" s="276"/>
      <c r="E991" s="263"/>
      <c r="F991" s="537"/>
      <c r="G991" s="536"/>
      <c r="H991" s="275"/>
      <c r="I991" s="415"/>
      <c r="J991" s="415"/>
      <c r="K991" s="715"/>
      <c r="L991" s="275"/>
    </row>
    <row r="992" spans="1:12">
      <c r="A992" s="274"/>
      <c r="B992" s="275"/>
      <c r="C992" s="276"/>
      <c r="D992" s="276"/>
      <c r="E992" s="263"/>
      <c r="F992" s="535"/>
      <c r="G992" s="536"/>
      <c r="H992" s="275"/>
      <c r="I992" s="415"/>
      <c r="J992" s="415"/>
      <c r="K992" s="715"/>
      <c r="L992" s="275"/>
    </row>
    <row r="993" spans="1:12">
      <c r="A993" s="274"/>
      <c r="B993" s="275"/>
      <c r="C993" s="276"/>
      <c r="D993" s="276"/>
      <c r="E993" s="263"/>
      <c r="F993" s="535"/>
      <c r="G993" s="536"/>
      <c r="H993" s="275"/>
      <c r="I993" s="415"/>
      <c r="J993" s="415"/>
      <c r="K993" s="715"/>
      <c r="L993" s="275"/>
    </row>
    <row r="994" spans="1:12">
      <c r="A994" s="274"/>
      <c r="B994" s="275"/>
      <c r="C994" s="276"/>
      <c r="D994" s="276"/>
      <c r="E994" s="263"/>
      <c r="F994" s="535"/>
      <c r="G994" s="536"/>
      <c r="H994" s="275"/>
      <c r="I994" s="415"/>
      <c r="J994" s="415"/>
      <c r="K994" s="715"/>
      <c r="L994" s="275"/>
    </row>
    <row r="995" spans="1:12">
      <c r="A995" s="274"/>
      <c r="B995" s="275"/>
      <c r="C995" s="276"/>
      <c r="D995" s="276"/>
      <c r="E995" s="263"/>
      <c r="F995" s="535"/>
      <c r="G995" s="536"/>
      <c r="H995" s="275"/>
      <c r="I995" s="415"/>
      <c r="J995" s="415"/>
      <c r="K995" s="715"/>
      <c r="L995" s="275"/>
    </row>
    <row r="996" spans="1:12">
      <c r="A996" s="274"/>
      <c r="B996" s="275"/>
      <c r="C996" s="276"/>
      <c r="D996" s="276"/>
      <c r="E996" s="263"/>
      <c r="F996" s="535"/>
      <c r="G996" s="536"/>
      <c r="H996" s="275"/>
      <c r="I996" s="415"/>
      <c r="J996" s="415"/>
      <c r="K996" s="715"/>
      <c r="L996" s="275"/>
    </row>
    <row r="997" spans="1:12">
      <c r="A997" s="274"/>
      <c r="B997" s="275"/>
      <c r="C997" s="276"/>
      <c r="D997" s="276"/>
      <c r="E997" s="263"/>
      <c r="F997" s="535"/>
      <c r="G997" s="536"/>
      <c r="H997" s="275"/>
      <c r="I997" s="415"/>
      <c r="J997" s="415"/>
      <c r="K997" s="715"/>
      <c r="L997" s="275"/>
    </row>
    <row r="998" spans="1:12">
      <c r="A998" s="274"/>
      <c r="B998" s="275"/>
      <c r="C998" s="276"/>
      <c r="D998" s="276"/>
      <c r="E998" s="263"/>
      <c r="F998" s="535"/>
      <c r="G998" s="536"/>
      <c r="H998" s="275"/>
      <c r="I998" s="415"/>
      <c r="J998" s="415"/>
      <c r="K998" s="715"/>
      <c r="L998" s="275"/>
    </row>
    <row r="999" spans="1:12">
      <c r="A999" s="274"/>
      <c r="B999" s="275"/>
      <c r="C999" s="276"/>
      <c r="D999" s="276"/>
      <c r="E999" s="263"/>
      <c r="F999" s="537"/>
      <c r="G999" s="536"/>
      <c r="H999" s="275"/>
      <c r="I999" s="415"/>
      <c r="J999" s="415"/>
      <c r="K999" s="715"/>
      <c r="L999" s="275"/>
    </row>
    <row r="1000" spans="1:12">
      <c r="A1000" s="274"/>
      <c r="B1000" s="275"/>
      <c r="C1000" s="276"/>
      <c r="D1000" s="276"/>
      <c r="E1000" s="263"/>
      <c r="F1000" s="535"/>
      <c r="G1000" s="536"/>
      <c r="H1000" s="275"/>
      <c r="I1000" s="415"/>
      <c r="J1000" s="415"/>
      <c r="K1000" s="715"/>
      <c r="L1000" s="275"/>
    </row>
    <row r="1001" spans="1:12">
      <c r="A1001" s="274"/>
      <c r="B1001" s="275"/>
      <c r="C1001" s="276"/>
      <c r="D1001" s="276"/>
      <c r="E1001" s="263"/>
      <c r="F1001" s="535"/>
      <c r="G1001" s="536"/>
      <c r="H1001" s="275"/>
      <c r="I1001" s="415"/>
      <c r="J1001" s="415"/>
      <c r="K1001" s="715"/>
      <c r="L1001" s="275"/>
    </row>
    <row r="1002" spans="1:12">
      <c r="A1002" s="274"/>
      <c r="B1002" s="275"/>
      <c r="C1002" s="276"/>
      <c r="D1002" s="276"/>
      <c r="E1002" s="263"/>
      <c r="F1002" s="537"/>
      <c r="G1002" s="536"/>
      <c r="H1002" s="275"/>
      <c r="I1002" s="415"/>
      <c r="J1002" s="415"/>
      <c r="K1002" s="715"/>
      <c r="L1002" s="275"/>
    </row>
    <row r="1003" spans="1:12">
      <c r="A1003" s="274"/>
      <c r="B1003" s="275"/>
      <c r="C1003" s="276"/>
      <c r="D1003" s="276"/>
      <c r="E1003" s="263"/>
      <c r="F1003" s="535"/>
      <c r="G1003" s="536"/>
      <c r="H1003" s="275"/>
      <c r="I1003" s="415"/>
      <c r="J1003" s="415"/>
      <c r="K1003" s="715"/>
      <c r="L1003" s="275"/>
    </row>
    <row r="1004" spans="1:12">
      <c r="A1004" s="274"/>
      <c r="B1004" s="275"/>
      <c r="C1004" s="276"/>
      <c r="D1004" s="276"/>
      <c r="E1004" s="263"/>
      <c r="F1004" s="535"/>
      <c r="G1004" s="536"/>
      <c r="H1004" s="275"/>
      <c r="I1004" s="415"/>
      <c r="J1004" s="415"/>
      <c r="K1004" s="715"/>
      <c r="L1004" s="275"/>
    </row>
    <row r="1005" spans="1:12">
      <c r="A1005" s="274"/>
      <c r="B1005" s="275"/>
      <c r="C1005" s="276"/>
      <c r="D1005" s="276"/>
      <c r="E1005" s="277"/>
      <c r="F1005" s="537"/>
      <c r="G1005" s="536"/>
      <c r="H1005" s="275"/>
      <c r="I1005" s="415"/>
      <c r="J1005" s="415"/>
      <c r="K1005" s="715"/>
      <c r="L1005" s="275"/>
    </row>
    <row r="1006" spans="1:12">
      <c r="A1006" s="274"/>
      <c r="B1006" s="275"/>
      <c r="C1006" s="276"/>
      <c r="D1006" s="276"/>
      <c r="E1006" s="263"/>
      <c r="F1006" s="535"/>
      <c r="G1006" s="536"/>
      <c r="H1006" s="275"/>
      <c r="I1006" s="415"/>
      <c r="J1006" s="415"/>
      <c r="K1006" s="715"/>
      <c r="L1006" s="275"/>
    </row>
    <row r="1007" spans="1:12">
      <c r="A1007" s="274"/>
      <c r="B1007" s="275"/>
      <c r="C1007" s="276"/>
      <c r="D1007" s="276"/>
      <c r="E1007" s="263"/>
      <c r="F1007" s="535"/>
      <c r="G1007" s="536"/>
      <c r="H1007" s="275"/>
      <c r="I1007" s="415"/>
      <c r="J1007" s="415"/>
      <c r="K1007" s="715"/>
      <c r="L1007" s="275"/>
    </row>
    <row r="1008" spans="1:12">
      <c r="A1008" s="274"/>
      <c r="B1008" s="275"/>
      <c r="C1008" s="276"/>
      <c r="D1008" s="276"/>
      <c r="E1008" s="277"/>
      <c r="F1008" s="537"/>
      <c r="G1008" s="536"/>
      <c r="H1008" s="275"/>
      <c r="I1008" s="415"/>
      <c r="J1008" s="415"/>
      <c r="K1008" s="715"/>
      <c r="L1008" s="275"/>
    </row>
    <row r="1009" spans="1:12">
      <c r="A1009" s="274"/>
      <c r="B1009" s="275"/>
      <c r="C1009" s="276"/>
      <c r="D1009" s="276"/>
      <c r="E1009" s="277"/>
      <c r="F1009" s="537"/>
      <c r="G1009" s="536"/>
      <c r="H1009" s="275"/>
      <c r="I1009" s="415"/>
      <c r="J1009" s="415"/>
      <c r="K1009" s="715"/>
      <c r="L1009" s="275"/>
    </row>
    <row r="1010" spans="1:12">
      <c r="A1010" s="274"/>
      <c r="B1010" s="275"/>
      <c r="C1010" s="276"/>
      <c r="D1010" s="276"/>
      <c r="E1010" s="263"/>
      <c r="F1010" s="535"/>
      <c r="G1010" s="536"/>
      <c r="H1010" s="275"/>
      <c r="I1010" s="415"/>
      <c r="J1010" s="415"/>
      <c r="K1010" s="715"/>
      <c r="L1010" s="275"/>
    </row>
    <row r="1011" spans="1:12">
      <c r="A1011" s="274"/>
      <c r="B1011" s="275"/>
      <c r="C1011" s="276"/>
      <c r="D1011" s="276"/>
      <c r="E1011" s="277"/>
      <c r="F1011" s="537"/>
      <c r="G1011" s="536"/>
      <c r="H1011" s="275"/>
      <c r="I1011" s="415"/>
      <c r="J1011" s="415"/>
      <c r="K1011" s="715"/>
      <c r="L1011" s="275"/>
    </row>
    <row r="1012" spans="1:12">
      <c r="A1012" s="274"/>
      <c r="B1012" s="275"/>
      <c r="C1012" s="276"/>
      <c r="D1012" s="276"/>
      <c r="E1012" s="277"/>
      <c r="F1012" s="537"/>
      <c r="G1012" s="536"/>
      <c r="H1012" s="275"/>
      <c r="I1012" s="415"/>
      <c r="J1012" s="415"/>
      <c r="K1012" s="715"/>
      <c r="L1012" s="275"/>
    </row>
    <row r="1013" spans="1:12">
      <c r="A1013" s="274"/>
      <c r="B1013" s="275"/>
      <c r="C1013" s="276"/>
      <c r="D1013" s="276"/>
      <c r="E1013" s="263"/>
      <c r="F1013" s="535"/>
      <c r="G1013" s="536"/>
      <c r="H1013" s="275"/>
      <c r="I1013" s="415"/>
      <c r="J1013" s="415"/>
      <c r="K1013" s="715"/>
      <c r="L1013" s="275"/>
    </row>
    <row r="1014" spans="1:12">
      <c r="A1014" s="274"/>
      <c r="B1014" s="275"/>
      <c r="C1014" s="276"/>
      <c r="D1014" s="276"/>
      <c r="E1014" s="263"/>
      <c r="F1014" s="535"/>
      <c r="G1014" s="536"/>
      <c r="H1014" s="275"/>
      <c r="I1014" s="415"/>
      <c r="J1014" s="415"/>
      <c r="K1014" s="715"/>
      <c r="L1014" s="275"/>
    </row>
    <row r="1015" spans="1:12">
      <c r="A1015" s="274"/>
      <c r="B1015" s="275"/>
      <c r="C1015" s="276"/>
      <c r="D1015" s="276"/>
      <c r="E1015" s="263"/>
      <c r="F1015" s="535"/>
      <c r="G1015" s="536"/>
      <c r="H1015" s="275"/>
      <c r="I1015" s="415"/>
      <c r="J1015" s="415"/>
      <c r="K1015" s="715"/>
      <c r="L1015" s="275"/>
    </row>
    <row r="1016" spans="1:12">
      <c r="A1016" s="274"/>
      <c r="B1016" s="275"/>
      <c r="C1016" s="276"/>
      <c r="D1016" s="276"/>
      <c r="E1016" s="277"/>
      <c r="F1016" s="537"/>
      <c r="G1016" s="536"/>
      <c r="H1016" s="275"/>
      <c r="I1016" s="415"/>
      <c r="J1016" s="415"/>
      <c r="K1016" s="715"/>
      <c r="L1016" s="275"/>
    </row>
    <row r="1017" spans="1:12">
      <c r="A1017" s="274"/>
      <c r="B1017" s="275"/>
      <c r="C1017" s="276"/>
      <c r="D1017" s="276"/>
      <c r="E1017" s="263"/>
      <c r="F1017" s="535"/>
      <c r="G1017" s="536"/>
      <c r="H1017" s="275"/>
      <c r="I1017" s="415"/>
      <c r="J1017" s="415"/>
      <c r="K1017" s="715"/>
      <c r="L1017" s="275"/>
    </row>
    <row r="1018" spans="1:12">
      <c r="A1018" s="274"/>
      <c r="B1018" s="275"/>
      <c r="C1018" s="276"/>
      <c r="D1018" s="276"/>
      <c r="E1018" s="263"/>
      <c r="F1018" s="535"/>
      <c r="G1018" s="536"/>
      <c r="H1018" s="275"/>
      <c r="I1018" s="415"/>
      <c r="J1018" s="415"/>
      <c r="K1018" s="715"/>
      <c r="L1018" s="275"/>
    </row>
    <row r="1019" spans="1:12">
      <c r="A1019" s="274"/>
      <c r="B1019" s="275"/>
      <c r="C1019" s="276"/>
      <c r="D1019" s="276"/>
      <c r="E1019" s="277"/>
      <c r="F1019" s="537"/>
      <c r="G1019" s="536"/>
      <c r="H1019" s="275"/>
      <c r="I1019" s="415"/>
      <c r="J1019" s="415"/>
      <c r="K1019" s="715"/>
      <c r="L1019" s="275"/>
    </row>
    <row r="1020" spans="1:12">
      <c r="A1020" s="274"/>
      <c r="B1020" s="275"/>
      <c r="C1020" s="276"/>
      <c r="D1020" s="276"/>
      <c r="E1020" s="263"/>
      <c r="F1020" s="535"/>
      <c r="G1020" s="536"/>
      <c r="H1020" s="275"/>
      <c r="I1020" s="415"/>
      <c r="J1020" s="415"/>
      <c r="K1020" s="715"/>
      <c r="L1020" s="275"/>
    </row>
    <row r="1021" spans="1:12">
      <c r="A1021" s="274"/>
      <c r="B1021" s="275"/>
      <c r="C1021" s="276"/>
      <c r="D1021" s="276"/>
      <c r="E1021" s="263"/>
      <c r="F1021" s="535"/>
      <c r="G1021" s="536"/>
      <c r="H1021" s="275"/>
      <c r="I1021" s="415"/>
      <c r="J1021" s="415"/>
      <c r="K1021" s="715"/>
      <c r="L1021" s="275"/>
    </row>
    <row r="1022" spans="1:12">
      <c r="A1022" s="274"/>
      <c r="B1022" s="275"/>
      <c r="C1022" s="276"/>
      <c r="D1022" s="276"/>
      <c r="E1022" s="263"/>
      <c r="F1022" s="535"/>
      <c r="G1022" s="536"/>
      <c r="H1022" s="275"/>
      <c r="I1022" s="415"/>
      <c r="J1022" s="415"/>
      <c r="K1022" s="715"/>
      <c r="L1022" s="275"/>
    </row>
    <row r="1023" spans="1:12">
      <c r="A1023" s="274"/>
      <c r="B1023" s="275"/>
      <c r="C1023" s="276"/>
      <c r="D1023" s="276"/>
      <c r="E1023" s="263"/>
      <c r="F1023" s="535"/>
      <c r="G1023" s="536"/>
      <c r="H1023" s="275"/>
      <c r="I1023" s="415"/>
      <c r="J1023" s="415"/>
      <c r="K1023" s="715"/>
      <c r="L1023" s="275"/>
    </row>
    <row r="1024" spans="1:12">
      <c r="A1024" s="274"/>
      <c r="B1024" s="275"/>
      <c r="C1024" s="276"/>
      <c r="D1024" s="276"/>
      <c r="E1024" s="263"/>
      <c r="F1024" s="535"/>
      <c r="G1024" s="536"/>
      <c r="H1024" s="275"/>
      <c r="I1024" s="415"/>
      <c r="J1024" s="415"/>
      <c r="K1024" s="715"/>
      <c r="L1024" s="275"/>
    </row>
    <row r="1025" spans="1:12">
      <c r="A1025" s="260"/>
      <c r="B1025" s="263"/>
      <c r="C1025" s="276"/>
      <c r="D1025" s="276"/>
      <c r="E1025" s="263"/>
      <c r="F1025" s="535"/>
      <c r="G1025" s="536"/>
      <c r="H1025" s="275"/>
      <c r="I1025" s="415"/>
      <c r="J1025" s="415"/>
      <c r="K1025" s="715"/>
      <c r="L1025" s="275"/>
    </row>
    <row r="1026" spans="1:12">
      <c r="A1026" s="260"/>
      <c r="B1026" s="263"/>
      <c r="C1026" s="276"/>
      <c r="D1026" s="276"/>
      <c r="E1026" s="263"/>
      <c r="F1026" s="535"/>
      <c r="G1026" s="536"/>
      <c r="H1026" s="275"/>
      <c r="I1026" s="415"/>
      <c r="J1026" s="415"/>
      <c r="K1026" s="715"/>
      <c r="L1026" s="275"/>
    </row>
    <row r="1027" spans="1:12">
      <c r="A1027" s="260"/>
      <c r="B1027" s="263"/>
      <c r="C1027" s="276"/>
      <c r="D1027" s="276"/>
      <c r="E1027" s="263"/>
      <c r="F1027" s="535"/>
      <c r="G1027" s="536"/>
      <c r="H1027" s="275"/>
      <c r="I1027" s="415"/>
      <c r="J1027" s="415"/>
      <c r="K1027" s="715"/>
      <c r="L1027" s="275"/>
    </row>
    <row r="1028" spans="1:12">
      <c r="A1028" s="260"/>
      <c r="B1028" s="263"/>
      <c r="C1028" s="276"/>
      <c r="D1028" s="276"/>
      <c r="E1028" s="263"/>
      <c r="F1028" s="535"/>
      <c r="G1028" s="536"/>
      <c r="H1028" s="275"/>
      <c r="I1028" s="415"/>
      <c r="J1028" s="415"/>
      <c r="K1028" s="715"/>
      <c r="L1028" s="275"/>
    </row>
    <row r="1029" spans="1:12">
      <c r="A1029" s="260"/>
      <c r="B1029" s="263"/>
      <c r="C1029" s="276"/>
      <c r="D1029" s="276"/>
      <c r="E1029" s="263"/>
      <c r="F1029" s="535"/>
      <c r="G1029" s="536"/>
      <c r="H1029" s="275"/>
      <c r="I1029" s="415"/>
      <c r="J1029" s="415"/>
      <c r="K1029" s="715"/>
      <c r="L1029" s="275"/>
    </row>
    <row r="1030" spans="1:12">
      <c r="A1030" s="260"/>
      <c r="B1030" s="263"/>
      <c r="C1030" s="276"/>
      <c r="D1030" s="276"/>
      <c r="E1030" s="263"/>
      <c r="F1030" s="535"/>
      <c r="G1030" s="536"/>
      <c r="H1030" s="275"/>
      <c r="I1030" s="415"/>
      <c r="J1030" s="415"/>
      <c r="K1030" s="715"/>
      <c r="L1030" s="275"/>
    </row>
    <row r="1031" spans="1:12">
      <c r="A1031" s="260"/>
      <c r="B1031" s="263"/>
      <c r="C1031" s="276"/>
      <c r="D1031" s="276"/>
      <c r="E1031" s="277"/>
      <c r="F1031" s="537"/>
      <c r="G1031" s="536"/>
      <c r="H1031" s="275"/>
      <c r="I1031" s="415"/>
      <c r="J1031" s="415"/>
      <c r="K1031" s="715"/>
      <c r="L1031" s="275"/>
    </row>
    <row r="1032" spans="1:12">
      <c r="A1032" s="260"/>
      <c r="B1032" s="263"/>
      <c r="C1032" s="276"/>
      <c r="D1032" s="276"/>
      <c r="E1032" s="277"/>
      <c r="F1032" s="537"/>
      <c r="G1032" s="536"/>
      <c r="H1032" s="275"/>
      <c r="I1032" s="415"/>
      <c r="J1032" s="415"/>
      <c r="K1032" s="715"/>
      <c r="L1032" s="275"/>
    </row>
    <row r="1033" spans="1:12">
      <c r="A1033" s="260"/>
      <c r="B1033" s="262"/>
      <c r="C1033" s="278"/>
      <c r="D1033" s="278"/>
      <c r="E1033" s="278"/>
      <c r="F1033" s="538"/>
      <c r="G1033" s="538"/>
      <c r="H1033" s="275"/>
      <c r="I1033" s="415"/>
      <c r="J1033" s="415"/>
      <c r="K1033" s="715"/>
      <c r="L1033" s="275"/>
    </row>
  </sheetData>
  <autoFilter ref="A4:T479"/>
  <mergeCells count="3">
    <mergeCell ref="E3:F3"/>
    <mergeCell ref="G3:H3"/>
    <mergeCell ref="I3:J3"/>
  </mergeCells>
  <phoneticPr fontId="17" type="noConversion"/>
  <hyperlinks>
    <hyperlink ref="E1" location="INDEX!A1" display="Index"/>
  </hyperlinks>
  <pageMargins left="0.75" right="0.75" top="1" bottom="1" header="0.5" footer="0.5"/>
  <pageSetup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R996"/>
  <sheetViews>
    <sheetView zoomScale="80" zoomScaleNormal="70" workbookViewId="0">
      <pane xSplit="3" ySplit="4" topLeftCell="D354" activePane="bottomRight" state="frozen"/>
      <selection activeCell="K2" sqref="K2"/>
      <selection pane="topRight" activeCell="K2" sqref="K2"/>
      <selection pane="bottomLeft" activeCell="K2" sqref="K2"/>
      <selection pane="bottomRight" activeCell="M344" sqref="M344"/>
    </sheetView>
  </sheetViews>
  <sheetFormatPr defaultRowHeight="12.75" outlineLevelCol="1"/>
  <cols>
    <col min="1" max="1" width="7.42578125" style="259" customWidth="1"/>
    <col min="2" max="2" width="10.7109375" style="250" customWidth="1"/>
    <col min="3" max="3" width="38.42578125" style="250" customWidth="1"/>
    <col min="4" max="4" width="6.5703125" style="250" customWidth="1"/>
    <col min="5" max="5" width="22.7109375" style="250" hidden="1" customWidth="1" outlineLevel="1"/>
    <col min="6" max="6" width="24" style="250" hidden="1" customWidth="1" outlineLevel="1"/>
    <col min="7" max="7" width="17.7109375" style="250" hidden="1" customWidth="1" outlineLevel="1"/>
    <col min="8" max="8" width="17.28515625" style="250" hidden="1" customWidth="1" outlineLevel="1"/>
    <col min="9" max="9" width="17.7109375" style="250" customWidth="1" collapsed="1"/>
    <col min="10" max="12" width="17.7109375" style="250" bestFit="1" customWidth="1"/>
    <col min="13" max="13" width="17.7109375" style="250" customWidth="1"/>
    <col min="14" max="14" width="9.140625" style="250" customWidth="1"/>
    <col min="15" max="15" width="13.42578125" style="250" customWidth="1"/>
    <col min="16" max="16" width="16.28515625" style="250" bestFit="1" customWidth="1"/>
    <col min="17" max="17" width="13.42578125" style="250" bestFit="1" customWidth="1"/>
    <col min="18" max="18" width="12.28515625" style="250" bestFit="1" customWidth="1"/>
    <col min="19" max="16384" width="9.140625" style="250"/>
  </cols>
  <sheetData>
    <row r="1" spans="1:18">
      <c r="A1" s="260"/>
      <c r="B1" s="261" t="s">
        <v>154</v>
      </c>
      <c r="C1" s="262"/>
      <c r="D1" s="262"/>
      <c r="E1" s="249" t="s">
        <v>36</v>
      </c>
      <c r="F1" s="263"/>
      <c r="G1" s="263"/>
      <c r="H1" s="263"/>
      <c r="I1" s="263"/>
      <c r="J1" s="263"/>
      <c r="K1" s="263"/>
      <c r="L1" s="449" t="s">
        <v>900</v>
      </c>
      <c r="M1" s="449" t="s">
        <v>901</v>
      </c>
      <c r="N1" s="264"/>
    </row>
    <row r="2" spans="1:18">
      <c r="A2" s="260"/>
      <c r="B2" s="265">
        <v>41274</v>
      </c>
      <c r="C2" s="266" t="s">
        <v>12</v>
      </c>
      <c r="D2" s="266"/>
      <c r="E2" s="263"/>
      <c r="F2" s="263"/>
      <c r="G2" s="263"/>
      <c r="H2" s="263"/>
      <c r="I2" s="448">
        <v>139.59</v>
      </c>
      <c r="J2" s="263"/>
      <c r="K2" s="263"/>
      <c r="L2" s="450">
        <f>SUM(L299:L440)</f>
        <v>5050274.0706000002</v>
      </c>
      <c r="M2" s="450">
        <f>SUM(M299:M440)</f>
        <v>38013116.694300003</v>
      </c>
      <c r="N2" s="264"/>
    </row>
    <row r="3" spans="1:18">
      <c r="A3" s="260"/>
      <c r="B3" s="267"/>
      <c r="C3" s="268"/>
      <c r="D3" s="269" t="s">
        <v>516</v>
      </c>
      <c r="E3" s="734" t="s">
        <v>6</v>
      </c>
      <c r="F3" s="735"/>
      <c r="G3" s="737" t="s">
        <v>10</v>
      </c>
      <c r="H3" s="737"/>
      <c r="I3" s="737" t="s">
        <v>9</v>
      </c>
      <c r="J3" s="737"/>
      <c r="K3" s="738" t="s">
        <v>878</v>
      </c>
      <c r="L3" s="738"/>
      <c r="M3" s="270" t="s">
        <v>663</v>
      </c>
      <c r="N3" s="251" t="s">
        <v>16</v>
      </c>
    </row>
    <row r="4" spans="1:18">
      <c r="A4" s="260" t="s">
        <v>156</v>
      </c>
      <c r="B4" s="267" t="s">
        <v>11</v>
      </c>
      <c r="C4" s="268" t="s">
        <v>5</v>
      </c>
      <c r="D4" s="268"/>
      <c r="E4" s="270" t="s">
        <v>7</v>
      </c>
      <c r="F4" s="270" t="s">
        <v>8</v>
      </c>
      <c r="G4" s="270" t="s">
        <v>7</v>
      </c>
      <c r="H4" s="270" t="s">
        <v>8</v>
      </c>
      <c r="I4" s="270" t="s">
        <v>7</v>
      </c>
      <c r="J4" s="270" t="s">
        <v>8</v>
      </c>
      <c r="K4" s="416" t="s">
        <v>7</v>
      </c>
      <c r="L4" s="416" t="s">
        <v>8</v>
      </c>
      <c r="M4" s="270" t="s">
        <v>37</v>
      </c>
      <c r="N4" s="251" t="s">
        <v>4</v>
      </c>
    </row>
    <row r="5" spans="1:18">
      <c r="A5" s="260">
        <v>2028</v>
      </c>
      <c r="B5" s="252">
        <v>101</v>
      </c>
      <c r="C5" s="253" t="s">
        <v>157</v>
      </c>
      <c r="D5" s="254" t="s">
        <v>511</v>
      </c>
      <c r="E5" s="255"/>
      <c r="F5" s="255"/>
      <c r="G5" s="255"/>
      <c r="H5" s="255"/>
      <c r="I5" s="255"/>
      <c r="J5" s="255"/>
      <c r="K5" s="255"/>
      <c r="L5" s="255"/>
      <c r="M5" s="255">
        <f>(+I5-J5)+K5-L5</f>
        <v>0</v>
      </c>
      <c r="N5" s="256"/>
      <c r="P5" s="257"/>
      <c r="Q5" s="9"/>
      <c r="R5" s="9"/>
    </row>
    <row r="6" spans="1:18">
      <c r="A6" s="260">
        <v>2032</v>
      </c>
      <c r="B6" s="252">
        <v>1071</v>
      </c>
      <c r="C6" s="253" t="s">
        <v>20</v>
      </c>
      <c r="D6" s="254" t="s">
        <v>511</v>
      </c>
      <c r="E6" s="255"/>
      <c r="F6" s="255"/>
      <c r="G6" s="255"/>
      <c r="H6" s="255"/>
      <c r="I6" s="255"/>
      <c r="J6" s="255"/>
      <c r="K6" s="255"/>
      <c r="L6" s="255"/>
      <c r="M6" s="255">
        <f t="shared" ref="M6:M69" si="0">(+I6-J6)+K6-L6</f>
        <v>0</v>
      </c>
      <c r="N6" s="256"/>
      <c r="P6" s="257"/>
      <c r="Q6" s="9"/>
      <c r="R6" s="9"/>
    </row>
    <row r="7" spans="1:18">
      <c r="A7" s="260">
        <v>2031</v>
      </c>
      <c r="B7" s="252">
        <v>1073</v>
      </c>
      <c r="C7" s="253" t="s">
        <v>158</v>
      </c>
      <c r="D7" s="254" t="s">
        <v>511</v>
      </c>
      <c r="E7" s="255"/>
      <c r="F7" s="255"/>
      <c r="G7" s="255"/>
      <c r="H7" s="255"/>
      <c r="I7" s="255"/>
      <c r="J7" s="255"/>
      <c r="K7" s="255"/>
      <c r="L7" s="255"/>
      <c r="M7" s="255">
        <f t="shared" si="0"/>
        <v>0</v>
      </c>
      <c r="N7" s="256"/>
      <c r="P7" s="257"/>
      <c r="Q7" s="9"/>
      <c r="R7" s="9"/>
    </row>
    <row r="8" spans="1:18">
      <c r="A8" s="260">
        <v>2033</v>
      </c>
      <c r="B8" s="252">
        <v>1078</v>
      </c>
      <c r="C8" s="253" t="s">
        <v>76</v>
      </c>
      <c r="D8" s="254" t="s">
        <v>511</v>
      </c>
      <c r="E8" s="255"/>
      <c r="F8" s="255"/>
      <c r="G8" s="255"/>
      <c r="H8" s="255"/>
      <c r="I8" s="255"/>
      <c r="J8" s="255"/>
      <c r="K8" s="255"/>
      <c r="L8" s="255"/>
      <c r="M8" s="255">
        <f t="shared" si="0"/>
        <v>0</v>
      </c>
      <c r="N8" s="256"/>
      <c r="P8" s="257"/>
      <c r="Q8" s="9"/>
      <c r="R8" s="9"/>
    </row>
    <row r="9" spans="1:18">
      <c r="A9" s="260">
        <v>2034</v>
      </c>
      <c r="B9" s="252">
        <v>108</v>
      </c>
      <c r="C9" s="253" t="s">
        <v>159</v>
      </c>
      <c r="D9" s="254" t="s">
        <v>511</v>
      </c>
      <c r="E9" s="255"/>
      <c r="F9" s="255"/>
      <c r="G9" s="255"/>
      <c r="H9" s="255"/>
      <c r="I9" s="255"/>
      <c r="J9" s="255"/>
      <c r="K9" s="255"/>
      <c r="L9" s="255"/>
      <c r="M9" s="255">
        <f t="shared" si="0"/>
        <v>0</v>
      </c>
      <c r="N9" s="256"/>
      <c r="P9" s="257"/>
      <c r="Q9" s="9"/>
      <c r="R9" s="9"/>
    </row>
    <row r="10" spans="1:18">
      <c r="A10" s="260">
        <v>2034</v>
      </c>
      <c r="B10" s="252">
        <v>1081</v>
      </c>
      <c r="C10" s="253" t="s">
        <v>160</v>
      </c>
      <c r="D10" s="254" t="s">
        <v>511</v>
      </c>
      <c r="E10" s="255"/>
      <c r="F10" s="255"/>
      <c r="G10" s="255"/>
      <c r="H10" s="255"/>
      <c r="I10" s="255"/>
      <c r="J10" s="255"/>
      <c r="K10" s="255"/>
      <c r="L10" s="255"/>
      <c r="M10" s="255">
        <f t="shared" si="0"/>
        <v>0</v>
      </c>
      <c r="N10" s="256"/>
      <c r="P10" s="257"/>
      <c r="Q10" s="9"/>
      <c r="R10" s="9"/>
    </row>
    <row r="11" spans="1:18">
      <c r="A11" s="260">
        <v>2034</v>
      </c>
      <c r="B11" s="252">
        <v>109</v>
      </c>
      <c r="C11" s="253" t="s">
        <v>161</v>
      </c>
      <c r="D11" s="254" t="s">
        <v>511</v>
      </c>
      <c r="E11" s="255"/>
      <c r="F11" s="255"/>
      <c r="G11" s="255"/>
      <c r="H11" s="255"/>
      <c r="I11" s="255"/>
      <c r="J11" s="255"/>
      <c r="K11" s="255"/>
      <c r="L11" s="255"/>
      <c r="M11" s="255">
        <f t="shared" si="0"/>
        <v>0</v>
      </c>
      <c r="N11" s="256"/>
      <c r="P11" s="257"/>
      <c r="Q11" s="9"/>
      <c r="R11" s="9"/>
    </row>
    <row r="12" spans="1:18">
      <c r="A12" s="260">
        <v>1020</v>
      </c>
      <c r="B12" s="252">
        <v>2110</v>
      </c>
      <c r="C12" s="253" t="s">
        <v>162</v>
      </c>
      <c r="D12" s="254" t="s">
        <v>511</v>
      </c>
      <c r="E12" s="255"/>
      <c r="F12" s="255"/>
      <c r="G12" s="255"/>
      <c r="H12" s="255"/>
      <c r="I12" s="255"/>
      <c r="J12" s="255"/>
      <c r="K12" s="255"/>
      <c r="L12" s="255"/>
      <c r="M12" s="255">
        <f t="shared" si="0"/>
        <v>0</v>
      </c>
      <c r="N12" s="256"/>
      <c r="P12" s="257"/>
      <c r="Q12" s="9"/>
      <c r="R12" s="9"/>
    </row>
    <row r="13" spans="1:18">
      <c r="A13" s="260">
        <v>1021</v>
      </c>
      <c r="B13" s="252">
        <v>212212</v>
      </c>
      <c r="C13" s="253" t="s">
        <v>163</v>
      </c>
      <c r="D13" s="254" t="s">
        <v>511</v>
      </c>
      <c r="E13" s="255"/>
      <c r="F13" s="255"/>
      <c r="G13" s="255"/>
      <c r="H13" s="255"/>
      <c r="I13" s="255"/>
      <c r="J13" s="255"/>
      <c r="K13" s="255"/>
      <c r="L13" s="255"/>
      <c r="M13" s="255">
        <f t="shared" si="0"/>
        <v>0</v>
      </c>
      <c r="N13" s="256"/>
      <c r="P13" s="257"/>
      <c r="Q13" s="9"/>
      <c r="R13" s="9"/>
    </row>
    <row r="14" spans="1:18">
      <c r="A14" s="260">
        <v>1022</v>
      </c>
      <c r="B14" s="252">
        <v>2130</v>
      </c>
      <c r="C14" s="253" t="s">
        <v>164</v>
      </c>
      <c r="D14" s="254" t="s">
        <v>511</v>
      </c>
      <c r="E14" s="255"/>
      <c r="F14" s="255"/>
      <c r="G14" s="255"/>
      <c r="H14" s="255"/>
      <c r="I14" s="255"/>
      <c r="J14" s="255"/>
      <c r="K14" s="255"/>
      <c r="L14" s="255"/>
      <c r="M14" s="255">
        <f t="shared" si="0"/>
        <v>0</v>
      </c>
      <c r="N14" s="256"/>
      <c r="P14" s="257"/>
      <c r="Q14" s="9"/>
      <c r="R14" s="9"/>
    </row>
    <row r="15" spans="1:18">
      <c r="A15" s="260">
        <v>1022</v>
      </c>
      <c r="B15" s="252">
        <v>21330</v>
      </c>
      <c r="C15" s="253" t="s">
        <v>164</v>
      </c>
      <c r="D15" s="254" t="s">
        <v>511</v>
      </c>
      <c r="E15" s="255"/>
      <c r="F15" s="255"/>
      <c r="G15" s="255"/>
      <c r="H15" s="255"/>
      <c r="I15" s="434">
        <f>202198.88*139.59</f>
        <v>28224941.659200002</v>
      </c>
      <c r="J15" s="255"/>
      <c r="K15" s="255"/>
      <c r="L15" s="255"/>
      <c r="M15" s="255">
        <f t="shared" si="0"/>
        <v>28224941.659200002</v>
      </c>
      <c r="N15" s="256"/>
      <c r="O15" s="532">
        <f>I15/139.59</f>
        <v>202198.88</v>
      </c>
      <c r="P15" s="257"/>
      <c r="Q15" s="9"/>
      <c r="R15" s="9"/>
    </row>
    <row r="16" spans="1:18">
      <c r="A16" s="260">
        <v>1023</v>
      </c>
      <c r="B16" s="252">
        <v>2150</v>
      </c>
      <c r="C16" s="253" t="s">
        <v>165</v>
      </c>
      <c r="D16" s="254" t="s">
        <v>511</v>
      </c>
      <c r="E16" s="255"/>
      <c r="F16" s="255"/>
      <c r="G16" s="255"/>
      <c r="H16" s="255"/>
      <c r="I16" s="255"/>
      <c r="J16" s="255"/>
      <c r="K16" s="255"/>
      <c r="L16" s="255"/>
      <c r="M16" s="255">
        <f t="shared" si="0"/>
        <v>0</v>
      </c>
      <c r="N16" s="256"/>
      <c r="P16" s="257"/>
      <c r="Q16" s="9"/>
      <c r="R16" s="9"/>
    </row>
    <row r="17" spans="1:18">
      <c r="A17" s="260">
        <v>1023</v>
      </c>
      <c r="B17" s="252">
        <v>21810</v>
      </c>
      <c r="C17" s="253" t="s">
        <v>166</v>
      </c>
      <c r="D17" s="254" t="s">
        <v>511</v>
      </c>
      <c r="E17" s="255"/>
      <c r="F17" s="255"/>
      <c r="G17" s="255"/>
      <c r="H17" s="255"/>
      <c r="I17" s="434">
        <f>14602.72*139.59</f>
        <v>2038393.6847999999</v>
      </c>
      <c r="J17" s="255"/>
      <c r="K17" s="255"/>
      <c r="L17" s="255"/>
      <c r="M17" s="255">
        <f>(+I17-J17)+K17-L17</f>
        <v>2038393.6847999999</v>
      </c>
      <c r="N17" s="256"/>
      <c r="O17" s="532">
        <f>I17/139.59</f>
        <v>14602.72</v>
      </c>
      <c r="P17" s="257"/>
      <c r="Q17" s="9"/>
      <c r="R17" s="9"/>
    </row>
    <row r="18" spans="1:18">
      <c r="A18" s="260">
        <v>1023</v>
      </c>
      <c r="B18" s="252">
        <v>21820</v>
      </c>
      <c r="C18" s="253" t="s">
        <v>167</v>
      </c>
      <c r="D18" s="254" t="s">
        <v>511</v>
      </c>
      <c r="E18" s="255"/>
      <c r="F18" s="255"/>
      <c r="G18" s="255"/>
      <c r="H18" s="255"/>
      <c r="I18" s="434">
        <f>51741.35*139.59</f>
        <v>7222575.0465000002</v>
      </c>
      <c r="J18" s="255"/>
      <c r="K18" s="255"/>
      <c r="L18" s="255"/>
      <c r="M18" s="255">
        <f>(+I18-J18)+K18-L18</f>
        <v>7222575.0465000002</v>
      </c>
      <c r="N18" s="256"/>
      <c r="O18" s="532">
        <f t="shared" ref="O18:O29" si="1">I18/139.59</f>
        <v>51741.35</v>
      </c>
      <c r="P18" s="257"/>
      <c r="Q18" s="9"/>
      <c r="R18" s="9"/>
    </row>
    <row r="19" spans="1:18">
      <c r="A19" s="260">
        <v>1023</v>
      </c>
      <c r="B19" s="252">
        <v>2188</v>
      </c>
      <c r="C19" s="253" t="s">
        <v>168</v>
      </c>
      <c r="D19" s="254" t="s">
        <v>511</v>
      </c>
      <c r="E19" s="255"/>
      <c r="F19" s="255"/>
      <c r="G19" s="255"/>
      <c r="H19" s="255"/>
      <c r="I19" s="255"/>
      <c r="J19" s="255"/>
      <c r="K19" s="255"/>
      <c r="L19" s="255"/>
      <c r="M19" s="255">
        <f t="shared" si="0"/>
        <v>0</v>
      </c>
      <c r="N19" s="256"/>
      <c r="O19" s="532">
        <f t="shared" si="1"/>
        <v>0</v>
      </c>
      <c r="P19" s="257"/>
      <c r="Q19" s="9"/>
      <c r="R19" s="9"/>
    </row>
    <row r="20" spans="1:18">
      <c r="A20" s="260">
        <v>1023</v>
      </c>
      <c r="B20" s="252">
        <v>21880</v>
      </c>
      <c r="C20" s="253" t="s">
        <v>169</v>
      </c>
      <c r="D20" s="254" t="s">
        <v>511</v>
      </c>
      <c r="E20" s="255"/>
      <c r="F20" s="255"/>
      <c r="G20" s="255"/>
      <c r="H20" s="255"/>
      <c r="I20" s="255"/>
      <c r="J20" s="255"/>
      <c r="K20" s="255"/>
      <c r="L20" s="255"/>
      <c r="M20" s="255">
        <f t="shared" si="0"/>
        <v>0</v>
      </c>
      <c r="N20" s="256"/>
      <c r="O20" s="532">
        <f t="shared" si="1"/>
        <v>0</v>
      </c>
      <c r="P20" s="257"/>
      <c r="Q20" s="9"/>
      <c r="R20" s="9"/>
    </row>
    <row r="21" spans="1:18">
      <c r="A21" s="260">
        <v>1023</v>
      </c>
      <c r="B21" s="252">
        <v>21881</v>
      </c>
      <c r="C21" s="253" t="s">
        <v>170</v>
      </c>
      <c r="D21" s="254" t="s">
        <v>511</v>
      </c>
      <c r="E21" s="255"/>
      <c r="F21" s="255"/>
      <c r="G21" s="255"/>
      <c r="H21" s="255"/>
      <c r="I21" s="255"/>
      <c r="J21" s="255"/>
      <c r="K21" s="255"/>
      <c r="L21" s="255"/>
      <c r="M21" s="255">
        <f t="shared" si="0"/>
        <v>0</v>
      </c>
      <c r="N21" s="256"/>
      <c r="O21" s="532">
        <f t="shared" si="1"/>
        <v>0</v>
      </c>
      <c r="P21" s="257"/>
      <c r="Q21" s="9"/>
      <c r="R21" s="9"/>
    </row>
    <row r="22" spans="1:18">
      <c r="A22" s="260">
        <v>1028</v>
      </c>
      <c r="B22" s="252">
        <v>231</v>
      </c>
      <c r="C22" s="253" t="s">
        <v>171</v>
      </c>
      <c r="D22" s="254" t="s">
        <v>511</v>
      </c>
      <c r="E22" s="255"/>
      <c r="F22" s="255"/>
      <c r="G22" s="255"/>
      <c r="H22" s="255"/>
      <c r="I22" s="255"/>
      <c r="J22" s="255"/>
      <c r="K22" s="255"/>
      <c r="L22" s="255"/>
      <c r="M22" s="255">
        <f t="shared" si="0"/>
        <v>0</v>
      </c>
      <c r="N22" s="256"/>
      <c r="O22" s="532">
        <f t="shared" si="1"/>
        <v>0</v>
      </c>
      <c r="P22" s="257"/>
      <c r="Q22" s="9"/>
      <c r="R22" s="9"/>
    </row>
    <row r="23" spans="1:18">
      <c r="A23" s="260">
        <v>1028</v>
      </c>
      <c r="B23" s="252">
        <v>232</v>
      </c>
      <c r="C23" s="253" t="s">
        <v>172</v>
      </c>
      <c r="D23" s="254" t="s">
        <v>511</v>
      </c>
      <c r="E23" s="255"/>
      <c r="F23" s="255"/>
      <c r="G23" s="255"/>
      <c r="H23" s="255"/>
      <c r="I23" s="255"/>
      <c r="J23" s="255"/>
      <c r="K23" s="255"/>
      <c r="L23" s="255"/>
      <c r="M23" s="255">
        <f t="shared" si="0"/>
        <v>0</v>
      </c>
      <c r="N23" s="256"/>
      <c r="O23" s="532">
        <f t="shared" si="1"/>
        <v>0</v>
      </c>
      <c r="P23" s="257"/>
      <c r="Q23" s="9"/>
      <c r="R23" s="9"/>
    </row>
    <row r="24" spans="1:18">
      <c r="A24" s="260">
        <v>1005</v>
      </c>
      <c r="B24" s="252">
        <v>265</v>
      </c>
      <c r="C24" s="253" t="s">
        <v>180</v>
      </c>
      <c r="D24" s="254" t="s">
        <v>511</v>
      </c>
      <c r="E24" s="255"/>
      <c r="F24" s="255"/>
      <c r="G24" s="255"/>
      <c r="H24" s="255"/>
      <c r="I24" s="255"/>
      <c r="J24" s="255"/>
      <c r="K24" s="255"/>
      <c r="L24" s="255"/>
      <c r="M24" s="255">
        <f t="shared" si="0"/>
        <v>0</v>
      </c>
      <c r="N24" s="256"/>
      <c r="O24" s="532">
        <f t="shared" si="1"/>
        <v>0</v>
      </c>
      <c r="P24" s="257"/>
      <c r="Q24" s="9"/>
      <c r="R24" s="9"/>
    </row>
    <row r="25" spans="1:18">
      <c r="A25" s="260">
        <v>1031</v>
      </c>
      <c r="B25" s="252">
        <v>2812125</v>
      </c>
      <c r="C25" s="253" t="s">
        <v>173</v>
      </c>
      <c r="D25" s="254" t="s">
        <v>511</v>
      </c>
      <c r="E25" s="255"/>
      <c r="F25" s="255"/>
      <c r="G25" s="255"/>
      <c r="H25" s="255"/>
      <c r="I25" s="255"/>
      <c r="J25" s="255"/>
      <c r="K25" s="255"/>
      <c r="L25" s="255"/>
      <c r="M25" s="255">
        <f t="shared" si="0"/>
        <v>0</v>
      </c>
      <c r="N25" s="256"/>
      <c r="O25" s="532">
        <f t="shared" si="1"/>
        <v>0</v>
      </c>
      <c r="P25" s="257"/>
      <c r="Q25" s="9"/>
      <c r="R25" s="9"/>
    </row>
    <row r="26" spans="1:18">
      <c r="A26" s="260">
        <v>1032</v>
      </c>
      <c r="B26" s="252">
        <v>281213</v>
      </c>
      <c r="C26" s="253" t="s">
        <v>174</v>
      </c>
      <c r="D26" s="254" t="s">
        <v>511</v>
      </c>
      <c r="E26" s="255"/>
      <c r="F26" s="255"/>
      <c r="G26" s="255"/>
      <c r="H26" s="255"/>
      <c r="I26" s="255"/>
      <c r="J26" s="255"/>
      <c r="K26" s="255"/>
      <c r="L26" s="255"/>
      <c r="M26" s="255">
        <f t="shared" si="0"/>
        <v>0</v>
      </c>
      <c r="N26" s="256"/>
      <c r="O26" s="532">
        <f t="shared" si="1"/>
        <v>0</v>
      </c>
      <c r="P26" s="257"/>
      <c r="Q26" s="9"/>
      <c r="R26" s="9"/>
    </row>
    <row r="27" spans="1:18">
      <c r="A27" s="260">
        <v>1032</v>
      </c>
      <c r="B27" s="252">
        <v>281330</v>
      </c>
      <c r="C27" s="253" t="s">
        <v>517</v>
      </c>
      <c r="D27" s="254" t="s">
        <v>511</v>
      </c>
      <c r="E27" s="255"/>
      <c r="F27" s="255"/>
      <c r="G27" s="255"/>
      <c r="H27" s="255"/>
      <c r="I27" s="434"/>
      <c r="J27" s="255"/>
      <c r="K27" s="255"/>
      <c r="L27" s="255"/>
      <c r="M27" s="255">
        <f t="shared" si="0"/>
        <v>0</v>
      </c>
      <c r="N27" s="256"/>
      <c r="O27" s="532">
        <f t="shared" si="1"/>
        <v>0</v>
      </c>
      <c r="P27" s="257"/>
      <c r="Q27" s="9"/>
      <c r="R27" s="9"/>
    </row>
    <row r="28" spans="1:18">
      <c r="A28" s="260">
        <v>1033</v>
      </c>
      <c r="B28" s="252">
        <v>281215</v>
      </c>
      <c r="C28" s="253" t="s">
        <v>175</v>
      </c>
      <c r="D28" s="254" t="s">
        <v>511</v>
      </c>
      <c r="E28" s="255"/>
      <c r="F28" s="255"/>
      <c r="G28" s="255"/>
      <c r="H28" s="255"/>
      <c r="I28" s="255"/>
      <c r="J28" s="255"/>
      <c r="K28" s="255"/>
      <c r="L28" s="255"/>
      <c r="M28" s="255">
        <f t="shared" si="0"/>
        <v>0</v>
      </c>
      <c r="N28" s="256"/>
      <c r="O28" s="532">
        <f t="shared" si="1"/>
        <v>0</v>
      </c>
      <c r="P28" s="257"/>
      <c r="Q28" s="9"/>
      <c r="R28" s="9"/>
    </row>
    <row r="29" spans="1:18">
      <c r="A29" s="260">
        <v>1033</v>
      </c>
      <c r="B29" s="252">
        <v>2812181</v>
      </c>
      <c r="C29" s="253" t="s">
        <v>176</v>
      </c>
      <c r="D29" s="254" t="s">
        <v>511</v>
      </c>
      <c r="E29" s="255"/>
      <c r="F29" s="255"/>
      <c r="G29" s="255"/>
      <c r="H29" s="255"/>
      <c r="I29" s="255"/>
      <c r="J29" s="255"/>
      <c r="K29" s="255"/>
      <c r="L29" s="255"/>
      <c r="M29" s="255">
        <f t="shared" si="0"/>
        <v>0</v>
      </c>
      <c r="N29" s="256"/>
      <c r="O29" s="532">
        <f t="shared" si="1"/>
        <v>0</v>
      </c>
      <c r="P29" s="257"/>
      <c r="Q29" s="9"/>
      <c r="R29" s="9"/>
    </row>
    <row r="30" spans="1:18">
      <c r="A30" s="260">
        <v>1033</v>
      </c>
      <c r="B30" s="252">
        <v>2812182</v>
      </c>
      <c r="C30" s="253" t="s">
        <v>177</v>
      </c>
      <c r="D30" s="254" t="s">
        <v>511</v>
      </c>
      <c r="E30" s="255"/>
      <c r="F30" s="255"/>
      <c r="G30" s="255"/>
      <c r="H30" s="255"/>
      <c r="I30" s="255"/>
      <c r="J30" s="434">
        <f>(10079.79+108173.45)*139.59</f>
        <v>16506969.771599999</v>
      </c>
      <c r="K30" s="255"/>
      <c r="L30" s="255"/>
      <c r="M30" s="255">
        <f t="shared" si="0"/>
        <v>-16506969.771599999</v>
      </c>
      <c r="N30" s="256"/>
      <c r="O30" s="532">
        <f>J30/139.59</f>
        <v>118253.23999999999</v>
      </c>
      <c r="P30" s="257"/>
      <c r="Q30" s="9"/>
      <c r="R30" s="9"/>
    </row>
    <row r="31" spans="1:18">
      <c r="A31" s="260">
        <v>1033</v>
      </c>
      <c r="B31" s="252">
        <v>281820</v>
      </c>
      <c r="C31" s="253" t="s">
        <v>167</v>
      </c>
      <c r="D31" s="254"/>
      <c r="E31" s="255"/>
      <c r="F31" s="255"/>
      <c r="G31" s="255"/>
      <c r="H31" s="255"/>
      <c r="I31" s="255"/>
      <c r="J31" s="255"/>
      <c r="K31" s="255"/>
      <c r="L31" s="255"/>
      <c r="M31" s="255">
        <f t="shared" si="0"/>
        <v>0</v>
      </c>
      <c r="N31" s="256"/>
      <c r="O31" s="532">
        <f t="shared" ref="O31:O94" si="2">J31/139.59</f>
        <v>0</v>
      </c>
      <c r="P31" s="257"/>
      <c r="Q31" s="9"/>
      <c r="R31" s="9"/>
    </row>
    <row r="32" spans="1:18">
      <c r="A32" s="260">
        <v>1033</v>
      </c>
      <c r="B32" s="252">
        <v>2818</v>
      </c>
      <c r="C32" s="253" t="s">
        <v>178</v>
      </c>
      <c r="D32" s="254" t="s">
        <v>511</v>
      </c>
      <c r="E32" s="255"/>
      <c r="F32" s="255"/>
      <c r="G32" s="255"/>
      <c r="H32" s="255"/>
      <c r="I32" s="255"/>
      <c r="J32" s="255"/>
      <c r="K32" s="255"/>
      <c r="L32" s="255"/>
      <c r="M32" s="255">
        <f t="shared" si="0"/>
        <v>0</v>
      </c>
      <c r="N32" s="256"/>
      <c r="O32" s="532">
        <f t="shared" si="2"/>
        <v>0</v>
      </c>
      <c r="P32" s="257"/>
      <c r="Q32" s="9"/>
      <c r="R32" s="9"/>
    </row>
    <row r="33" spans="1:18">
      <c r="A33" s="260">
        <v>1033</v>
      </c>
      <c r="B33" s="252">
        <v>281880</v>
      </c>
      <c r="C33" s="253" t="s">
        <v>179</v>
      </c>
      <c r="D33" s="254" t="s">
        <v>511</v>
      </c>
      <c r="E33" s="255"/>
      <c r="F33" s="255"/>
      <c r="G33" s="255"/>
      <c r="H33" s="255"/>
      <c r="I33" s="255"/>
      <c r="J33" s="255"/>
      <c r="K33" s="255"/>
      <c r="L33" s="255"/>
      <c r="M33" s="255">
        <f t="shared" si="0"/>
        <v>0</v>
      </c>
      <c r="N33" s="256"/>
      <c r="O33" s="532">
        <f t="shared" si="2"/>
        <v>0</v>
      </c>
      <c r="P33" s="257"/>
      <c r="Q33" s="9"/>
      <c r="R33" s="9"/>
    </row>
    <row r="34" spans="1:18">
      <c r="A34" s="260">
        <v>1005</v>
      </c>
      <c r="B34" s="252">
        <v>2660</v>
      </c>
      <c r="C34" s="253" t="s">
        <v>181</v>
      </c>
      <c r="D34" s="254" t="s">
        <v>511</v>
      </c>
      <c r="E34" s="255"/>
      <c r="F34" s="255"/>
      <c r="G34" s="255"/>
      <c r="H34" s="255"/>
      <c r="I34" s="255"/>
      <c r="J34" s="255"/>
      <c r="K34" s="255"/>
      <c r="L34" s="255"/>
      <c r="M34" s="255">
        <f t="shared" si="0"/>
        <v>0</v>
      </c>
      <c r="N34" s="256"/>
      <c r="O34" s="532">
        <f t="shared" si="2"/>
        <v>0</v>
      </c>
      <c r="P34" s="257"/>
      <c r="Q34" s="9"/>
      <c r="R34" s="9"/>
    </row>
    <row r="35" spans="1:18">
      <c r="A35" s="260">
        <v>1007</v>
      </c>
      <c r="B35" s="252">
        <v>3123</v>
      </c>
      <c r="C35" s="253" t="s">
        <v>182</v>
      </c>
      <c r="D35" s="254" t="s">
        <v>511</v>
      </c>
      <c r="E35" s="255"/>
      <c r="F35" s="255"/>
      <c r="G35" s="255"/>
      <c r="H35" s="255"/>
      <c r="I35" s="255"/>
      <c r="J35" s="255"/>
      <c r="K35" s="255"/>
      <c r="L35" s="255"/>
      <c r="M35" s="255">
        <f t="shared" si="0"/>
        <v>0</v>
      </c>
      <c r="N35" s="256"/>
      <c r="O35" s="532">
        <f t="shared" si="2"/>
        <v>0</v>
      </c>
      <c r="P35" s="257"/>
      <c r="Q35" s="9"/>
      <c r="R35" s="9"/>
    </row>
    <row r="36" spans="1:18">
      <c r="A36" s="260">
        <v>1007</v>
      </c>
      <c r="B36" s="252">
        <v>327</v>
      </c>
      <c r="C36" s="253" t="s">
        <v>183</v>
      </c>
      <c r="D36" s="254" t="s">
        <v>511</v>
      </c>
      <c r="E36" s="255"/>
      <c r="F36" s="255"/>
      <c r="G36" s="255"/>
      <c r="H36" s="255"/>
      <c r="I36" s="255"/>
      <c r="J36" s="255"/>
      <c r="K36" s="255"/>
      <c r="L36" s="255"/>
      <c r="M36" s="255">
        <f t="shared" si="0"/>
        <v>0</v>
      </c>
      <c r="N36" s="256"/>
      <c r="O36" s="532">
        <f t="shared" si="2"/>
        <v>0</v>
      </c>
      <c r="P36" s="257"/>
      <c r="Q36" s="9"/>
      <c r="R36" s="9"/>
    </row>
    <row r="37" spans="1:18">
      <c r="A37" s="260">
        <v>1007</v>
      </c>
      <c r="B37" s="252">
        <v>35</v>
      </c>
      <c r="C37" s="253" t="s">
        <v>184</v>
      </c>
      <c r="D37" s="254" t="s">
        <v>511</v>
      </c>
      <c r="E37" s="255"/>
      <c r="F37" s="255"/>
      <c r="G37" s="255"/>
      <c r="H37" s="255"/>
      <c r="I37" s="255"/>
      <c r="J37" s="255"/>
      <c r="K37" s="255"/>
      <c r="L37" s="255"/>
      <c r="M37" s="255">
        <f t="shared" si="0"/>
        <v>0</v>
      </c>
      <c r="N37" s="256"/>
      <c r="O37" s="532">
        <f t="shared" si="2"/>
        <v>0</v>
      </c>
      <c r="P37" s="257"/>
      <c r="Q37" s="9"/>
      <c r="R37" s="9"/>
    </row>
    <row r="38" spans="1:18">
      <c r="A38" s="260">
        <v>2005</v>
      </c>
      <c r="B38" s="252">
        <v>40111</v>
      </c>
      <c r="C38" s="253" t="s">
        <v>185</v>
      </c>
      <c r="D38" s="254" t="s">
        <v>511</v>
      </c>
      <c r="E38" s="255"/>
      <c r="F38" s="255"/>
      <c r="G38" s="255"/>
      <c r="H38" s="255"/>
      <c r="I38" s="255"/>
      <c r="J38" s="255"/>
      <c r="K38" s="255"/>
      <c r="L38" s="255"/>
      <c r="M38" s="255">
        <f t="shared" si="0"/>
        <v>0</v>
      </c>
      <c r="N38" s="256"/>
      <c r="O38" s="532">
        <f t="shared" si="2"/>
        <v>0</v>
      </c>
      <c r="P38" s="257"/>
      <c r="Q38" s="9"/>
      <c r="R38" s="9"/>
    </row>
    <row r="39" spans="1:18">
      <c r="A39" s="260">
        <v>2005</v>
      </c>
      <c r="B39" s="252">
        <v>40112</v>
      </c>
      <c r="C39" s="253" t="s">
        <v>186</v>
      </c>
      <c r="D39" s="254" t="s">
        <v>512</v>
      </c>
      <c r="E39" s="255"/>
      <c r="F39" s="255"/>
      <c r="G39" s="255"/>
      <c r="H39" s="255"/>
      <c r="I39" s="255"/>
      <c r="J39" s="255"/>
      <c r="K39" s="255"/>
      <c r="L39" s="255"/>
      <c r="M39" s="255">
        <f t="shared" si="0"/>
        <v>0</v>
      </c>
      <c r="N39" s="256"/>
      <c r="O39" s="532">
        <f t="shared" si="2"/>
        <v>0</v>
      </c>
      <c r="P39" s="257"/>
      <c r="Q39" s="9"/>
      <c r="R39" s="9"/>
    </row>
    <row r="40" spans="1:18">
      <c r="A40" s="260">
        <v>2005</v>
      </c>
      <c r="B40" s="252">
        <v>40113</v>
      </c>
      <c r="C40" s="253" t="s">
        <v>187</v>
      </c>
      <c r="D40" s="254" t="s">
        <v>513</v>
      </c>
      <c r="E40" s="255"/>
      <c r="F40" s="255"/>
      <c r="G40" s="255"/>
      <c r="H40" s="255"/>
      <c r="I40" s="255"/>
      <c r="J40" s="255"/>
      <c r="K40" s="255"/>
      <c r="L40" s="255"/>
      <c r="M40" s="255">
        <f t="shared" si="0"/>
        <v>0</v>
      </c>
      <c r="N40" s="256"/>
      <c r="O40" s="532">
        <f t="shared" si="2"/>
        <v>0</v>
      </c>
      <c r="P40" s="257"/>
      <c r="Q40" s="9"/>
      <c r="R40" s="9"/>
    </row>
    <row r="41" spans="1:18">
      <c r="A41" s="260">
        <v>2005</v>
      </c>
      <c r="B41" s="252">
        <v>40114</v>
      </c>
      <c r="C41" s="253" t="s">
        <v>188</v>
      </c>
      <c r="D41" s="254" t="s">
        <v>514</v>
      </c>
      <c r="E41" s="255"/>
      <c r="F41" s="255"/>
      <c r="G41" s="255"/>
      <c r="H41" s="255"/>
      <c r="I41" s="255"/>
      <c r="J41" s="255"/>
      <c r="K41" s="255"/>
      <c r="L41" s="255"/>
      <c r="M41" s="255">
        <f t="shared" si="0"/>
        <v>0</v>
      </c>
      <c r="N41" s="256"/>
      <c r="O41" s="532">
        <f t="shared" si="2"/>
        <v>0</v>
      </c>
      <c r="P41" s="257"/>
      <c r="Q41" s="9"/>
      <c r="R41" s="9"/>
    </row>
    <row r="42" spans="1:18">
      <c r="A42" s="260">
        <v>2005</v>
      </c>
      <c r="B42" s="252">
        <v>40121</v>
      </c>
      <c r="C42" s="253" t="s">
        <v>189</v>
      </c>
      <c r="D42" s="254" t="s">
        <v>511</v>
      </c>
      <c r="E42" s="255"/>
      <c r="F42" s="255"/>
      <c r="G42" s="255"/>
      <c r="H42" s="255"/>
      <c r="I42" s="255"/>
      <c r="J42" s="255"/>
      <c r="K42" s="255"/>
      <c r="L42" s="255"/>
      <c r="M42" s="255">
        <f t="shared" si="0"/>
        <v>0</v>
      </c>
      <c r="N42" s="256"/>
      <c r="O42" s="532">
        <f t="shared" si="2"/>
        <v>0</v>
      </c>
      <c r="P42" s="257"/>
      <c r="Q42" s="9"/>
      <c r="R42" s="9"/>
    </row>
    <row r="43" spans="1:18">
      <c r="A43" s="260">
        <v>2005</v>
      </c>
      <c r="B43" s="252">
        <v>401210</v>
      </c>
      <c r="C43" s="253" t="s">
        <v>190</v>
      </c>
      <c r="D43" s="254" t="s">
        <v>511</v>
      </c>
      <c r="E43" s="255"/>
      <c r="F43" s="255"/>
      <c r="G43" s="255"/>
      <c r="H43" s="255"/>
      <c r="I43" s="255"/>
      <c r="J43" s="255"/>
      <c r="K43" s="255"/>
      <c r="L43" s="255"/>
      <c r="M43" s="255">
        <f t="shared" si="0"/>
        <v>0</v>
      </c>
      <c r="N43" s="256"/>
      <c r="O43" s="532">
        <f t="shared" si="2"/>
        <v>0</v>
      </c>
      <c r="P43" s="257"/>
      <c r="Q43" s="9"/>
      <c r="R43" s="9"/>
    </row>
    <row r="44" spans="1:18">
      <c r="A44" s="260">
        <v>2005</v>
      </c>
      <c r="B44" s="420">
        <v>40122</v>
      </c>
      <c r="C44" s="421" t="s">
        <v>191</v>
      </c>
      <c r="D44" s="422" t="s">
        <v>512</v>
      </c>
      <c r="E44" s="255"/>
      <c r="F44" s="255"/>
      <c r="G44" s="255"/>
      <c r="H44" s="255"/>
      <c r="I44" s="403"/>
      <c r="J44" s="531">
        <f>(145049.75+6516.79)*139.59</f>
        <v>21157173.318600003</v>
      </c>
      <c r="K44" s="255"/>
      <c r="L44" s="255"/>
      <c r="M44" s="255">
        <f t="shared" si="0"/>
        <v>-21157173.318600003</v>
      </c>
      <c r="N44" s="256">
        <v>3001</v>
      </c>
      <c r="O44" s="532">
        <f t="shared" si="2"/>
        <v>151566.54</v>
      </c>
      <c r="P44" s="257"/>
      <c r="Q44" s="9"/>
      <c r="R44" s="9"/>
    </row>
    <row r="45" spans="1:18">
      <c r="A45" s="260">
        <v>2005</v>
      </c>
      <c r="B45" s="252">
        <v>401220</v>
      </c>
      <c r="C45" s="253" t="s">
        <v>192</v>
      </c>
      <c r="D45" s="254" t="s">
        <v>512</v>
      </c>
      <c r="E45" s="255"/>
      <c r="F45" s="255"/>
      <c r="G45" s="255"/>
      <c r="H45" s="255"/>
      <c r="I45" s="255"/>
      <c r="J45" s="255"/>
      <c r="K45" s="255"/>
      <c r="L45" s="255"/>
      <c r="M45" s="255">
        <f t="shared" si="0"/>
        <v>0</v>
      </c>
      <c r="N45" s="256"/>
      <c r="O45" s="532">
        <f t="shared" si="2"/>
        <v>0</v>
      </c>
      <c r="P45" s="257"/>
      <c r="Q45" s="9"/>
      <c r="R45" s="9"/>
    </row>
    <row r="46" spans="1:18">
      <c r="A46" s="260">
        <v>2005</v>
      </c>
      <c r="B46" s="252">
        <v>40123</v>
      </c>
      <c r="C46" s="253" t="s">
        <v>193</v>
      </c>
      <c r="D46" s="254" t="s">
        <v>513</v>
      </c>
      <c r="E46" s="255"/>
      <c r="F46" s="255"/>
      <c r="G46" s="255"/>
      <c r="H46" s="255"/>
      <c r="I46" s="255"/>
      <c r="J46" s="255"/>
      <c r="K46" s="255"/>
      <c r="L46" s="255"/>
      <c r="M46" s="255">
        <f t="shared" si="0"/>
        <v>0</v>
      </c>
      <c r="N46" s="256"/>
      <c r="O46" s="532">
        <f t="shared" si="2"/>
        <v>0</v>
      </c>
      <c r="P46" s="257"/>
      <c r="Q46" s="9"/>
      <c r="R46" s="9"/>
    </row>
    <row r="47" spans="1:18">
      <c r="A47" s="260">
        <v>2005</v>
      </c>
      <c r="B47" s="252">
        <v>40131</v>
      </c>
      <c r="C47" s="253" t="s">
        <v>194</v>
      </c>
      <c r="D47" s="254" t="s">
        <v>511</v>
      </c>
      <c r="E47" s="255"/>
      <c r="F47" s="255"/>
      <c r="G47" s="255"/>
      <c r="H47" s="255"/>
      <c r="I47" s="255"/>
      <c r="J47" s="255"/>
      <c r="K47" s="255"/>
      <c r="L47" s="255"/>
      <c r="M47" s="255">
        <f t="shared" si="0"/>
        <v>0</v>
      </c>
      <c r="N47" s="256"/>
      <c r="O47" s="532">
        <f t="shared" si="2"/>
        <v>0</v>
      </c>
      <c r="P47" s="257"/>
      <c r="Q47" s="9"/>
      <c r="R47" s="9"/>
    </row>
    <row r="48" spans="1:18">
      <c r="A48" s="260">
        <v>2005</v>
      </c>
      <c r="B48" s="252">
        <v>40132</v>
      </c>
      <c r="C48" s="253" t="s">
        <v>195</v>
      </c>
      <c r="D48" s="254" t="s">
        <v>512</v>
      </c>
      <c r="E48" s="255"/>
      <c r="F48" s="255"/>
      <c r="G48" s="255"/>
      <c r="H48" s="255"/>
      <c r="I48" s="255"/>
      <c r="J48" s="255"/>
      <c r="K48" s="255"/>
      <c r="L48" s="255"/>
      <c r="M48" s="255">
        <f t="shared" si="0"/>
        <v>0</v>
      </c>
      <c r="N48" s="256"/>
      <c r="O48" s="532">
        <f t="shared" si="2"/>
        <v>0</v>
      </c>
      <c r="P48" s="257"/>
      <c r="Q48" s="9"/>
      <c r="R48" s="9"/>
    </row>
    <row r="49" spans="1:18">
      <c r="A49" s="260">
        <v>2005</v>
      </c>
      <c r="B49" s="252">
        <v>40133</v>
      </c>
      <c r="C49" s="253" t="s">
        <v>196</v>
      </c>
      <c r="D49" s="254" t="s">
        <v>513</v>
      </c>
      <c r="E49" s="255"/>
      <c r="F49" s="255"/>
      <c r="G49" s="255"/>
      <c r="H49" s="255"/>
      <c r="I49" s="255"/>
      <c r="J49" s="255"/>
      <c r="K49" s="255"/>
      <c r="L49" s="255"/>
      <c r="M49" s="255">
        <f t="shared" si="0"/>
        <v>0</v>
      </c>
      <c r="N49" s="256"/>
      <c r="O49" s="532">
        <f t="shared" si="2"/>
        <v>0</v>
      </c>
      <c r="P49" s="257"/>
      <c r="Q49" s="9"/>
      <c r="R49" s="9"/>
    </row>
    <row r="50" spans="1:18">
      <c r="A50" s="260">
        <v>2005</v>
      </c>
      <c r="B50" s="252">
        <v>40151</v>
      </c>
      <c r="C50" s="253" t="s">
        <v>197</v>
      </c>
      <c r="D50" s="254" t="s">
        <v>511</v>
      </c>
      <c r="E50" s="255"/>
      <c r="F50" s="255"/>
      <c r="G50" s="255"/>
      <c r="H50" s="255"/>
      <c r="I50" s="255"/>
      <c r="J50" s="255"/>
      <c r="K50" s="255"/>
      <c r="L50" s="255"/>
      <c r="M50" s="255">
        <f t="shared" si="0"/>
        <v>0</v>
      </c>
      <c r="N50" s="256"/>
      <c r="O50" s="532">
        <f t="shared" si="2"/>
        <v>0</v>
      </c>
      <c r="P50" s="257">
        <f>+I49+I50+I51+I52-J46-J47-J48</f>
        <v>0</v>
      </c>
      <c r="Q50" s="9"/>
      <c r="R50" s="9"/>
    </row>
    <row r="51" spans="1:18">
      <c r="A51" s="260">
        <v>2005</v>
      </c>
      <c r="B51" s="252">
        <v>40152</v>
      </c>
      <c r="C51" s="253" t="s">
        <v>198</v>
      </c>
      <c r="D51" s="254" t="s">
        <v>512</v>
      </c>
      <c r="E51" s="255"/>
      <c r="F51" s="255"/>
      <c r="G51" s="255"/>
      <c r="H51" s="255"/>
      <c r="I51" s="255"/>
      <c r="J51" s="255"/>
      <c r="K51" s="255"/>
      <c r="L51" s="255"/>
      <c r="M51" s="255">
        <f t="shared" si="0"/>
        <v>0</v>
      </c>
      <c r="N51" s="256"/>
      <c r="O51" s="532">
        <f t="shared" si="2"/>
        <v>0</v>
      </c>
      <c r="P51" s="257"/>
      <c r="Q51" s="9"/>
      <c r="R51" s="9"/>
    </row>
    <row r="52" spans="1:18">
      <c r="A52" s="260">
        <v>2005</v>
      </c>
      <c r="B52" s="252">
        <v>40153</v>
      </c>
      <c r="C52" s="253" t="s">
        <v>199</v>
      </c>
      <c r="D52" s="254" t="s">
        <v>513</v>
      </c>
      <c r="E52" s="255"/>
      <c r="F52" s="255"/>
      <c r="G52" s="255"/>
      <c r="H52" s="255"/>
      <c r="I52" s="255"/>
      <c r="J52" s="255"/>
      <c r="K52" s="255"/>
      <c r="L52" s="255"/>
      <c r="M52" s="255">
        <f t="shared" si="0"/>
        <v>0</v>
      </c>
      <c r="N52" s="256"/>
      <c r="O52" s="532">
        <f t="shared" si="2"/>
        <v>0</v>
      </c>
      <c r="P52" s="257"/>
      <c r="Q52" s="9"/>
      <c r="R52" s="9"/>
    </row>
    <row r="53" spans="1:18">
      <c r="A53" s="260">
        <v>2005</v>
      </c>
      <c r="B53" s="252">
        <v>40154</v>
      </c>
      <c r="C53" s="253" t="s">
        <v>200</v>
      </c>
      <c r="D53" s="254" t="s">
        <v>511</v>
      </c>
      <c r="E53" s="255"/>
      <c r="F53" s="255"/>
      <c r="G53" s="255"/>
      <c r="H53" s="255"/>
      <c r="I53" s="255"/>
      <c r="J53" s="255"/>
      <c r="K53" s="255"/>
      <c r="L53" s="255"/>
      <c r="M53" s="255">
        <f t="shared" si="0"/>
        <v>0</v>
      </c>
      <c r="N53" s="256"/>
      <c r="O53" s="532">
        <f t="shared" si="2"/>
        <v>0</v>
      </c>
      <c r="P53" s="257"/>
      <c r="Q53" s="9"/>
      <c r="R53" s="9"/>
    </row>
    <row r="54" spans="1:18">
      <c r="A54" s="260">
        <v>2005</v>
      </c>
      <c r="B54" s="252">
        <v>40161</v>
      </c>
      <c r="C54" s="253" t="s">
        <v>201</v>
      </c>
      <c r="D54" s="254" t="s">
        <v>511</v>
      </c>
      <c r="E54" s="255"/>
      <c r="F54" s="255"/>
      <c r="G54" s="255"/>
      <c r="H54" s="255"/>
      <c r="I54" s="255"/>
      <c r="J54" s="255"/>
      <c r="K54" s="255"/>
      <c r="L54" s="255"/>
      <c r="M54" s="255">
        <f t="shared" si="0"/>
        <v>0</v>
      </c>
      <c r="N54" s="256"/>
      <c r="O54" s="532">
        <f t="shared" si="2"/>
        <v>0</v>
      </c>
      <c r="P54" s="257"/>
      <c r="Q54" s="9"/>
      <c r="R54" s="9"/>
    </row>
    <row r="55" spans="1:18">
      <c r="A55" s="260">
        <v>2005</v>
      </c>
      <c r="B55" s="252">
        <v>40162</v>
      </c>
      <c r="C55" s="253" t="s">
        <v>202</v>
      </c>
      <c r="D55" s="254" t="s">
        <v>512</v>
      </c>
      <c r="E55" s="255"/>
      <c r="F55" s="255"/>
      <c r="G55" s="255"/>
      <c r="H55" s="255"/>
      <c r="I55" s="255"/>
      <c r="J55" s="255"/>
      <c r="K55" s="255"/>
      <c r="L55" s="255"/>
      <c r="M55" s="255">
        <f t="shared" si="0"/>
        <v>0</v>
      </c>
      <c r="N55" s="256"/>
      <c r="O55" s="532">
        <f t="shared" si="2"/>
        <v>0</v>
      </c>
      <c r="P55" s="257"/>
      <c r="Q55" s="9"/>
      <c r="R55" s="9"/>
    </row>
    <row r="56" spans="1:18">
      <c r="A56" s="260">
        <v>2005</v>
      </c>
      <c r="B56" s="252">
        <v>40163</v>
      </c>
      <c r="C56" s="253" t="s">
        <v>203</v>
      </c>
      <c r="D56" s="254" t="s">
        <v>513</v>
      </c>
      <c r="E56" s="255"/>
      <c r="F56" s="255"/>
      <c r="G56" s="255"/>
      <c r="H56" s="255"/>
      <c r="I56" s="255"/>
      <c r="J56" s="255"/>
      <c r="K56" s="255"/>
      <c r="L56" s="255"/>
      <c r="M56" s="255">
        <f t="shared" si="0"/>
        <v>0</v>
      </c>
      <c r="N56" s="256"/>
      <c r="O56" s="532">
        <f t="shared" si="2"/>
        <v>0</v>
      </c>
      <c r="P56" s="257"/>
      <c r="Q56" s="9"/>
      <c r="R56" s="9"/>
    </row>
    <row r="57" spans="1:18">
      <c r="A57" s="260">
        <v>2005</v>
      </c>
      <c r="B57" s="252">
        <v>40171</v>
      </c>
      <c r="C57" s="253" t="s">
        <v>204</v>
      </c>
      <c r="D57" s="254" t="s">
        <v>512</v>
      </c>
      <c r="E57" s="255"/>
      <c r="F57" s="255"/>
      <c r="G57" s="255"/>
      <c r="H57" s="255"/>
      <c r="I57" s="255"/>
      <c r="J57" s="255"/>
      <c r="K57" s="255"/>
      <c r="L57" s="255"/>
      <c r="M57" s="255">
        <f t="shared" si="0"/>
        <v>0</v>
      </c>
      <c r="N57" s="256"/>
      <c r="O57" s="532">
        <f t="shared" si="2"/>
        <v>0</v>
      </c>
      <c r="P57" s="257"/>
      <c r="Q57" s="9"/>
      <c r="R57" s="9"/>
    </row>
    <row r="58" spans="1:18">
      <c r="A58" s="260">
        <v>2005</v>
      </c>
      <c r="B58" s="252">
        <v>40441</v>
      </c>
      <c r="C58" s="253" t="s">
        <v>205</v>
      </c>
      <c r="D58" s="254" t="s">
        <v>511</v>
      </c>
      <c r="E58" s="255"/>
      <c r="F58" s="255"/>
      <c r="G58" s="255"/>
      <c r="H58" s="255"/>
      <c r="I58" s="255"/>
      <c r="J58" s="255"/>
      <c r="K58" s="255"/>
      <c r="L58" s="255"/>
      <c r="M58" s="255">
        <f t="shared" si="0"/>
        <v>0</v>
      </c>
      <c r="N58" s="256"/>
      <c r="O58" s="532">
        <f t="shared" si="2"/>
        <v>0</v>
      </c>
      <c r="P58" s="257"/>
      <c r="Q58" s="9"/>
      <c r="R58" s="9"/>
    </row>
    <row r="59" spans="1:18">
      <c r="A59" s="260">
        <v>2005</v>
      </c>
      <c r="B59" s="252">
        <v>40442</v>
      </c>
      <c r="C59" s="253" t="s">
        <v>206</v>
      </c>
      <c r="D59" s="254" t="s">
        <v>512</v>
      </c>
      <c r="E59" s="255"/>
      <c r="F59" s="255"/>
      <c r="G59" s="255"/>
      <c r="H59" s="255"/>
      <c r="I59" s="255"/>
      <c r="J59" s="255"/>
      <c r="K59" s="255"/>
      <c r="L59" s="255"/>
      <c r="M59" s="255">
        <f t="shared" si="0"/>
        <v>0</v>
      </c>
      <c r="N59" s="256"/>
      <c r="O59" s="532">
        <f t="shared" si="2"/>
        <v>0</v>
      </c>
      <c r="P59" s="257"/>
      <c r="Q59" s="9"/>
      <c r="R59" s="9"/>
    </row>
    <row r="60" spans="1:18">
      <c r="A60" s="260">
        <v>2005</v>
      </c>
      <c r="B60" s="252">
        <v>40443</v>
      </c>
      <c r="C60" s="253" t="s">
        <v>207</v>
      </c>
      <c r="D60" s="254" t="s">
        <v>513</v>
      </c>
      <c r="E60" s="255"/>
      <c r="F60" s="255"/>
      <c r="G60" s="255"/>
      <c r="H60" s="255"/>
      <c r="I60" s="255"/>
      <c r="J60" s="255"/>
      <c r="K60" s="255"/>
      <c r="L60" s="255"/>
      <c r="M60" s="255">
        <f t="shared" si="0"/>
        <v>0</v>
      </c>
      <c r="N60" s="256"/>
      <c r="O60" s="532">
        <f t="shared" si="2"/>
        <v>0</v>
      </c>
      <c r="P60" s="257"/>
      <c r="Q60" s="9"/>
      <c r="R60" s="9"/>
    </row>
    <row r="61" spans="1:18">
      <c r="A61" s="260">
        <v>2005</v>
      </c>
      <c r="B61" s="252">
        <v>40444</v>
      </c>
      <c r="C61" s="253" t="s">
        <v>208</v>
      </c>
      <c r="D61" s="254" t="s">
        <v>514</v>
      </c>
      <c r="E61" s="255"/>
      <c r="F61" s="255"/>
      <c r="G61" s="255"/>
      <c r="H61" s="255"/>
      <c r="I61" s="255"/>
      <c r="J61" s="255"/>
      <c r="K61" s="255"/>
      <c r="L61" s="255"/>
      <c r="M61" s="255">
        <f t="shared" si="0"/>
        <v>0</v>
      </c>
      <c r="N61" s="256"/>
      <c r="O61" s="532">
        <f t="shared" si="2"/>
        <v>0</v>
      </c>
      <c r="P61" s="257"/>
      <c r="Q61" s="9"/>
      <c r="R61" s="9"/>
    </row>
    <row r="62" spans="1:18">
      <c r="A62" s="260">
        <v>1004</v>
      </c>
      <c r="B62" s="252">
        <v>41111</v>
      </c>
      <c r="C62" s="253" t="s">
        <v>209</v>
      </c>
      <c r="D62" s="254" t="s">
        <v>511</v>
      </c>
      <c r="E62" s="255"/>
      <c r="F62" s="255"/>
      <c r="G62" s="255"/>
      <c r="H62" s="255"/>
      <c r="I62" s="255"/>
      <c r="J62" s="255"/>
      <c r="K62" s="255"/>
      <c r="L62" s="255"/>
      <c r="M62" s="255">
        <f t="shared" si="0"/>
        <v>0</v>
      </c>
      <c r="N62" s="256"/>
      <c r="O62" s="532">
        <f t="shared" si="2"/>
        <v>0</v>
      </c>
      <c r="P62" s="257"/>
      <c r="Q62" s="9"/>
      <c r="R62" s="9"/>
    </row>
    <row r="63" spans="1:18">
      <c r="A63" s="260">
        <v>1004</v>
      </c>
      <c r="B63" s="252">
        <v>41112</v>
      </c>
      <c r="C63" s="253" t="s">
        <v>210</v>
      </c>
      <c r="D63" s="254" t="s">
        <v>512</v>
      </c>
      <c r="E63" s="255"/>
      <c r="F63" s="255"/>
      <c r="G63" s="255"/>
      <c r="H63" s="255"/>
      <c r="I63" s="255"/>
      <c r="J63" s="255"/>
      <c r="K63" s="255"/>
      <c r="L63" s="255"/>
      <c r="M63" s="255">
        <f t="shared" si="0"/>
        <v>0</v>
      </c>
      <c r="N63" s="256"/>
      <c r="O63" s="532">
        <f t="shared" si="2"/>
        <v>0</v>
      </c>
      <c r="P63" s="257"/>
      <c r="Q63" s="9"/>
      <c r="R63" s="9"/>
    </row>
    <row r="64" spans="1:18">
      <c r="A64" s="260">
        <v>1004</v>
      </c>
      <c r="B64" s="252">
        <v>41113</v>
      </c>
      <c r="C64" s="253" t="s">
        <v>211</v>
      </c>
      <c r="D64" s="254" t="s">
        <v>513</v>
      </c>
      <c r="E64" s="255"/>
      <c r="F64" s="255"/>
      <c r="G64" s="255"/>
      <c r="H64" s="255"/>
      <c r="I64" s="255"/>
      <c r="J64" s="255"/>
      <c r="K64" s="255"/>
      <c r="L64" s="255"/>
      <c r="M64" s="255">
        <f t="shared" si="0"/>
        <v>0</v>
      </c>
      <c r="N64" s="256"/>
      <c r="O64" s="532">
        <f t="shared" si="2"/>
        <v>0</v>
      </c>
      <c r="P64" s="257"/>
      <c r="Q64" s="9"/>
      <c r="R64" s="9"/>
    </row>
    <row r="65" spans="1:18">
      <c r="A65" s="260">
        <v>1004</v>
      </c>
      <c r="B65" s="252">
        <v>41122</v>
      </c>
      <c r="C65" s="253" t="s">
        <v>212</v>
      </c>
      <c r="D65" s="254" t="s">
        <v>515</v>
      </c>
      <c r="E65" s="255"/>
      <c r="F65" s="255"/>
      <c r="G65" s="255"/>
      <c r="H65" s="255"/>
      <c r="I65" s="255"/>
      <c r="J65" s="255"/>
      <c r="K65" s="255"/>
      <c r="L65" s="255"/>
      <c r="M65" s="255">
        <f t="shared" si="0"/>
        <v>0</v>
      </c>
      <c r="N65" s="256"/>
      <c r="O65" s="532">
        <f t="shared" si="2"/>
        <v>0</v>
      </c>
      <c r="P65" s="257"/>
      <c r="Q65" s="9"/>
      <c r="R65" s="9"/>
    </row>
    <row r="66" spans="1:18">
      <c r="A66" s="260">
        <v>1004</v>
      </c>
      <c r="B66" s="252">
        <v>41123</v>
      </c>
      <c r="C66" s="253" t="s">
        <v>213</v>
      </c>
      <c r="D66" s="254" t="s">
        <v>512</v>
      </c>
      <c r="E66" s="255"/>
      <c r="F66" s="255"/>
      <c r="G66" s="255"/>
      <c r="H66" s="255"/>
      <c r="I66" s="255"/>
      <c r="J66" s="255"/>
      <c r="K66" s="255"/>
      <c r="L66" s="255"/>
      <c r="M66" s="255">
        <f t="shared" si="0"/>
        <v>0</v>
      </c>
      <c r="N66" s="256"/>
      <c r="O66" s="532">
        <f t="shared" si="2"/>
        <v>0</v>
      </c>
      <c r="P66" s="257"/>
      <c r="Q66" s="9"/>
      <c r="R66" s="9"/>
    </row>
    <row r="67" spans="1:18">
      <c r="A67" s="260">
        <v>1004</v>
      </c>
      <c r="B67" s="252">
        <v>41124</v>
      </c>
      <c r="C67" s="253" t="s">
        <v>214</v>
      </c>
      <c r="D67" s="254" t="s">
        <v>513</v>
      </c>
      <c r="E67" s="255"/>
      <c r="F67" s="255"/>
      <c r="G67" s="255"/>
      <c r="H67" s="255"/>
      <c r="I67" s="255"/>
      <c r="J67" s="255"/>
      <c r="K67" s="255"/>
      <c r="L67" s="255"/>
      <c r="M67" s="255">
        <f t="shared" si="0"/>
        <v>0</v>
      </c>
      <c r="N67" s="256"/>
      <c r="O67" s="532">
        <f t="shared" si="2"/>
        <v>0</v>
      </c>
      <c r="P67" s="257"/>
      <c r="Q67" s="9"/>
      <c r="R67" s="9"/>
    </row>
    <row r="68" spans="1:18">
      <c r="A68" s="260">
        <v>1004</v>
      </c>
      <c r="B68" s="252">
        <v>41131</v>
      </c>
      <c r="C68" s="253" t="s">
        <v>215</v>
      </c>
      <c r="D68" s="254" t="s">
        <v>511</v>
      </c>
      <c r="E68" s="255"/>
      <c r="F68" s="255"/>
      <c r="G68" s="255"/>
      <c r="H68" s="255"/>
      <c r="I68" s="255"/>
      <c r="J68" s="255"/>
      <c r="K68" s="255"/>
      <c r="L68" s="255"/>
      <c r="M68" s="255">
        <f t="shared" si="0"/>
        <v>0</v>
      </c>
      <c r="N68" s="256"/>
      <c r="O68" s="532">
        <f t="shared" si="2"/>
        <v>0</v>
      </c>
      <c r="P68" s="257"/>
      <c r="Q68" s="9"/>
      <c r="R68" s="9"/>
    </row>
    <row r="69" spans="1:18">
      <c r="A69" s="260">
        <v>1004</v>
      </c>
      <c r="B69" s="252">
        <v>41132</v>
      </c>
      <c r="C69" s="253" t="s">
        <v>216</v>
      </c>
      <c r="D69" s="254" t="s">
        <v>512</v>
      </c>
      <c r="E69" s="255"/>
      <c r="F69" s="255"/>
      <c r="G69" s="255"/>
      <c r="H69" s="255"/>
      <c r="I69" s="255"/>
      <c r="J69" s="255"/>
      <c r="K69" s="255"/>
      <c r="L69" s="255"/>
      <c r="M69" s="255">
        <f t="shared" si="0"/>
        <v>0</v>
      </c>
      <c r="N69" s="256"/>
      <c r="O69" s="532">
        <f t="shared" si="2"/>
        <v>0</v>
      </c>
      <c r="P69" s="257"/>
      <c r="Q69" s="9"/>
      <c r="R69" s="9"/>
    </row>
    <row r="70" spans="1:18">
      <c r="A70" s="260">
        <v>1004</v>
      </c>
      <c r="B70" s="252">
        <v>41133</v>
      </c>
      <c r="C70" s="253" t="s">
        <v>217</v>
      </c>
      <c r="D70" s="254" t="s">
        <v>513</v>
      </c>
      <c r="E70" s="255"/>
      <c r="F70" s="255"/>
      <c r="G70" s="255"/>
      <c r="H70" s="255"/>
      <c r="I70" s="255"/>
      <c r="J70" s="255"/>
      <c r="K70" s="255"/>
      <c r="L70" s="255"/>
      <c r="M70" s="255">
        <f t="shared" ref="M70:M133" si="3">(+I70-J70)+K70-L70</f>
        <v>0</v>
      </c>
      <c r="N70" s="256"/>
      <c r="O70" s="532">
        <f t="shared" si="2"/>
        <v>0</v>
      </c>
      <c r="P70" s="257"/>
      <c r="Q70" s="9"/>
      <c r="R70" s="9"/>
    </row>
    <row r="71" spans="1:18">
      <c r="A71" s="260">
        <v>1004</v>
      </c>
      <c r="B71" s="252">
        <v>41141</v>
      </c>
      <c r="C71" s="253" t="s">
        <v>520</v>
      </c>
      <c r="D71" s="254" t="s">
        <v>511</v>
      </c>
      <c r="E71" s="255"/>
      <c r="F71" s="255"/>
      <c r="G71" s="255"/>
      <c r="H71" s="255"/>
      <c r="I71" s="255"/>
      <c r="J71" s="255"/>
      <c r="K71" s="255"/>
      <c r="L71" s="255"/>
      <c r="M71" s="255">
        <f t="shared" si="3"/>
        <v>0</v>
      </c>
      <c r="N71" s="256"/>
      <c r="O71" s="532">
        <f t="shared" si="2"/>
        <v>0</v>
      </c>
      <c r="P71" s="257"/>
      <c r="Q71" s="9"/>
      <c r="R71" s="9"/>
    </row>
    <row r="72" spans="1:18">
      <c r="A72" s="260">
        <v>1004</v>
      </c>
      <c r="B72" s="252">
        <v>41142</v>
      </c>
      <c r="C72" s="253" t="s">
        <v>521</v>
      </c>
      <c r="D72" s="254" t="s">
        <v>513</v>
      </c>
      <c r="E72" s="255"/>
      <c r="F72" s="255"/>
      <c r="G72" s="255"/>
      <c r="H72" s="255"/>
      <c r="I72" s="255"/>
      <c r="J72" s="255"/>
      <c r="K72" s="255"/>
      <c r="L72" s="255"/>
      <c r="M72" s="255">
        <f t="shared" si="3"/>
        <v>0</v>
      </c>
      <c r="N72" s="256"/>
      <c r="O72" s="532">
        <f t="shared" si="2"/>
        <v>0</v>
      </c>
      <c r="P72" s="257"/>
      <c r="Q72" s="9"/>
      <c r="R72" s="9"/>
    </row>
    <row r="73" spans="1:18">
      <c r="A73" s="260">
        <v>1004</v>
      </c>
      <c r="B73" s="252">
        <v>41151</v>
      </c>
      <c r="C73" s="253" t="s">
        <v>218</v>
      </c>
      <c r="D73" s="254" t="s">
        <v>511</v>
      </c>
      <c r="E73" s="255"/>
      <c r="F73" s="255"/>
      <c r="G73" s="255"/>
      <c r="H73" s="255"/>
      <c r="I73" s="255"/>
      <c r="J73" s="255"/>
      <c r="K73" s="255"/>
      <c r="L73" s="255"/>
      <c r="M73" s="255">
        <f t="shared" si="3"/>
        <v>0</v>
      </c>
      <c r="N73" s="256"/>
      <c r="O73" s="532">
        <f t="shared" si="2"/>
        <v>0</v>
      </c>
      <c r="P73" s="257"/>
      <c r="Q73" s="9"/>
      <c r="R73" s="9"/>
    </row>
    <row r="74" spans="1:18">
      <c r="A74" s="260">
        <v>1004</v>
      </c>
      <c r="B74" s="252">
        <v>41152</v>
      </c>
      <c r="C74" s="253" t="s">
        <v>219</v>
      </c>
      <c r="D74" s="254" t="s">
        <v>512</v>
      </c>
      <c r="E74" s="255"/>
      <c r="F74" s="255"/>
      <c r="G74" s="255"/>
      <c r="H74" s="255"/>
      <c r="I74" s="255"/>
      <c r="J74" s="255"/>
      <c r="K74" s="255"/>
      <c r="L74" s="255"/>
      <c r="M74" s="255">
        <f t="shared" si="3"/>
        <v>0</v>
      </c>
      <c r="N74" s="256"/>
      <c r="O74" s="532">
        <f t="shared" si="2"/>
        <v>0</v>
      </c>
      <c r="P74" s="257"/>
      <c r="Q74" s="9"/>
      <c r="R74" s="9"/>
    </row>
    <row r="75" spans="1:18">
      <c r="A75" s="271">
        <v>1004</v>
      </c>
      <c r="B75" s="252">
        <v>41161</v>
      </c>
      <c r="C75" s="253" t="s">
        <v>220</v>
      </c>
      <c r="D75" s="254" t="s">
        <v>511</v>
      </c>
      <c r="E75" s="255"/>
      <c r="F75" s="255"/>
      <c r="G75" s="255"/>
      <c r="H75" s="255"/>
      <c r="I75" s="255"/>
      <c r="J75" s="255"/>
      <c r="K75" s="255"/>
      <c r="L75" s="255"/>
      <c r="M75" s="255">
        <f t="shared" si="3"/>
        <v>0</v>
      </c>
      <c r="N75" s="256"/>
      <c r="O75" s="532">
        <f t="shared" si="2"/>
        <v>0</v>
      </c>
      <c r="P75" s="257"/>
      <c r="Q75" s="9"/>
      <c r="R75" s="9"/>
    </row>
    <row r="76" spans="1:18">
      <c r="A76" s="271">
        <v>1004</v>
      </c>
      <c r="B76" s="252">
        <v>41162</v>
      </c>
      <c r="C76" s="253" t="s">
        <v>221</v>
      </c>
      <c r="D76" s="254" t="s">
        <v>512</v>
      </c>
      <c r="E76" s="255"/>
      <c r="F76" s="255"/>
      <c r="G76" s="255"/>
      <c r="H76" s="255"/>
      <c r="I76" s="255"/>
      <c r="J76" s="255"/>
      <c r="K76" s="255"/>
      <c r="L76" s="255"/>
      <c r="M76" s="255">
        <f t="shared" si="3"/>
        <v>0</v>
      </c>
      <c r="N76" s="256"/>
      <c r="O76" s="532">
        <f t="shared" si="2"/>
        <v>0</v>
      </c>
      <c r="P76" s="257"/>
      <c r="Q76" s="9"/>
      <c r="R76" s="9"/>
    </row>
    <row r="77" spans="1:18">
      <c r="A77" s="271">
        <v>1004</v>
      </c>
      <c r="B77" s="252">
        <v>463</v>
      </c>
      <c r="C77" s="253" t="s">
        <v>222</v>
      </c>
      <c r="D77" s="254" t="s">
        <v>511</v>
      </c>
      <c r="E77" s="255"/>
      <c r="F77" s="255"/>
      <c r="G77" s="255"/>
      <c r="H77" s="255"/>
      <c r="I77" s="255"/>
      <c r="J77" s="255"/>
      <c r="K77" s="255"/>
      <c r="L77" s="255"/>
      <c r="M77" s="255">
        <f t="shared" si="3"/>
        <v>0</v>
      </c>
      <c r="N77" s="256"/>
      <c r="O77" s="532">
        <f t="shared" si="2"/>
        <v>0</v>
      </c>
      <c r="P77" s="257"/>
      <c r="Q77" s="9"/>
      <c r="R77" s="9"/>
    </row>
    <row r="78" spans="1:18">
      <c r="A78" s="271">
        <v>2009</v>
      </c>
      <c r="B78" s="252">
        <v>41901</v>
      </c>
      <c r="C78" s="253" t="s">
        <v>522</v>
      </c>
      <c r="D78" s="254" t="s">
        <v>512</v>
      </c>
      <c r="E78" s="255"/>
      <c r="F78" s="255"/>
      <c r="G78" s="255"/>
      <c r="H78" s="255"/>
      <c r="I78" s="255"/>
      <c r="J78" s="255"/>
      <c r="K78" s="255"/>
      <c r="L78" s="255"/>
      <c r="M78" s="255">
        <f t="shared" si="3"/>
        <v>0</v>
      </c>
      <c r="N78" s="256"/>
      <c r="O78" s="532">
        <f t="shared" si="2"/>
        <v>0</v>
      </c>
      <c r="P78" s="257"/>
      <c r="Q78" s="9"/>
      <c r="R78" s="9"/>
    </row>
    <row r="79" spans="1:18">
      <c r="A79" s="271">
        <v>1012</v>
      </c>
      <c r="B79" s="252">
        <v>41902</v>
      </c>
      <c r="C79" s="253" t="s">
        <v>523</v>
      </c>
      <c r="D79" s="254" t="s">
        <v>512</v>
      </c>
      <c r="E79" s="255"/>
      <c r="F79" s="255"/>
      <c r="G79" s="255"/>
      <c r="H79" s="255"/>
      <c r="I79" s="255"/>
      <c r="J79" s="255"/>
      <c r="K79" s="255"/>
      <c r="L79" s="255"/>
      <c r="M79" s="255">
        <f t="shared" si="3"/>
        <v>0</v>
      </c>
      <c r="N79" s="256"/>
      <c r="O79" s="532">
        <f t="shared" si="2"/>
        <v>0</v>
      </c>
      <c r="P79" s="257"/>
      <c r="Q79" s="9"/>
      <c r="R79" s="9"/>
    </row>
    <row r="80" spans="1:18">
      <c r="A80" s="271">
        <v>1012</v>
      </c>
      <c r="B80" s="252">
        <v>4191</v>
      </c>
      <c r="C80" s="253" t="s">
        <v>524</v>
      </c>
      <c r="D80" s="254" t="s">
        <v>512</v>
      </c>
      <c r="E80" s="255"/>
      <c r="F80" s="255"/>
      <c r="G80" s="255"/>
      <c r="H80" s="255"/>
      <c r="I80" s="255"/>
      <c r="J80" s="255"/>
      <c r="K80" s="255"/>
      <c r="L80" s="255"/>
      <c r="M80" s="255">
        <f t="shared" si="3"/>
        <v>0</v>
      </c>
      <c r="N80" s="256"/>
      <c r="O80" s="532">
        <f t="shared" si="2"/>
        <v>0</v>
      </c>
      <c r="P80" s="257"/>
      <c r="Q80" s="9"/>
      <c r="R80" s="9"/>
    </row>
    <row r="81" spans="1:18">
      <c r="A81" s="271">
        <v>1012</v>
      </c>
      <c r="B81" s="252">
        <v>40910</v>
      </c>
      <c r="C81" s="253" t="s">
        <v>223</v>
      </c>
      <c r="D81" s="254" t="s">
        <v>513</v>
      </c>
      <c r="E81" s="255"/>
      <c r="F81" s="255"/>
      <c r="G81" s="255"/>
      <c r="H81" s="255"/>
      <c r="I81" s="255"/>
      <c r="J81" s="255"/>
      <c r="K81" s="255"/>
      <c r="L81" s="255"/>
      <c r="M81" s="255">
        <f t="shared" si="3"/>
        <v>0</v>
      </c>
      <c r="N81" s="256"/>
      <c r="O81" s="532">
        <f t="shared" si="2"/>
        <v>0</v>
      </c>
      <c r="P81" s="257"/>
      <c r="Q81" s="9"/>
      <c r="R81" s="9"/>
    </row>
    <row r="82" spans="1:18">
      <c r="A82" s="271">
        <v>2005</v>
      </c>
      <c r="B82" s="252">
        <v>4097</v>
      </c>
      <c r="C82" s="253" t="s">
        <v>224</v>
      </c>
      <c r="D82" s="254" t="s">
        <v>513</v>
      </c>
      <c r="E82" s="255"/>
      <c r="F82" s="255"/>
      <c r="G82" s="255"/>
      <c r="H82" s="255"/>
      <c r="I82" s="255"/>
      <c r="J82" s="255"/>
      <c r="K82" s="255"/>
      <c r="L82" s="255"/>
      <c r="M82" s="255">
        <f t="shared" si="3"/>
        <v>0</v>
      </c>
      <c r="N82" s="256"/>
      <c r="O82" s="532">
        <f t="shared" si="2"/>
        <v>0</v>
      </c>
      <c r="P82" s="257"/>
      <c r="Q82" s="9"/>
      <c r="R82" s="9"/>
    </row>
    <row r="83" spans="1:18">
      <c r="A83" s="260">
        <v>1015</v>
      </c>
      <c r="B83" s="420">
        <v>1005</v>
      </c>
      <c r="C83" s="421" t="s">
        <v>225</v>
      </c>
      <c r="D83" s="422" t="s">
        <v>511</v>
      </c>
      <c r="E83" s="255"/>
      <c r="F83" s="255"/>
      <c r="G83" s="255"/>
      <c r="H83" s="255"/>
      <c r="I83" s="403"/>
      <c r="J83" s="403"/>
      <c r="K83" s="255"/>
      <c r="L83" s="255"/>
      <c r="M83" s="255">
        <f t="shared" si="3"/>
        <v>0</v>
      </c>
      <c r="N83" s="256">
        <v>2050</v>
      </c>
      <c r="O83" s="532">
        <f t="shared" si="2"/>
        <v>0</v>
      </c>
      <c r="P83" s="257"/>
      <c r="Q83" s="9"/>
      <c r="R83" s="9"/>
    </row>
    <row r="84" spans="1:18">
      <c r="A84" s="260">
        <v>2005</v>
      </c>
      <c r="B84" s="252">
        <v>4181</v>
      </c>
      <c r="C84" s="253" t="s">
        <v>226</v>
      </c>
      <c r="D84" s="254" t="s">
        <v>512</v>
      </c>
      <c r="E84" s="255"/>
      <c r="F84" s="255"/>
      <c r="G84" s="255"/>
      <c r="H84" s="255"/>
      <c r="I84" s="255"/>
      <c r="J84" s="255"/>
      <c r="K84" s="255"/>
      <c r="L84" s="255"/>
      <c r="M84" s="255">
        <f t="shared" si="3"/>
        <v>0</v>
      </c>
      <c r="N84" s="256"/>
      <c r="O84" s="532">
        <f t="shared" si="2"/>
        <v>0</v>
      </c>
      <c r="P84" s="257"/>
      <c r="Q84" s="9"/>
      <c r="R84" s="9"/>
    </row>
    <row r="85" spans="1:18">
      <c r="A85" s="260">
        <v>2005</v>
      </c>
      <c r="B85" s="252">
        <v>41840</v>
      </c>
      <c r="C85" s="253" t="s">
        <v>227</v>
      </c>
      <c r="D85" s="254" t="s">
        <v>513</v>
      </c>
      <c r="E85" s="255"/>
      <c r="F85" s="255"/>
      <c r="G85" s="255"/>
      <c r="H85" s="255"/>
      <c r="I85" s="255"/>
      <c r="J85" s="255"/>
      <c r="K85" s="255"/>
      <c r="L85" s="255"/>
      <c r="M85" s="255">
        <f t="shared" si="3"/>
        <v>0</v>
      </c>
      <c r="N85" s="256"/>
      <c r="O85" s="532">
        <f t="shared" si="2"/>
        <v>0</v>
      </c>
      <c r="P85" s="257"/>
      <c r="Q85" s="9"/>
      <c r="R85" s="9"/>
    </row>
    <row r="86" spans="1:18">
      <c r="A86" s="260">
        <v>2005</v>
      </c>
      <c r="B86" s="252">
        <v>4185</v>
      </c>
      <c r="C86" s="253" t="s">
        <v>228</v>
      </c>
      <c r="D86" s="254" t="s">
        <v>512</v>
      </c>
      <c r="E86" s="255"/>
      <c r="F86" s="255"/>
      <c r="G86" s="255"/>
      <c r="H86" s="255"/>
      <c r="I86" s="255"/>
      <c r="J86" s="255"/>
      <c r="K86" s="255"/>
      <c r="L86" s="255"/>
      <c r="M86" s="255">
        <f t="shared" si="3"/>
        <v>0</v>
      </c>
      <c r="N86" s="256"/>
      <c r="O86" s="532">
        <f t="shared" si="2"/>
        <v>0</v>
      </c>
      <c r="P86" s="257"/>
      <c r="Q86" s="9"/>
      <c r="R86" s="9"/>
    </row>
    <row r="87" spans="1:18">
      <c r="A87" s="260">
        <v>2005</v>
      </c>
      <c r="B87" s="252">
        <v>408</v>
      </c>
      <c r="C87" s="253" t="s">
        <v>229</v>
      </c>
      <c r="D87" s="254" t="s">
        <v>511</v>
      </c>
      <c r="E87" s="255"/>
      <c r="F87" s="255"/>
      <c r="G87" s="255"/>
      <c r="H87" s="255"/>
      <c r="I87" s="255"/>
      <c r="J87" s="255"/>
      <c r="K87" s="255"/>
      <c r="L87" s="255"/>
      <c r="M87" s="255">
        <f t="shared" si="3"/>
        <v>0</v>
      </c>
      <c r="N87" s="256"/>
      <c r="O87" s="532">
        <f t="shared" si="2"/>
        <v>0</v>
      </c>
      <c r="P87" s="257"/>
      <c r="Q87" s="9"/>
      <c r="R87" s="9"/>
    </row>
    <row r="88" spans="1:18">
      <c r="A88" s="260">
        <v>2005</v>
      </c>
      <c r="B88" s="252">
        <v>409</v>
      </c>
      <c r="C88" s="253" t="s">
        <v>230</v>
      </c>
      <c r="D88" s="254" t="s">
        <v>511</v>
      </c>
      <c r="E88" s="255"/>
      <c r="F88" s="255"/>
      <c r="G88" s="255"/>
      <c r="H88" s="255"/>
      <c r="I88" s="255"/>
      <c r="J88" s="255"/>
      <c r="K88" s="255"/>
      <c r="L88" s="255"/>
      <c r="M88" s="255">
        <f t="shared" si="3"/>
        <v>0</v>
      </c>
      <c r="N88" s="256"/>
      <c r="O88" s="532">
        <f t="shared" si="2"/>
        <v>0</v>
      </c>
      <c r="P88" s="257"/>
      <c r="Q88" s="9"/>
      <c r="R88" s="9"/>
    </row>
    <row r="89" spans="1:18">
      <c r="A89" s="260">
        <v>1012</v>
      </c>
      <c r="B89" s="252">
        <v>40911</v>
      </c>
      <c r="C89" s="253" t="s">
        <v>231</v>
      </c>
      <c r="D89" s="254" t="s">
        <v>511</v>
      </c>
      <c r="E89" s="255"/>
      <c r="F89" s="255"/>
      <c r="G89" s="255"/>
      <c r="H89" s="255"/>
      <c r="I89" s="255"/>
      <c r="J89" s="255"/>
      <c r="K89" s="255"/>
      <c r="L89" s="255"/>
      <c r="M89" s="255">
        <f t="shared" si="3"/>
        <v>0</v>
      </c>
      <c r="N89" s="256"/>
      <c r="O89" s="532">
        <f t="shared" si="2"/>
        <v>0</v>
      </c>
      <c r="P89" s="257"/>
      <c r="Q89" s="9"/>
      <c r="R89" s="9"/>
    </row>
    <row r="90" spans="1:18">
      <c r="A90" s="260">
        <v>1012</v>
      </c>
      <c r="B90" s="252">
        <v>40912</v>
      </c>
      <c r="C90" s="253" t="s">
        <v>232</v>
      </c>
      <c r="D90" s="254" t="s">
        <v>511</v>
      </c>
      <c r="E90" s="255"/>
      <c r="F90" s="255"/>
      <c r="G90" s="255"/>
      <c r="H90" s="255"/>
      <c r="I90" s="255"/>
      <c r="J90" s="255"/>
      <c r="K90" s="255"/>
      <c r="L90" s="255"/>
      <c r="M90" s="255">
        <f t="shared" si="3"/>
        <v>0</v>
      </c>
      <c r="N90" s="256"/>
      <c r="O90" s="532">
        <f t="shared" si="2"/>
        <v>0</v>
      </c>
      <c r="P90" s="257"/>
      <c r="Q90" s="9"/>
      <c r="R90" s="9"/>
    </row>
    <row r="91" spans="1:18">
      <c r="A91" s="260">
        <v>1012</v>
      </c>
      <c r="B91" s="252">
        <v>40914</v>
      </c>
      <c r="C91" s="253" t="s">
        <v>233</v>
      </c>
      <c r="D91" s="254" t="s">
        <v>511</v>
      </c>
      <c r="E91" s="255"/>
      <c r="F91" s="255"/>
      <c r="G91" s="255"/>
      <c r="H91" s="255"/>
      <c r="I91" s="255"/>
      <c r="J91" s="255"/>
      <c r="K91" s="255"/>
      <c r="L91" s="255"/>
      <c r="M91" s="255">
        <f t="shared" si="3"/>
        <v>0</v>
      </c>
      <c r="N91" s="256"/>
      <c r="O91" s="532">
        <f t="shared" si="2"/>
        <v>0</v>
      </c>
      <c r="P91" s="257"/>
      <c r="Q91" s="9"/>
      <c r="R91" s="9"/>
    </row>
    <row r="92" spans="1:18">
      <c r="A92" s="260">
        <v>1012</v>
      </c>
      <c r="B92" s="252">
        <v>4097</v>
      </c>
      <c r="C92" s="253" t="s">
        <v>224</v>
      </c>
      <c r="D92" s="254" t="s">
        <v>511</v>
      </c>
      <c r="E92" s="255"/>
      <c r="F92" s="255"/>
      <c r="G92" s="255"/>
      <c r="H92" s="255"/>
      <c r="I92" s="255"/>
      <c r="J92" s="255"/>
      <c r="K92" s="255"/>
      <c r="L92" s="255"/>
      <c r="M92" s="255">
        <f t="shared" si="3"/>
        <v>0</v>
      </c>
      <c r="N92" s="256"/>
      <c r="O92" s="532">
        <f t="shared" si="2"/>
        <v>0</v>
      </c>
      <c r="P92" s="257"/>
      <c r="Q92" s="9"/>
      <c r="R92" s="9"/>
    </row>
    <row r="93" spans="1:18">
      <c r="A93" s="260">
        <v>1012</v>
      </c>
      <c r="B93" s="252">
        <v>40902</v>
      </c>
      <c r="C93" s="253" t="s">
        <v>234</v>
      </c>
      <c r="D93" s="254" t="s">
        <v>513</v>
      </c>
      <c r="E93" s="255"/>
      <c r="F93" s="255"/>
      <c r="G93" s="255"/>
      <c r="H93" s="255"/>
      <c r="I93" s="255"/>
      <c r="J93" s="255"/>
      <c r="K93" s="255"/>
      <c r="L93" s="255"/>
      <c r="M93" s="255">
        <f t="shared" si="3"/>
        <v>0</v>
      </c>
      <c r="N93" s="256"/>
      <c r="O93" s="532">
        <f t="shared" si="2"/>
        <v>0</v>
      </c>
      <c r="P93" s="257"/>
      <c r="Q93" s="9"/>
      <c r="R93" s="9"/>
    </row>
    <row r="94" spans="1:18">
      <c r="A94" s="260">
        <v>1012</v>
      </c>
      <c r="B94" s="252">
        <v>40904</v>
      </c>
      <c r="C94" s="253" t="s">
        <v>518</v>
      </c>
      <c r="D94" s="254" t="s">
        <v>511</v>
      </c>
      <c r="E94" s="255"/>
      <c r="F94" s="255"/>
      <c r="G94" s="255"/>
      <c r="H94" s="255"/>
      <c r="I94" s="255"/>
      <c r="J94" s="255"/>
      <c r="K94" s="255"/>
      <c r="L94" s="255"/>
      <c r="M94" s="255">
        <f t="shared" si="3"/>
        <v>0</v>
      </c>
      <c r="N94" s="256"/>
      <c r="O94" s="532">
        <f t="shared" si="2"/>
        <v>0</v>
      </c>
      <c r="P94" s="257"/>
      <c r="Q94" s="9"/>
      <c r="R94" s="9"/>
    </row>
    <row r="95" spans="1:18">
      <c r="A95" s="260">
        <v>1012</v>
      </c>
      <c r="B95" s="252">
        <v>40905</v>
      </c>
      <c r="C95" s="253" t="s">
        <v>235</v>
      </c>
      <c r="D95" s="254" t="s">
        <v>512</v>
      </c>
      <c r="E95" s="255"/>
      <c r="F95" s="255"/>
      <c r="G95" s="255"/>
      <c r="H95" s="255"/>
      <c r="I95" s="255"/>
      <c r="J95" s="255"/>
      <c r="K95" s="255"/>
      <c r="L95" s="255"/>
      <c r="M95" s="255">
        <f t="shared" si="3"/>
        <v>0</v>
      </c>
      <c r="N95" s="256"/>
      <c r="O95" s="532">
        <f t="shared" ref="O95:O139" si="4">J95/139.59</f>
        <v>0</v>
      </c>
      <c r="P95" s="257"/>
      <c r="Q95" s="9"/>
      <c r="R95" s="9"/>
    </row>
    <row r="96" spans="1:18">
      <c r="A96" s="260">
        <v>2009</v>
      </c>
      <c r="B96" s="252">
        <v>40906</v>
      </c>
      <c r="C96" s="253" t="s">
        <v>236</v>
      </c>
      <c r="D96" s="254" t="s">
        <v>512</v>
      </c>
      <c r="E96" s="255"/>
      <c r="F96" s="255"/>
      <c r="G96" s="255"/>
      <c r="H96" s="255"/>
      <c r="I96" s="255"/>
      <c r="J96" s="255"/>
      <c r="K96" s="255"/>
      <c r="L96" s="255"/>
      <c r="M96" s="255">
        <f t="shared" si="3"/>
        <v>0</v>
      </c>
      <c r="N96" s="256"/>
      <c r="O96" s="532">
        <f t="shared" si="4"/>
        <v>0</v>
      </c>
      <c r="P96" s="257"/>
      <c r="Q96" s="9"/>
      <c r="R96" s="9"/>
    </row>
    <row r="97" spans="1:18">
      <c r="A97" s="260">
        <v>1012</v>
      </c>
      <c r="B97" s="252">
        <v>4091</v>
      </c>
      <c r="C97" s="253" t="s">
        <v>226</v>
      </c>
      <c r="D97" s="254" t="s">
        <v>512</v>
      </c>
      <c r="E97" s="255"/>
      <c r="F97" s="255"/>
      <c r="G97" s="255"/>
      <c r="H97" s="255"/>
      <c r="I97" s="255"/>
      <c r="J97" s="255"/>
      <c r="K97" s="255"/>
      <c r="L97" s="255"/>
      <c r="M97" s="255">
        <f t="shared" si="3"/>
        <v>0</v>
      </c>
      <c r="N97" s="256"/>
      <c r="O97" s="532">
        <f t="shared" si="4"/>
        <v>0</v>
      </c>
      <c r="P97" s="257"/>
      <c r="Q97" s="9"/>
      <c r="R97" s="9"/>
    </row>
    <row r="98" spans="1:18">
      <c r="A98" s="424">
        <v>1012</v>
      </c>
      <c r="B98" s="420">
        <v>409100</v>
      </c>
      <c r="C98" s="421" t="s">
        <v>519</v>
      </c>
      <c r="D98" s="254" t="s">
        <v>511</v>
      </c>
      <c r="E98" s="255"/>
      <c r="F98" s="255"/>
      <c r="G98" s="255"/>
      <c r="H98" s="255"/>
      <c r="I98" s="255"/>
      <c r="J98" s="255"/>
      <c r="K98" s="255"/>
      <c r="L98" s="255"/>
      <c r="M98" s="255">
        <f t="shared" si="3"/>
        <v>0</v>
      </c>
      <c r="N98" s="256"/>
      <c r="O98" s="532">
        <f t="shared" si="4"/>
        <v>0</v>
      </c>
      <c r="P98" s="257"/>
      <c r="Q98" s="9"/>
      <c r="R98" s="9"/>
    </row>
    <row r="99" spans="1:18">
      <c r="A99" s="260">
        <v>2009</v>
      </c>
      <c r="B99" s="252">
        <v>4188</v>
      </c>
      <c r="C99" s="253" t="s">
        <v>237</v>
      </c>
      <c r="D99" s="254" t="s">
        <v>513</v>
      </c>
      <c r="E99" s="255"/>
      <c r="F99" s="255"/>
      <c r="G99" s="255"/>
      <c r="H99" s="255"/>
      <c r="I99" s="255"/>
      <c r="J99" s="255"/>
      <c r="K99" s="255"/>
      <c r="L99" s="255"/>
      <c r="M99" s="255">
        <f t="shared" si="3"/>
        <v>0</v>
      </c>
      <c r="N99" s="256"/>
      <c r="O99" s="532">
        <f t="shared" si="4"/>
        <v>0</v>
      </c>
      <c r="P99" s="257"/>
      <c r="Q99" s="9"/>
      <c r="R99" s="9"/>
    </row>
    <row r="100" spans="1:18">
      <c r="A100" s="260">
        <v>2009</v>
      </c>
      <c r="B100" s="252">
        <v>4189</v>
      </c>
      <c r="C100" s="253" t="s">
        <v>238</v>
      </c>
      <c r="D100" s="254" t="s">
        <v>513</v>
      </c>
      <c r="E100" s="255"/>
      <c r="F100" s="255"/>
      <c r="G100" s="255"/>
      <c r="H100" s="255"/>
      <c r="I100" s="255"/>
      <c r="J100" s="255"/>
      <c r="K100" s="255"/>
      <c r="L100" s="255"/>
      <c r="M100" s="255">
        <f t="shared" si="3"/>
        <v>0</v>
      </c>
      <c r="N100" s="256"/>
      <c r="O100" s="532">
        <f t="shared" si="4"/>
        <v>0</v>
      </c>
      <c r="P100" s="257"/>
      <c r="Q100" s="9"/>
      <c r="R100" s="9"/>
    </row>
    <row r="101" spans="1:18">
      <c r="A101" s="260">
        <v>2009</v>
      </c>
      <c r="B101" s="252">
        <v>419</v>
      </c>
      <c r="C101" s="253" t="s">
        <v>239</v>
      </c>
      <c r="D101" s="254" t="s">
        <v>511</v>
      </c>
      <c r="E101" s="255"/>
      <c r="F101" s="255"/>
      <c r="G101" s="255"/>
      <c r="H101" s="255"/>
      <c r="I101" s="255"/>
      <c r="J101" s="255"/>
      <c r="K101" s="255"/>
      <c r="L101" s="255"/>
      <c r="M101" s="255">
        <f t="shared" si="3"/>
        <v>0</v>
      </c>
      <c r="N101" s="256"/>
      <c r="O101" s="532">
        <f t="shared" si="4"/>
        <v>0</v>
      </c>
      <c r="P101" s="257"/>
      <c r="Q101" s="9"/>
      <c r="R101" s="9"/>
    </row>
    <row r="102" spans="1:18">
      <c r="A102" s="260">
        <v>2009</v>
      </c>
      <c r="B102" s="252">
        <v>4192</v>
      </c>
      <c r="C102" s="253" t="s">
        <v>240</v>
      </c>
      <c r="D102" s="254" t="s">
        <v>512</v>
      </c>
      <c r="E102" s="255"/>
      <c r="F102" s="255"/>
      <c r="G102" s="255"/>
      <c r="H102" s="255"/>
      <c r="I102" s="255"/>
      <c r="J102" s="255"/>
      <c r="K102" s="255"/>
      <c r="L102" s="255"/>
      <c r="M102" s="255">
        <f t="shared" si="3"/>
        <v>0</v>
      </c>
      <c r="N102" s="256"/>
      <c r="O102" s="532">
        <f t="shared" si="4"/>
        <v>0</v>
      </c>
      <c r="P102" s="257"/>
      <c r="Q102" s="9"/>
      <c r="R102" s="9"/>
    </row>
    <row r="103" spans="1:18">
      <c r="A103" s="260">
        <v>2009</v>
      </c>
      <c r="B103" s="252">
        <v>4193</v>
      </c>
      <c r="C103" s="253" t="s">
        <v>241</v>
      </c>
      <c r="D103" s="254" t="s">
        <v>512</v>
      </c>
      <c r="E103" s="255"/>
      <c r="F103" s="255"/>
      <c r="G103" s="255"/>
      <c r="H103" s="255"/>
      <c r="I103" s="255"/>
      <c r="J103" s="255"/>
      <c r="K103" s="255"/>
      <c r="L103" s="255"/>
      <c r="M103" s="255">
        <f t="shared" si="3"/>
        <v>0</v>
      </c>
      <c r="N103" s="256"/>
      <c r="O103" s="532">
        <f t="shared" si="4"/>
        <v>0</v>
      </c>
      <c r="P103" s="257"/>
      <c r="Q103" s="9"/>
      <c r="R103" s="9"/>
    </row>
    <row r="104" spans="1:18">
      <c r="A104" s="260">
        <v>2009</v>
      </c>
      <c r="B104" s="252">
        <v>4194</v>
      </c>
      <c r="C104" s="253" t="s">
        <v>242</v>
      </c>
      <c r="D104" s="254" t="s">
        <v>511</v>
      </c>
      <c r="E104" s="255"/>
      <c r="F104" s="255"/>
      <c r="G104" s="255"/>
      <c r="H104" s="255"/>
      <c r="I104" s="255"/>
      <c r="J104" s="255"/>
      <c r="K104" s="255"/>
      <c r="L104" s="255"/>
      <c r="M104" s="255">
        <f t="shared" si="3"/>
        <v>0</v>
      </c>
      <c r="N104" s="256"/>
      <c r="O104" s="532">
        <f t="shared" si="4"/>
        <v>0</v>
      </c>
      <c r="P104" s="257"/>
      <c r="Q104" s="9"/>
      <c r="R104" s="9"/>
    </row>
    <row r="105" spans="1:18">
      <c r="A105" s="260">
        <v>2009</v>
      </c>
      <c r="B105" s="252">
        <v>4195</v>
      </c>
      <c r="C105" s="253" t="s">
        <v>243</v>
      </c>
      <c r="D105" s="254" t="s">
        <v>512</v>
      </c>
      <c r="E105" s="255"/>
      <c r="F105" s="255"/>
      <c r="G105" s="255"/>
      <c r="H105" s="255"/>
      <c r="I105" s="255"/>
      <c r="J105" s="255"/>
      <c r="K105" s="255"/>
      <c r="L105" s="255"/>
      <c r="M105" s="255">
        <f t="shared" si="3"/>
        <v>0</v>
      </c>
      <c r="N105" s="256"/>
      <c r="O105" s="532">
        <f t="shared" si="4"/>
        <v>0</v>
      </c>
      <c r="P105" s="257"/>
      <c r="Q105" s="9"/>
      <c r="R105" s="9"/>
    </row>
    <row r="106" spans="1:18">
      <c r="A106" s="260">
        <v>2009</v>
      </c>
      <c r="B106" s="252">
        <v>4196</v>
      </c>
      <c r="C106" s="253" t="s">
        <v>244</v>
      </c>
      <c r="D106" s="254" t="s">
        <v>512</v>
      </c>
      <c r="E106" s="255"/>
      <c r="F106" s="255"/>
      <c r="G106" s="255"/>
      <c r="H106" s="255"/>
      <c r="I106" s="255"/>
      <c r="J106" s="255"/>
      <c r="K106" s="255"/>
      <c r="L106" s="255"/>
      <c r="M106" s="255">
        <f t="shared" si="3"/>
        <v>0</v>
      </c>
      <c r="N106" s="256"/>
      <c r="O106" s="532">
        <f t="shared" si="4"/>
        <v>0</v>
      </c>
      <c r="P106" s="257"/>
      <c r="Q106" s="9"/>
      <c r="R106" s="9"/>
    </row>
    <row r="107" spans="1:18">
      <c r="A107" s="260">
        <v>2009</v>
      </c>
      <c r="B107" s="252">
        <v>4197</v>
      </c>
      <c r="C107" s="253" t="s">
        <v>245</v>
      </c>
      <c r="D107" s="254" t="s">
        <v>512</v>
      </c>
      <c r="E107" s="255"/>
      <c r="F107" s="255"/>
      <c r="G107" s="255"/>
      <c r="H107" s="255"/>
      <c r="I107" s="255"/>
      <c r="J107" s="255"/>
      <c r="K107" s="255"/>
      <c r="L107" s="255"/>
      <c r="M107" s="255">
        <f t="shared" si="3"/>
        <v>0</v>
      </c>
      <c r="N107" s="256"/>
      <c r="O107" s="532">
        <f t="shared" si="4"/>
        <v>0</v>
      </c>
      <c r="P107" s="257"/>
      <c r="Q107" s="9"/>
      <c r="R107" s="9"/>
    </row>
    <row r="108" spans="1:18">
      <c r="A108" s="260">
        <v>2009</v>
      </c>
      <c r="B108" s="252">
        <v>4198</v>
      </c>
      <c r="C108" s="253" t="s">
        <v>246</v>
      </c>
      <c r="D108" s="254" t="s">
        <v>512</v>
      </c>
      <c r="E108" s="255"/>
      <c r="F108" s="255"/>
      <c r="G108" s="255"/>
      <c r="H108" s="255"/>
      <c r="I108" s="255"/>
      <c r="J108" s="255"/>
      <c r="K108" s="255"/>
      <c r="L108" s="255"/>
      <c r="M108" s="255">
        <f t="shared" si="3"/>
        <v>0</v>
      </c>
      <c r="N108" s="256"/>
      <c r="O108" s="532">
        <f t="shared" si="4"/>
        <v>0</v>
      </c>
      <c r="P108" s="257"/>
      <c r="Q108" s="9"/>
      <c r="R108" s="9"/>
    </row>
    <row r="109" spans="1:18">
      <c r="A109" s="260">
        <v>2009</v>
      </c>
      <c r="B109" s="252">
        <v>4199</v>
      </c>
      <c r="C109" s="253" t="s">
        <v>247</v>
      </c>
      <c r="D109" s="254" t="s">
        <v>511</v>
      </c>
      <c r="E109" s="255"/>
      <c r="F109" s="255"/>
      <c r="G109" s="255"/>
      <c r="H109" s="255"/>
      <c r="I109" s="434"/>
      <c r="J109" s="255"/>
      <c r="K109" s="255"/>
      <c r="L109" s="255"/>
      <c r="M109" s="255">
        <f t="shared" si="3"/>
        <v>0</v>
      </c>
      <c r="N109" s="256"/>
      <c r="O109" s="532">
        <f t="shared" si="4"/>
        <v>0</v>
      </c>
      <c r="P109" s="257"/>
      <c r="Q109" s="9"/>
      <c r="R109" s="9"/>
    </row>
    <row r="110" spans="1:18">
      <c r="A110" s="260">
        <v>1005</v>
      </c>
      <c r="B110" s="420">
        <v>42101</v>
      </c>
      <c r="C110" s="421" t="s">
        <v>248</v>
      </c>
      <c r="D110" s="422" t="s">
        <v>511</v>
      </c>
      <c r="E110" s="255"/>
      <c r="F110" s="255"/>
      <c r="G110" s="255"/>
      <c r="H110" s="255"/>
      <c r="J110" s="531"/>
      <c r="K110" s="255"/>
      <c r="L110" s="255"/>
      <c r="M110" s="255">
        <f t="shared" si="3"/>
        <v>0</v>
      </c>
      <c r="N110" s="256">
        <v>3005</v>
      </c>
      <c r="O110" s="532">
        <f t="shared" si="4"/>
        <v>0</v>
      </c>
      <c r="P110" s="257"/>
      <c r="Q110" s="9"/>
      <c r="R110" s="9"/>
    </row>
    <row r="111" spans="1:18">
      <c r="A111" s="260">
        <v>1005</v>
      </c>
      <c r="B111" s="252">
        <v>423</v>
      </c>
      <c r="C111" s="253" t="s">
        <v>249</v>
      </c>
      <c r="D111" s="254" t="s">
        <v>511</v>
      </c>
      <c r="E111" s="255"/>
      <c r="F111" s="255"/>
      <c r="G111" s="255"/>
      <c r="H111" s="255"/>
      <c r="I111" s="531">
        <f>28.96*139.59</f>
        <v>4042.5264000000002</v>
      </c>
      <c r="J111" s="255"/>
      <c r="K111" s="255"/>
      <c r="L111" s="255"/>
      <c r="M111" s="255">
        <f t="shared" si="3"/>
        <v>4042.5264000000002</v>
      </c>
      <c r="N111" s="256">
        <v>2024</v>
      </c>
      <c r="O111" s="532">
        <f t="shared" si="4"/>
        <v>0</v>
      </c>
      <c r="P111" s="257"/>
      <c r="Q111" s="9"/>
      <c r="R111" s="9"/>
    </row>
    <row r="112" spans="1:18">
      <c r="A112" s="260">
        <v>1005</v>
      </c>
      <c r="B112" s="252">
        <v>4230</v>
      </c>
      <c r="C112" s="253" t="s">
        <v>525</v>
      </c>
      <c r="D112" s="254" t="s">
        <v>511</v>
      </c>
      <c r="E112" s="255"/>
      <c r="F112" s="255"/>
      <c r="G112" s="255"/>
      <c r="H112" s="255"/>
      <c r="I112" s="255"/>
      <c r="J112" s="255"/>
      <c r="K112" s="255"/>
      <c r="L112" s="255"/>
      <c r="M112" s="255">
        <f t="shared" si="3"/>
        <v>0</v>
      </c>
      <c r="N112" s="256"/>
      <c r="O112" s="532">
        <f t="shared" si="4"/>
        <v>0</v>
      </c>
      <c r="P112" s="257"/>
      <c r="Q112" s="9"/>
      <c r="R112" s="9"/>
    </row>
    <row r="113" spans="1:18">
      <c r="A113" s="260">
        <v>1005</v>
      </c>
      <c r="B113" s="252">
        <v>4231</v>
      </c>
      <c r="C113" s="253" t="s">
        <v>526</v>
      </c>
      <c r="D113" s="254" t="s">
        <v>511</v>
      </c>
      <c r="E113" s="255"/>
      <c r="F113" s="255"/>
      <c r="G113" s="255"/>
      <c r="H113" s="255"/>
      <c r="I113" s="255"/>
      <c r="J113" s="255"/>
      <c r="K113" s="255"/>
      <c r="L113" s="255"/>
      <c r="M113" s="255">
        <f t="shared" si="3"/>
        <v>0</v>
      </c>
      <c r="N113" s="256"/>
      <c r="O113" s="532">
        <f t="shared" si="4"/>
        <v>0</v>
      </c>
      <c r="P113" s="257"/>
      <c r="Q113" s="9"/>
      <c r="R113" s="9"/>
    </row>
    <row r="114" spans="1:18">
      <c r="A114" s="260">
        <v>2007</v>
      </c>
      <c r="B114" s="420">
        <v>43101</v>
      </c>
      <c r="C114" s="421" t="s">
        <v>250</v>
      </c>
      <c r="D114" s="422" t="s">
        <v>511</v>
      </c>
      <c r="E114" s="255"/>
      <c r="F114" s="255"/>
      <c r="G114" s="255"/>
      <c r="H114" s="255"/>
      <c r="I114" s="403"/>
      <c r="J114" s="531">
        <f>973.76*139.59</f>
        <v>135927.15840000001</v>
      </c>
      <c r="K114" s="255"/>
      <c r="L114" s="255"/>
      <c r="M114" s="255">
        <f t="shared" si="3"/>
        <v>-135927.15840000001</v>
      </c>
      <c r="N114" s="256">
        <v>3006</v>
      </c>
      <c r="O114" s="532">
        <f t="shared" si="4"/>
        <v>973.7600000000001</v>
      </c>
      <c r="P114" s="257"/>
      <c r="Q114" s="9"/>
      <c r="R114" s="9"/>
    </row>
    <row r="115" spans="1:18">
      <c r="A115" s="260">
        <v>2007</v>
      </c>
      <c r="B115" s="420">
        <v>44201</v>
      </c>
      <c r="C115" s="421" t="s">
        <v>251</v>
      </c>
      <c r="D115" s="422" t="s">
        <v>511</v>
      </c>
      <c r="E115" s="255"/>
      <c r="F115" s="255"/>
      <c r="G115" s="255"/>
      <c r="H115" s="255"/>
      <c r="I115" s="403"/>
      <c r="J115" s="531">
        <f>704.11*139.59</f>
        <v>98286.714900000006</v>
      </c>
      <c r="K115" s="255"/>
      <c r="L115" s="255"/>
      <c r="M115" s="255">
        <f t="shared" si="3"/>
        <v>-98286.714900000006</v>
      </c>
      <c r="N115" s="256">
        <v>3007</v>
      </c>
      <c r="O115" s="532">
        <f t="shared" si="4"/>
        <v>704.11</v>
      </c>
      <c r="P115" s="257"/>
      <c r="Q115" s="9"/>
      <c r="R115" s="9"/>
    </row>
    <row r="116" spans="1:18">
      <c r="A116" s="260">
        <v>2007</v>
      </c>
      <c r="B116" s="420">
        <v>4421</v>
      </c>
      <c r="C116" s="421" t="s">
        <v>41</v>
      </c>
      <c r="D116" s="422" t="s">
        <v>511</v>
      </c>
      <c r="E116" s="255"/>
      <c r="F116" s="255"/>
      <c r="G116" s="255"/>
      <c r="H116" s="255"/>
      <c r="I116" s="403"/>
      <c r="J116" s="531">
        <f>39.56*139.59</f>
        <v>5522.1804000000002</v>
      </c>
      <c r="K116" s="255"/>
      <c r="L116" s="255"/>
      <c r="M116" s="255">
        <f t="shared" si="3"/>
        <v>-5522.1804000000002</v>
      </c>
      <c r="N116" s="256">
        <v>3008</v>
      </c>
      <c r="O116" s="532">
        <f t="shared" si="4"/>
        <v>39.56</v>
      </c>
      <c r="P116" s="257"/>
      <c r="Q116" s="9"/>
      <c r="R116" s="9"/>
    </row>
    <row r="117" spans="1:18">
      <c r="A117" s="260">
        <v>2007</v>
      </c>
      <c r="B117" s="252">
        <v>441</v>
      </c>
      <c r="C117" s="253" t="s">
        <v>527</v>
      </c>
      <c r="D117" s="254" t="s">
        <v>511</v>
      </c>
      <c r="E117" s="255"/>
      <c r="F117" s="255"/>
      <c r="G117" s="255"/>
      <c r="H117" s="255"/>
      <c r="I117" s="255"/>
      <c r="J117" s="255"/>
      <c r="K117" s="255"/>
      <c r="L117" s="255"/>
      <c r="M117" s="255">
        <f t="shared" si="3"/>
        <v>0</v>
      </c>
      <c r="N117" s="256"/>
      <c r="O117" s="532">
        <f t="shared" si="4"/>
        <v>0</v>
      </c>
      <c r="P117" s="257"/>
      <c r="Q117" s="9"/>
      <c r="R117" s="9"/>
    </row>
    <row r="118" spans="1:18">
      <c r="A118" s="260">
        <v>1005</v>
      </c>
      <c r="B118" s="252">
        <v>444</v>
      </c>
      <c r="C118" s="253" t="s">
        <v>252</v>
      </c>
      <c r="D118" s="254" t="s">
        <v>511</v>
      </c>
      <c r="E118" s="255"/>
      <c r="F118" s="255"/>
      <c r="G118" s="255"/>
      <c r="H118" s="255"/>
      <c r="I118" s="255"/>
      <c r="J118" s="255"/>
      <c r="K118" s="255"/>
      <c r="L118" s="255"/>
      <c r="M118" s="255">
        <f t="shared" si="3"/>
        <v>0</v>
      </c>
      <c r="N118" s="256"/>
      <c r="O118" s="532">
        <f t="shared" si="4"/>
        <v>0</v>
      </c>
      <c r="P118" s="257"/>
      <c r="Q118" s="9"/>
      <c r="R118" s="9"/>
    </row>
    <row r="119" spans="1:18">
      <c r="A119" s="260">
        <v>1005</v>
      </c>
      <c r="B119" s="252">
        <v>4443</v>
      </c>
      <c r="C119" s="253" t="s">
        <v>253</v>
      </c>
      <c r="D119" s="254" t="s">
        <v>511</v>
      </c>
      <c r="E119" s="255"/>
      <c r="F119" s="255"/>
      <c r="G119" s="255"/>
      <c r="H119" s="255"/>
      <c r="I119" s="255"/>
      <c r="J119" s="255"/>
      <c r="K119" s="255"/>
      <c r="L119" s="255"/>
      <c r="M119" s="255">
        <f t="shared" si="3"/>
        <v>0</v>
      </c>
      <c r="N119" s="256"/>
      <c r="O119" s="532">
        <f t="shared" si="4"/>
        <v>0</v>
      </c>
      <c r="P119" s="257"/>
      <c r="Q119" s="9"/>
      <c r="R119" s="9"/>
    </row>
    <row r="120" spans="1:18">
      <c r="A120" s="260">
        <v>2007</v>
      </c>
      <c r="B120" s="420">
        <v>4444</v>
      </c>
      <c r="C120" s="421" t="s">
        <v>1006</v>
      </c>
      <c r="D120" s="422" t="s">
        <v>511</v>
      </c>
      <c r="E120" s="255"/>
      <c r="F120" s="255"/>
      <c r="G120" s="255"/>
      <c r="H120" s="255"/>
      <c r="I120" s="403"/>
      <c r="J120" s="531">
        <f>37.5*139.59</f>
        <v>5234.625</v>
      </c>
      <c r="K120" s="255"/>
      <c r="L120" s="255"/>
      <c r="M120" s="255">
        <f t="shared" si="3"/>
        <v>-5234.625</v>
      </c>
      <c r="N120" s="256">
        <v>3333</v>
      </c>
      <c r="O120" s="532">
        <f t="shared" si="4"/>
        <v>37.5</v>
      </c>
      <c r="P120" s="257"/>
      <c r="Q120" s="9"/>
      <c r="R120" s="9"/>
    </row>
    <row r="121" spans="1:18">
      <c r="A121" s="260">
        <v>1005</v>
      </c>
      <c r="B121" s="252">
        <v>4445</v>
      </c>
      <c r="C121" s="253" t="s">
        <v>528</v>
      </c>
      <c r="D121" s="254" t="s">
        <v>511</v>
      </c>
      <c r="E121" s="255"/>
      <c r="F121" s="255"/>
      <c r="G121" s="255"/>
      <c r="H121" s="255"/>
      <c r="I121" s="255"/>
      <c r="J121" s="255"/>
      <c r="K121" s="255"/>
      <c r="L121" s="255"/>
      <c r="M121" s="255">
        <f t="shared" si="3"/>
        <v>0</v>
      </c>
      <c r="N121" s="256"/>
      <c r="O121" s="532">
        <f t="shared" si="4"/>
        <v>0</v>
      </c>
      <c r="P121" s="257"/>
      <c r="Q121" s="9"/>
      <c r="R121" s="9"/>
    </row>
    <row r="122" spans="1:18">
      <c r="A122" s="260">
        <v>2007</v>
      </c>
      <c r="B122" s="252">
        <v>4454</v>
      </c>
      <c r="C122" s="253" t="s">
        <v>255</v>
      </c>
      <c r="D122" s="254" t="s">
        <v>511</v>
      </c>
      <c r="E122" s="255"/>
      <c r="F122" s="255"/>
      <c r="G122" s="255"/>
      <c r="H122" s="255"/>
      <c r="I122" s="255"/>
      <c r="J122" s="255"/>
      <c r="K122" s="255"/>
      <c r="L122" s="255"/>
      <c r="M122" s="255">
        <f t="shared" si="3"/>
        <v>0</v>
      </c>
      <c r="N122" s="256"/>
      <c r="O122" s="532">
        <f t="shared" si="4"/>
        <v>0</v>
      </c>
      <c r="P122" s="257"/>
      <c r="Q122" s="9"/>
      <c r="R122" s="9"/>
    </row>
    <row r="123" spans="1:18">
      <c r="A123" s="260">
        <v>2007</v>
      </c>
      <c r="B123" s="252">
        <v>4456</v>
      </c>
      <c r="C123" s="253" t="s">
        <v>256</v>
      </c>
      <c r="D123" s="254" t="s">
        <v>511</v>
      </c>
      <c r="E123" s="255"/>
      <c r="F123" s="255"/>
      <c r="G123" s="255"/>
      <c r="H123" s="255"/>
      <c r="I123" s="255"/>
      <c r="J123" s="255"/>
      <c r="K123" s="255"/>
      <c r="L123" s="255"/>
      <c r="M123" s="255">
        <f t="shared" si="3"/>
        <v>0</v>
      </c>
      <c r="N123" s="256"/>
      <c r="O123" s="532">
        <f t="shared" si="4"/>
        <v>0</v>
      </c>
      <c r="P123" s="257"/>
      <c r="Q123" s="9"/>
      <c r="R123" s="9"/>
    </row>
    <row r="124" spans="1:18">
      <c r="A124" s="260">
        <v>2007</v>
      </c>
      <c r="B124" s="252">
        <v>44560</v>
      </c>
      <c r="C124" s="253" t="s">
        <v>529</v>
      </c>
      <c r="D124" s="254" t="s">
        <v>511</v>
      </c>
      <c r="E124" s="255"/>
      <c r="F124" s="255"/>
      <c r="G124" s="255"/>
      <c r="H124" s="255"/>
      <c r="I124" s="255"/>
      <c r="J124" s="255"/>
      <c r="K124" s="255"/>
      <c r="L124" s="255"/>
      <c r="M124" s="255">
        <f t="shared" si="3"/>
        <v>0</v>
      </c>
      <c r="N124" s="256"/>
      <c r="O124" s="532">
        <f t="shared" si="4"/>
        <v>0</v>
      </c>
      <c r="P124" s="257"/>
      <c r="Q124" s="9"/>
      <c r="R124" s="9"/>
    </row>
    <row r="125" spans="1:18">
      <c r="A125" s="260">
        <v>2007</v>
      </c>
      <c r="B125" s="252">
        <v>4457</v>
      </c>
      <c r="C125" s="253" t="s">
        <v>257</v>
      </c>
      <c r="D125" s="254" t="s">
        <v>511</v>
      </c>
      <c r="E125" s="255"/>
      <c r="F125" s="255"/>
      <c r="G125" s="255"/>
      <c r="H125" s="255"/>
      <c r="I125" s="255"/>
      <c r="J125" s="255"/>
      <c r="K125" s="255"/>
      <c r="L125" s="255"/>
      <c r="M125" s="255">
        <f t="shared" si="3"/>
        <v>0</v>
      </c>
      <c r="N125" s="256"/>
      <c r="O125" s="532">
        <f t="shared" si="4"/>
        <v>0</v>
      </c>
      <c r="P125" s="257"/>
      <c r="Q125" s="9"/>
      <c r="R125" s="9"/>
    </row>
    <row r="126" spans="1:18">
      <c r="A126" s="260">
        <v>2007</v>
      </c>
      <c r="B126" s="252">
        <v>4458</v>
      </c>
      <c r="C126" s="253" t="s">
        <v>258</v>
      </c>
      <c r="D126" s="254" t="s">
        <v>511</v>
      </c>
      <c r="E126" s="255"/>
      <c r="F126" s="255"/>
      <c r="G126" s="255"/>
      <c r="H126" s="255"/>
      <c r="I126" s="255"/>
      <c r="J126" s="255"/>
      <c r="K126" s="255"/>
      <c r="L126" s="255"/>
      <c r="M126" s="255">
        <f t="shared" si="3"/>
        <v>0</v>
      </c>
      <c r="N126" s="256"/>
      <c r="O126" s="532">
        <f t="shared" si="4"/>
        <v>0</v>
      </c>
      <c r="P126" s="257"/>
      <c r="Q126" s="9"/>
      <c r="R126" s="9"/>
    </row>
    <row r="127" spans="1:18">
      <c r="A127" s="260">
        <v>2007</v>
      </c>
      <c r="B127" s="252">
        <v>4453</v>
      </c>
      <c r="C127" s="253" t="s">
        <v>259</v>
      </c>
      <c r="D127" s="254" t="s">
        <v>511</v>
      </c>
      <c r="E127" s="255"/>
      <c r="F127" s="255"/>
      <c r="G127" s="255"/>
      <c r="H127" s="255"/>
      <c r="I127" s="255"/>
      <c r="J127" s="255"/>
      <c r="K127" s="255"/>
      <c r="L127" s="255"/>
      <c r="M127" s="255">
        <f t="shared" si="3"/>
        <v>0</v>
      </c>
      <c r="N127" s="256"/>
      <c r="O127" s="532">
        <f t="shared" si="4"/>
        <v>0</v>
      </c>
      <c r="P127" s="257"/>
      <c r="Q127" s="9"/>
      <c r="R127" s="9"/>
    </row>
    <row r="128" spans="1:18">
      <c r="A128" s="260">
        <v>2007</v>
      </c>
      <c r="B128" s="252">
        <v>447</v>
      </c>
      <c r="C128" s="253" t="s">
        <v>260</v>
      </c>
      <c r="D128" s="254" t="s">
        <v>511</v>
      </c>
      <c r="E128" s="255"/>
      <c r="F128" s="255"/>
      <c r="G128" s="255"/>
      <c r="H128" s="255"/>
      <c r="I128" s="255"/>
      <c r="J128" s="255"/>
      <c r="K128" s="255"/>
      <c r="L128" s="255"/>
      <c r="M128" s="255">
        <f t="shared" si="3"/>
        <v>0</v>
      </c>
      <c r="N128" s="256"/>
      <c r="O128" s="532">
        <f t="shared" si="4"/>
        <v>0</v>
      </c>
      <c r="P128" s="257"/>
      <c r="Q128" s="9"/>
      <c r="R128" s="9"/>
    </row>
    <row r="129" spans="1:18">
      <c r="A129" s="260">
        <v>2007</v>
      </c>
      <c r="B129" s="252">
        <v>456</v>
      </c>
      <c r="C129" s="253" t="s">
        <v>261</v>
      </c>
      <c r="D129" s="254" t="s">
        <v>511</v>
      </c>
      <c r="E129" s="255"/>
      <c r="F129" s="255"/>
      <c r="G129" s="255"/>
      <c r="H129" s="255"/>
      <c r="I129" s="255"/>
      <c r="J129" s="255"/>
      <c r="K129" s="255"/>
      <c r="L129" s="255"/>
      <c r="M129" s="255">
        <f t="shared" si="3"/>
        <v>0</v>
      </c>
      <c r="N129" s="256"/>
      <c r="O129" s="532">
        <f t="shared" si="4"/>
        <v>0</v>
      </c>
      <c r="P129" s="257"/>
      <c r="Q129" s="9"/>
      <c r="R129" s="9"/>
    </row>
    <row r="130" spans="1:18">
      <c r="A130" s="260">
        <v>2023</v>
      </c>
      <c r="B130" s="252">
        <v>45601</v>
      </c>
      <c r="C130" s="253" t="s">
        <v>262</v>
      </c>
      <c r="D130" s="254" t="s">
        <v>511</v>
      </c>
      <c r="E130" s="255"/>
      <c r="F130" s="255"/>
      <c r="G130" s="255"/>
      <c r="H130" s="255"/>
      <c r="I130" s="255"/>
      <c r="J130" s="255"/>
      <c r="K130" s="255"/>
      <c r="L130" s="255"/>
      <c r="M130" s="255">
        <f t="shared" si="3"/>
        <v>0</v>
      </c>
      <c r="N130" s="256"/>
      <c r="O130" s="532">
        <f t="shared" si="4"/>
        <v>0</v>
      </c>
      <c r="P130" s="257"/>
      <c r="Q130" s="9"/>
      <c r="R130" s="9"/>
    </row>
    <row r="131" spans="1:18">
      <c r="A131" s="260">
        <v>2023</v>
      </c>
      <c r="B131" s="252">
        <v>4561</v>
      </c>
      <c r="C131" s="253" t="s">
        <v>263</v>
      </c>
      <c r="D131" s="254" t="s">
        <v>512</v>
      </c>
      <c r="E131" s="255"/>
      <c r="F131" s="255"/>
      <c r="G131" s="255"/>
      <c r="H131" s="255"/>
      <c r="I131" s="255"/>
      <c r="J131" s="255"/>
      <c r="K131" s="255"/>
      <c r="L131" s="255"/>
      <c r="M131" s="255">
        <f t="shared" si="3"/>
        <v>0</v>
      </c>
      <c r="N131" s="256"/>
      <c r="O131" s="532">
        <f t="shared" si="4"/>
        <v>0</v>
      </c>
      <c r="P131" s="257"/>
      <c r="Q131" s="9"/>
      <c r="R131" s="9"/>
    </row>
    <row r="132" spans="1:18">
      <c r="A132" s="260">
        <v>2023</v>
      </c>
      <c r="B132" s="252">
        <v>4562</v>
      </c>
      <c r="C132" s="253" t="s">
        <v>264</v>
      </c>
      <c r="D132" s="254" t="s">
        <v>513</v>
      </c>
      <c r="E132" s="255"/>
      <c r="F132" s="255"/>
      <c r="G132" s="255"/>
      <c r="H132" s="255"/>
      <c r="I132" s="255"/>
      <c r="J132" s="255"/>
      <c r="K132" s="255"/>
      <c r="L132" s="255"/>
      <c r="M132" s="255">
        <f t="shared" si="3"/>
        <v>0</v>
      </c>
      <c r="N132" s="256"/>
      <c r="O132" s="532">
        <f t="shared" si="4"/>
        <v>0</v>
      </c>
      <c r="P132" s="257"/>
      <c r="Q132" s="9"/>
      <c r="R132" s="9"/>
    </row>
    <row r="133" spans="1:18">
      <c r="A133" s="260">
        <v>2023</v>
      </c>
      <c r="B133" s="252">
        <v>4568</v>
      </c>
      <c r="C133" s="253" t="s">
        <v>530</v>
      </c>
      <c r="D133" s="254" t="s">
        <v>512</v>
      </c>
      <c r="E133" s="255"/>
      <c r="F133" s="255"/>
      <c r="G133" s="255"/>
      <c r="H133" s="255"/>
      <c r="I133" s="255"/>
      <c r="J133" s="255"/>
      <c r="K133" s="255"/>
      <c r="L133" s="255"/>
      <c r="M133" s="255">
        <f t="shared" si="3"/>
        <v>0</v>
      </c>
      <c r="N133" s="256"/>
      <c r="O133" s="532">
        <f t="shared" si="4"/>
        <v>0</v>
      </c>
      <c r="P133" s="257"/>
      <c r="Q133" s="9"/>
      <c r="R133" s="9"/>
    </row>
    <row r="134" spans="1:18">
      <c r="A134" s="260">
        <v>2023</v>
      </c>
      <c r="B134" s="252">
        <v>467</v>
      </c>
      <c r="C134" s="253" t="s">
        <v>265</v>
      </c>
      <c r="D134" s="254" t="s">
        <v>511</v>
      </c>
      <c r="E134" s="255"/>
      <c r="F134" s="255"/>
      <c r="G134" s="255"/>
      <c r="H134" s="255"/>
      <c r="I134" s="255"/>
      <c r="J134" s="255"/>
      <c r="K134" s="255"/>
      <c r="L134" s="255"/>
      <c r="M134" s="255">
        <f t="shared" ref="M134:M161" si="5">(+I134-J134)+K134-L134</f>
        <v>0</v>
      </c>
      <c r="N134" s="256"/>
      <c r="O134" s="532">
        <f t="shared" si="4"/>
        <v>0</v>
      </c>
      <c r="P134" s="257"/>
      <c r="Q134" s="9"/>
      <c r="R134" s="9"/>
    </row>
    <row r="135" spans="1:18">
      <c r="A135" s="260">
        <v>1005</v>
      </c>
      <c r="B135" s="252">
        <v>4670</v>
      </c>
      <c r="C135" s="253" t="s">
        <v>266</v>
      </c>
      <c r="D135" s="254" t="s">
        <v>511</v>
      </c>
      <c r="E135" s="255"/>
      <c r="F135" s="255"/>
      <c r="G135" s="255"/>
      <c r="H135" s="255"/>
      <c r="I135" s="255"/>
      <c r="J135" s="255"/>
      <c r="K135" s="255"/>
      <c r="L135" s="255"/>
      <c r="M135" s="255">
        <f t="shared" si="5"/>
        <v>0</v>
      </c>
      <c r="N135" s="256"/>
      <c r="O135" s="532">
        <f t="shared" si="4"/>
        <v>0</v>
      </c>
      <c r="P135" s="257"/>
      <c r="Q135" s="9"/>
      <c r="R135" s="9"/>
    </row>
    <row r="136" spans="1:18">
      <c r="A136" s="260">
        <v>1005</v>
      </c>
      <c r="B136" s="252">
        <v>46700</v>
      </c>
      <c r="C136" s="253" t="s">
        <v>531</v>
      </c>
      <c r="D136" s="254" t="s">
        <v>511</v>
      </c>
      <c r="E136" s="255"/>
      <c r="F136" s="255"/>
      <c r="G136" s="255"/>
      <c r="H136" s="255"/>
      <c r="I136" s="255"/>
      <c r="J136" s="255"/>
      <c r="K136" s="255"/>
      <c r="L136" s="255"/>
      <c r="M136" s="255">
        <f t="shared" si="5"/>
        <v>0</v>
      </c>
      <c r="N136" s="256"/>
      <c r="O136" s="532">
        <f t="shared" si="4"/>
        <v>0</v>
      </c>
      <c r="P136" s="257"/>
      <c r="Q136" s="9"/>
      <c r="R136" s="9"/>
    </row>
    <row r="137" spans="1:18">
      <c r="A137" s="260">
        <v>1005</v>
      </c>
      <c r="B137" s="252">
        <v>46701</v>
      </c>
      <c r="C137" s="253" t="s">
        <v>533</v>
      </c>
      <c r="D137" s="254" t="s">
        <v>511</v>
      </c>
      <c r="E137" s="255"/>
      <c r="F137" s="255"/>
      <c r="G137" s="255"/>
      <c r="H137" s="255"/>
      <c r="I137" s="255"/>
      <c r="J137" s="255"/>
      <c r="K137" s="255"/>
      <c r="L137" s="255"/>
      <c r="M137" s="255">
        <f t="shared" si="5"/>
        <v>0</v>
      </c>
      <c r="N137" s="256"/>
      <c r="O137" s="532">
        <f t="shared" si="4"/>
        <v>0</v>
      </c>
      <c r="P137" s="257"/>
      <c r="Q137" s="9"/>
      <c r="R137" s="9"/>
    </row>
    <row r="138" spans="1:18">
      <c r="A138" s="260">
        <v>1005</v>
      </c>
      <c r="B138" s="252">
        <v>46703</v>
      </c>
      <c r="C138" s="253" t="s">
        <v>267</v>
      </c>
      <c r="D138" s="254" t="s">
        <v>511</v>
      </c>
      <c r="E138" s="255"/>
      <c r="F138" s="255"/>
      <c r="G138" s="255"/>
      <c r="H138" s="255"/>
      <c r="I138" s="255"/>
      <c r="J138" s="255"/>
      <c r="K138" s="255"/>
      <c r="L138" s="255"/>
      <c r="M138" s="255">
        <f t="shared" si="5"/>
        <v>0</v>
      </c>
      <c r="N138" s="256"/>
      <c r="O138" s="532">
        <f t="shared" si="4"/>
        <v>0</v>
      </c>
      <c r="P138" s="257"/>
      <c r="Q138" s="9"/>
      <c r="R138" s="9"/>
    </row>
    <row r="139" spans="1:18">
      <c r="A139" s="260">
        <v>2044</v>
      </c>
      <c r="B139" s="420">
        <v>467002</v>
      </c>
      <c r="C139" s="421" t="s">
        <v>268</v>
      </c>
      <c r="D139" s="422" t="s">
        <v>512</v>
      </c>
      <c r="E139" s="255"/>
      <c r="F139" s="255"/>
      <c r="G139" s="255"/>
      <c r="H139" s="255"/>
      <c r="I139" s="403"/>
      <c r="J139" s="531">
        <f>280788.36*139.59</f>
        <v>39195247.172399998</v>
      </c>
      <c r="K139" s="255"/>
      <c r="L139" s="255"/>
      <c r="M139" s="255">
        <f t="shared" si="5"/>
        <v>-39195247.172399998</v>
      </c>
      <c r="N139" s="256"/>
      <c r="O139" s="532">
        <f t="shared" si="4"/>
        <v>280788.36</v>
      </c>
      <c r="P139" s="257"/>
      <c r="Q139" s="9"/>
      <c r="R139" s="9"/>
    </row>
    <row r="140" spans="1:18">
      <c r="A140" s="260">
        <v>1005</v>
      </c>
      <c r="B140" s="252">
        <v>4670020</v>
      </c>
      <c r="C140" s="253" t="s">
        <v>269</v>
      </c>
      <c r="D140" s="254" t="s">
        <v>512</v>
      </c>
      <c r="E140" s="255"/>
      <c r="F140" s="255"/>
      <c r="G140" s="255"/>
      <c r="H140" s="255"/>
      <c r="I140" s="255"/>
      <c r="J140" s="255"/>
      <c r="K140" s="255"/>
      <c r="L140" s="255"/>
      <c r="M140" s="255">
        <f t="shared" si="5"/>
        <v>0</v>
      </c>
      <c r="N140" s="256"/>
      <c r="O140" s="532">
        <f>J140/139.59</f>
        <v>0</v>
      </c>
      <c r="P140" s="257"/>
      <c r="Q140" s="9"/>
      <c r="R140" s="9"/>
    </row>
    <row r="141" spans="1:18">
      <c r="A141" s="260">
        <v>1005</v>
      </c>
      <c r="B141" s="252">
        <v>4670021</v>
      </c>
      <c r="C141" s="253" t="s">
        <v>532</v>
      </c>
      <c r="D141" s="254" t="s">
        <v>511</v>
      </c>
      <c r="E141" s="255"/>
      <c r="F141" s="255"/>
      <c r="G141" s="255"/>
      <c r="H141" s="255"/>
      <c r="I141" s="255"/>
      <c r="J141" s="255"/>
      <c r="K141" s="255"/>
      <c r="L141" s="255"/>
      <c r="M141" s="255">
        <f t="shared" si="5"/>
        <v>0</v>
      </c>
      <c r="N141" s="256"/>
      <c r="O141" s="532">
        <f t="shared" ref="O141:O160" si="6">J141/139.59</f>
        <v>0</v>
      </c>
      <c r="P141" s="257"/>
      <c r="Q141" s="9"/>
      <c r="R141" s="9"/>
    </row>
    <row r="142" spans="1:18">
      <c r="A142" s="260">
        <v>1005</v>
      </c>
      <c r="B142" s="252">
        <v>467003</v>
      </c>
      <c r="C142" s="253" t="s">
        <v>270</v>
      </c>
      <c r="D142" s="254" t="s">
        <v>511</v>
      </c>
      <c r="E142" s="255"/>
      <c r="F142" s="255"/>
      <c r="G142" s="255"/>
      <c r="H142" s="255"/>
      <c r="I142" s="255"/>
      <c r="J142" s="255"/>
      <c r="K142" s="255"/>
      <c r="L142" s="255"/>
      <c r="M142" s="255">
        <f t="shared" si="5"/>
        <v>0</v>
      </c>
      <c r="N142" s="256"/>
      <c r="O142" s="532">
        <f t="shared" si="6"/>
        <v>0</v>
      </c>
      <c r="P142" s="257"/>
      <c r="Q142" s="9"/>
      <c r="R142" s="9"/>
    </row>
    <row r="143" spans="1:18">
      <c r="A143" s="260">
        <v>1005</v>
      </c>
      <c r="B143" s="252">
        <v>467004</v>
      </c>
      <c r="C143" s="253" t="s">
        <v>271</v>
      </c>
      <c r="D143" s="254" t="s">
        <v>511</v>
      </c>
      <c r="E143" s="255"/>
      <c r="F143" s="255"/>
      <c r="G143" s="255"/>
      <c r="H143" s="255"/>
      <c r="I143" s="255"/>
      <c r="J143" s="255"/>
      <c r="K143" s="255"/>
      <c r="L143" s="255"/>
      <c r="M143" s="255">
        <f t="shared" si="5"/>
        <v>0</v>
      </c>
      <c r="N143" s="256"/>
      <c r="O143" s="532">
        <f t="shared" si="6"/>
        <v>0</v>
      </c>
      <c r="P143" s="257"/>
      <c r="Q143" s="9"/>
      <c r="R143" s="9"/>
    </row>
    <row r="144" spans="1:18">
      <c r="A144" s="260">
        <v>1005</v>
      </c>
      <c r="B144" s="252">
        <v>467005</v>
      </c>
      <c r="C144" s="253" t="s">
        <v>272</v>
      </c>
      <c r="D144" s="254" t="s">
        <v>511</v>
      </c>
      <c r="E144" s="255"/>
      <c r="F144" s="255"/>
      <c r="G144" s="255"/>
      <c r="H144" s="255"/>
      <c r="I144" s="255"/>
      <c r="J144" s="255"/>
      <c r="K144" s="255"/>
      <c r="L144" s="255"/>
      <c r="M144" s="255">
        <f t="shared" si="5"/>
        <v>0</v>
      </c>
      <c r="N144" s="256"/>
      <c r="O144" s="532">
        <f t="shared" si="6"/>
        <v>0</v>
      </c>
      <c r="P144" s="257"/>
      <c r="Q144" s="9"/>
      <c r="R144" s="9"/>
    </row>
    <row r="145" spans="1:18">
      <c r="A145" s="260">
        <v>1005</v>
      </c>
      <c r="B145" s="252">
        <v>467006</v>
      </c>
      <c r="C145" s="253" t="s">
        <v>273</v>
      </c>
      <c r="D145" s="254" t="s">
        <v>511</v>
      </c>
      <c r="E145" s="255"/>
      <c r="F145" s="255"/>
      <c r="G145" s="255"/>
      <c r="H145" s="255"/>
      <c r="I145" s="255"/>
      <c r="J145" s="255"/>
      <c r="K145" s="255"/>
      <c r="L145" s="255"/>
      <c r="M145" s="255">
        <f t="shared" si="5"/>
        <v>0</v>
      </c>
      <c r="N145" s="256"/>
      <c r="O145" s="532">
        <f t="shared" si="6"/>
        <v>0</v>
      </c>
      <c r="P145" s="257"/>
      <c r="Q145" s="9"/>
      <c r="R145" s="9"/>
    </row>
    <row r="146" spans="1:18">
      <c r="A146" s="260">
        <v>1005</v>
      </c>
      <c r="B146" s="252">
        <v>467007</v>
      </c>
      <c r="C146" s="253" t="s">
        <v>274</v>
      </c>
      <c r="D146" s="254" t="s">
        <v>511</v>
      </c>
      <c r="E146" s="255"/>
      <c r="F146" s="255"/>
      <c r="G146" s="255"/>
      <c r="H146" s="255"/>
      <c r="I146" s="255"/>
      <c r="J146" s="255"/>
      <c r="K146" s="255"/>
      <c r="L146" s="255"/>
      <c r="M146" s="255">
        <f t="shared" si="5"/>
        <v>0</v>
      </c>
      <c r="N146" s="256"/>
      <c r="O146" s="532">
        <f t="shared" si="6"/>
        <v>0</v>
      </c>
      <c r="P146" s="257"/>
      <c r="Q146" s="9"/>
      <c r="R146" s="9"/>
    </row>
    <row r="147" spans="1:18">
      <c r="A147" s="260">
        <v>1005</v>
      </c>
      <c r="B147" s="252">
        <v>467009</v>
      </c>
      <c r="C147" s="253" t="s">
        <v>275</v>
      </c>
      <c r="D147" s="254" t="s">
        <v>511</v>
      </c>
      <c r="E147" s="255"/>
      <c r="F147" s="255"/>
      <c r="G147" s="255"/>
      <c r="H147" s="255"/>
      <c r="I147" s="255"/>
      <c r="J147" s="255"/>
      <c r="K147" s="255"/>
      <c r="L147" s="255"/>
      <c r="M147" s="255">
        <f t="shared" si="5"/>
        <v>0</v>
      </c>
      <c r="N147" s="256"/>
      <c r="O147" s="532">
        <f t="shared" si="6"/>
        <v>0</v>
      </c>
      <c r="P147" s="257"/>
      <c r="Q147" s="9"/>
      <c r="R147" s="9"/>
    </row>
    <row r="148" spans="1:18">
      <c r="A148" s="260">
        <v>1005</v>
      </c>
      <c r="B148" s="252">
        <v>467010</v>
      </c>
      <c r="C148" s="253" t="s">
        <v>276</v>
      </c>
      <c r="D148" s="254" t="s">
        <v>511</v>
      </c>
      <c r="E148" s="255"/>
      <c r="F148" s="255"/>
      <c r="G148" s="255"/>
      <c r="H148" s="255"/>
      <c r="I148" s="255"/>
      <c r="J148" s="255"/>
      <c r="K148" s="255"/>
      <c r="L148" s="255"/>
      <c r="M148" s="255">
        <f t="shared" si="5"/>
        <v>0</v>
      </c>
      <c r="N148" s="256"/>
      <c r="O148" s="532">
        <f t="shared" si="6"/>
        <v>0</v>
      </c>
      <c r="P148" s="257"/>
      <c r="Q148" s="9"/>
      <c r="R148" s="9"/>
    </row>
    <row r="149" spans="1:18">
      <c r="A149" s="260">
        <v>2008</v>
      </c>
      <c r="B149" s="252">
        <v>467011</v>
      </c>
      <c r="C149" s="253" t="s">
        <v>277</v>
      </c>
      <c r="D149" s="254" t="s">
        <v>511</v>
      </c>
      <c r="E149" s="255"/>
      <c r="F149" s="255"/>
      <c r="G149" s="255"/>
      <c r="H149" s="255"/>
      <c r="I149" s="255"/>
      <c r="J149" s="255"/>
      <c r="K149" s="255"/>
      <c r="L149" s="255"/>
      <c r="M149" s="255">
        <f t="shared" si="5"/>
        <v>0</v>
      </c>
      <c r="N149" s="256"/>
      <c r="O149" s="532">
        <f t="shared" si="6"/>
        <v>0</v>
      </c>
      <c r="P149" s="257"/>
      <c r="Q149" s="9"/>
      <c r="R149" s="9"/>
    </row>
    <row r="150" spans="1:18">
      <c r="A150" s="260">
        <v>1005</v>
      </c>
      <c r="B150" s="252">
        <v>46704</v>
      </c>
      <c r="C150" s="253" t="s">
        <v>278</v>
      </c>
      <c r="D150" s="254" t="s">
        <v>511</v>
      </c>
      <c r="E150" s="255"/>
      <c r="F150" s="255"/>
      <c r="G150" s="255"/>
      <c r="H150" s="255"/>
      <c r="I150" s="255"/>
      <c r="J150" s="255"/>
      <c r="K150" s="255"/>
      <c r="L150" s="255"/>
      <c r="M150" s="255">
        <f t="shared" si="5"/>
        <v>0</v>
      </c>
      <c r="N150" s="256"/>
      <c r="O150" s="532">
        <f t="shared" si="6"/>
        <v>0</v>
      </c>
      <c r="P150" s="257"/>
      <c r="Q150" s="9"/>
      <c r="R150" s="9"/>
    </row>
    <row r="151" spans="1:18">
      <c r="A151" s="260">
        <v>1005</v>
      </c>
      <c r="B151" s="252">
        <v>46705</v>
      </c>
      <c r="C151" s="253" t="s">
        <v>279</v>
      </c>
      <c r="D151" s="254" t="s">
        <v>511</v>
      </c>
      <c r="E151" s="255"/>
      <c r="F151" s="255"/>
      <c r="G151" s="255"/>
      <c r="H151" s="255"/>
      <c r="I151" s="255"/>
      <c r="J151" s="255"/>
      <c r="K151" s="255"/>
      <c r="L151" s="255"/>
      <c r="M151" s="255">
        <f t="shared" si="5"/>
        <v>0</v>
      </c>
      <c r="N151" s="256"/>
      <c r="O151" s="532">
        <f t="shared" si="6"/>
        <v>0</v>
      </c>
      <c r="P151" s="257"/>
      <c r="Q151" s="9"/>
      <c r="R151" s="9"/>
    </row>
    <row r="152" spans="1:18">
      <c r="A152" s="260">
        <v>1005</v>
      </c>
      <c r="B152" s="252">
        <v>46706</v>
      </c>
      <c r="C152" s="253" t="s">
        <v>280</v>
      </c>
      <c r="D152" s="254" t="s">
        <v>511</v>
      </c>
      <c r="E152" s="255"/>
      <c r="F152" s="255"/>
      <c r="G152" s="255"/>
      <c r="H152" s="255"/>
      <c r="I152" s="255"/>
      <c r="J152" s="255"/>
      <c r="K152" s="255"/>
      <c r="L152" s="255"/>
      <c r="M152" s="255">
        <f t="shared" si="5"/>
        <v>0</v>
      </c>
      <c r="N152" s="256"/>
      <c r="O152" s="532">
        <f t="shared" si="6"/>
        <v>0</v>
      </c>
      <c r="P152" s="257"/>
      <c r="Q152" s="9"/>
      <c r="R152" s="9"/>
    </row>
    <row r="153" spans="1:18">
      <c r="A153" s="260">
        <v>1005</v>
      </c>
      <c r="B153" s="252">
        <v>46707</v>
      </c>
      <c r="C153" s="253" t="s">
        <v>281</v>
      </c>
      <c r="D153" s="254" t="s">
        <v>511</v>
      </c>
      <c r="E153" s="255"/>
      <c r="F153" s="255"/>
      <c r="G153" s="255"/>
      <c r="H153" s="255"/>
      <c r="I153" s="255"/>
      <c r="J153" s="255"/>
      <c r="K153" s="255"/>
      <c r="L153" s="255"/>
      <c r="M153" s="255">
        <f t="shared" si="5"/>
        <v>0</v>
      </c>
      <c r="N153" s="256"/>
      <c r="O153" s="532">
        <f t="shared" si="6"/>
        <v>0</v>
      </c>
      <c r="P153" s="257"/>
      <c r="Q153" s="9"/>
      <c r="R153" s="9"/>
    </row>
    <row r="154" spans="1:18">
      <c r="A154" s="260">
        <v>1005</v>
      </c>
      <c r="B154" s="252">
        <v>46708</v>
      </c>
      <c r="C154" s="253" t="s">
        <v>282</v>
      </c>
      <c r="D154" s="254" t="s">
        <v>511</v>
      </c>
      <c r="E154" s="255"/>
      <c r="F154" s="255"/>
      <c r="G154" s="255"/>
      <c r="H154" s="255"/>
      <c r="I154" s="255"/>
      <c r="J154" s="255"/>
      <c r="K154" s="255"/>
      <c r="L154" s="255"/>
      <c r="M154" s="255">
        <f t="shared" si="5"/>
        <v>0</v>
      </c>
      <c r="N154" s="256"/>
      <c r="O154" s="532">
        <f t="shared" si="6"/>
        <v>0</v>
      </c>
      <c r="P154" s="257"/>
      <c r="Q154" s="9"/>
      <c r="R154" s="9"/>
    </row>
    <row r="155" spans="1:18">
      <c r="A155" s="260">
        <v>1005</v>
      </c>
      <c r="B155" s="252">
        <v>46709</v>
      </c>
      <c r="C155" s="253" t="s">
        <v>283</v>
      </c>
      <c r="D155" s="254" t="s">
        <v>511</v>
      </c>
      <c r="E155" s="255"/>
      <c r="F155" s="255"/>
      <c r="G155" s="255"/>
      <c r="H155" s="255"/>
      <c r="I155" s="255"/>
      <c r="J155" s="255"/>
      <c r="K155" s="255"/>
      <c r="L155" s="255"/>
      <c r="M155" s="255">
        <f t="shared" si="5"/>
        <v>0</v>
      </c>
      <c r="N155" s="256"/>
      <c r="O155" s="532">
        <f t="shared" si="6"/>
        <v>0</v>
      </c>
      <c r="P155" s="257"/>
      <c r="Q155" s="9"/>
      <c r="R155" s="9"/>
    </row>
    <row r="156" spans="1:18">
      <c r="A156" s="260">
        <v>1005</v>
      </c>
      <c r="B156" s="252">
        <v>46711</v>
      </c>
      <c r="C156" s="253" t="s">
        <v>534</v>
      </c>
      <c r="D156" s="254" t="s">
        <v>512</v>
      </c>
      <c r="E156" s="255"/>
      <c r="F156" s="255"/>
      <c r="G156" s="255"/>
      <c r="H156" s="255"/>
      <c r="I156" s="255"/>
      <c r="J156" s="255"/>
      <c r="K156" s="255"/>
      <c r="L156" s="255"/>
      <c r="M156" s="255">
        <f t="shared" si="5"/>
        <v>0</v>
      </c>
      <c r="N156" s="256"/>
      <c r="O156" s="532">
        <f t="shared" si="6"/>
        <v>0</v>
      </c>
      <c r="P156" s="257"/>
      <c r="Q156" s="9"/>
      <c r="R156" s="9"/>
    </row>
    <row r="157" spans="1:18">
      <c r="A157" s="260">
        <v>1005</v>
      </c>
      <c r="B157" s="252">
        <v>46712</v>
      </c>
      <c r="C157" s="253" t="s">
        <v>535</v>
      </c>
      <c r="D157" s="254" t="s">
        <v>511</v>
      </c>
      <c r="E157" s="255"/>
      <c r="F157" s="255"/>
      <c r="G157" s="255"/>
      <c r="H157" s="255"/>
      <c r="I157" s="255"/>
      <c r="J157" s="255"/>
      <c r="K157" s="255"/>
      <c r="L157" s="255"/>
      <c r="M157" s="255">
        <f t="shared" si="5"/>
        <v>0</v>
      </c>
      <c r="N157" s="256"/>
      <c r="O157" s="532">
        <f t="shared" si="6"/>
        <v>0</v>
      </c>
      <c r="P157" s="257"/>
      <c r="Q157" s="9"/>
      <c r="R157" s="9"/>
    </row>
    <row r="158" spans="1:18">
      <c r="A158" s="260">
        <v>1005</v>
      </c>
      <c r="B158" s="252">
        <v>46713</v>
      </c>
      <c r="C158" s="253" t="s">
        <v>536</v>
      </c>
      <c r="D158" s="254" t="s">
        <v>511</v>
      </c>
      <c r="E158" s="255"/>
      <c r="F158" s="255"/>
      <c r="G158" s="255"/>
      <c r="H158" s="255"/>
      <c r="I158" s="255"/>
      <c r="J158" s="255"/>
      <c r="K158" s="255"/>
      <c r="L158" s="255"/>
      <c r="M158" s="255">
        <f t="shared" si="5"/>
        <v>0</v>
      </c>
      <c r="N158" s="256"/>
      <c r="O158" s="532">
        <f t="shared" si="6"/>
        <v>0</v>
      </c>
      <c r="P158" s="257"/>
      <c r="Q158" s="9"/>
      <c r="R158" s="9"/>
    </row>
    <row r="159" spans="1:18">
      <c r="A159" s="260">
        <v>1005</v>
      </c>
      <c r="B159" s="252">
        <v>46714</v>
      </c>
      <c r="C159" s="253" t="s">
        <v>537</v>
      </c>
      <c r="D159" s="254" t="s">
        <v>511</v>
      </c>
      <c r="E159" s="255"/>
      <c r="F159" s="255"/>
      <c r="G159" s="255"/>
      <c r="H159" s="255"/>
      <c r="I159" s="255"/>
      <c r="J159" s="255"/>
      <c r="K159" s="255"/>
      <c r="L159" s="255"/>
      <c r="M159" s="255">
        <f t="shared" si="5"/>
        <v>0</v>
      </c>
      <c r="N159" s="256"/>
      <c r="O159" s="532">
        <f t="shared" si="6"/>
        <v>0</v>
      </c>
      <c r="P159" s="257"/>
      <c r="Q159" s="9"/>
      <c r="R159" s="9"/>
    </row>
    <row r="160" spans="1:18">
      <c r="A160" s="260">
        <v>1005</v>
      </c>
      <c r="B160" s="252">
        <v>4672</v>
      </c>
      <c r="C160" s="253" t="s">
        <v>284</v>
      </c>
      <c r="D160" s="254" t="s">
        <v>512</v>
      </c>
      <c r="E160" s="255"/>
      <c r="F160" s="255"/>
      <c r="G160" s="255"/>
      <c r="H160" s="255"/>
      <c r="I160" s="255"/>
      <c r="J160" s="255"/>
      <c r="K160" s="255"/>
      <c r="L160" s="255"/>
      <c r="M160" s="255">
        <f t="shared" si="5"/>
        <v>0</v>
      </c>
      <c r="N160" s="256"/>
      <c r="O160" s="532">
        <f t="shared" si="6"/>
        <v>0</v>
      </c>
      <c r="P160" s="257"/>
      <c r="Q160" s="9"/>
      <c r="R160" s="9"/>
    </row>
    <row r="161" spans="1:18">
      <c r="A161" s="260">
        <v>1005</v>
      </c>
      <c r="B161" s="252">
        <v>46721</v>
      </c>
      <c r="C161" s="253" t="s">
        <v>285</v>
      </c>
      <c r="D161" s="254" t="s">
        <v>511</v>
      </c>
      <c r="E161" s="255"/>
      <c r="F161" s="255"/>
      <c r="G161" s="255"/>
      <c r="H161" s="255"/>
      <c r="I161" s="255"/>
      <c r="J161" s="255"/>
      <c r="K161" s="255"/>
      <c r="L161" s="255"/>
      <c r="M161" s="255">
        <f t="shared" si="5"/>
        <v>0</v>
      </c>
      <c r="N161" s="256"/>
      <c r="P161" s="257"/>
      <c r="Q161" s="9"/>
      <c r="R161" s="9"/>
    </row>
    <row r="162" spans="1:18">
      <c r="A162" s="260">
        <v>1005</v>
      </c>
      <c r="B162" s="252">
        <v>4673</v>
      </c>
      <c r="C162" s="253" t="s">
        <v>286</v>
      </c>
      <c r="D162" s="254" t="s">
        <v>512</v>
      </c>
      <c r="E162" s="255"/>
      <c r="F162" s="255"/>
      <c r="G162" s="255"/>
      <c r="H162" s="255"/>
      <c r="I162" s="255"/>
      <c r="J162" s="255"/>
      <c r="K162" s="255"/>
      <c r="L162" s="255"/>
      <c r="M162" s="255">
        <f t="shared" ref="M162:M197" si="7">(+I162-J162)+K162-L162</f>
        <v>0</v>
      </c>
      <c r="N162" s="256"/>
      <c r="P162" s="257"/>
      <c r="Q162" s="9"/>
      <c r="R162" s="9"/>
    </row>
    <row r="163" spans="1:18">
      <c r="A163" s="260">
        <v>1005</v>
      </c>
      <c r="B163" s="252">
        <v>46730</v>
      </c>
      <c r="C163" s="253" t="s">
        <v>287</v>
      </c>
      <c r="D163" s="254" t="s">
        <v>511</v>
      </c>
      <c r="E163" s="255"/>
      <c r="F163" s="255"/>
      <c r="G163" s="255"/>
      <c r="H163" s="255"/>
      <c r="I163" s="255"/>
      <c r="J163" s="255"/>
      <c r="K163" s="255"/>
      <c r="L163" s="255"/>
      <c r="M163" s="255">
        <f t="shared" si="7"/>
        <v>0</v>
      </c>
      <c r="N163" s="256"/>
      <c r="P163" s="257"/>
      <c r="Q163" s="9"/>
      <c r="R163" s="9"/>
    </row>
    <row r="164" spans="1:18">
      <c r="A164" s="260">
        <v>1005</v>
      </c>
      <c r="B164" s="252">
        <v>4675</v>
      </c>
      <c r="C164" s="253" t="s">
        <v>288</v>
      </c>
      <c r="D164" s="254" t="s">
        <v>512</v>
      </c>
      <c r="E164" s="255"/>
      <c r="F164" s="255"/>
      <c r="G164" s="255"/>
      <c r="H164" s="255"/>
      <c r="I164" s="255"/>
      <c r="J164" s="255"/>
      <c r="K164" s="255"/>
      <c r="L164" s="255"/>
      <c r="M164" s="255">
        <f t="shared" si="7"/>
        <v>0</v>
      </c>
      <c r="N164" s="256"/>
      <c r="P164" s="257"/>
      <c r="Q164" s="9"/>
      <c r="R164" s="9"/>
    </row>
    <row r="165" spans="1:18">
      <c r="A165" s="260">
        <v>1005</v>
      </c>
      <c r="B165" s="252">
        <v>4676</v>
      </c>
      <c r="C165" s="253" t="s">
        <v>289</v>
      </c>
      <c r="D165" s="254" t="s">
        <v>511</v>
      </c>
      <c r="E165" s="255"/>
      <c r="F165" s="255"/>
      <c r="G165" s="255"/>
      <c r="H165" s="255"/>
      <c r="I165" s="255"/>
      <c r="J165" s="255"/>
      <c r="K165" s="255"/>
      <c r="L165" s="255"/>
      <c r="M165" s="255">
        <f t="shared" si="7"/>
        <v>0</v>
      </c>
      <c r="N165" s="256"/>
      <c r="P165" s="257"/>
      <c r="Q165" s="9"/>
      <c r="R165" s="9"/>
    </row>
    <row r="166" spans="1:18">
      <c r="A166" s="260">
        <v>1005</v>
      </c>
      <c r="B166" s="252">
        <v>4677</v>
      </c>
      <c r="C166" s="253" t="s">
        <v>290</v>
      </c>
      <c r="D166" s="254" t="s">
        <v>511</v>
      </c>
      <c r="E166" s="255"/>
      <c r="F166" s="255"/>
      <c r="G166" s="255"/>
      <c r="H166" s="255"/>
      <c r="I166" s="255"/>
      <c r="J166" s="255"/>
      <c r="K166" s="255"/>
      <c r="L166" s="255"/>
      <c r="M166" s="255">
        <f t="shared" si="7"/>
        <v>0</v>
      </c>
      <c r="N166" s="256"/>
      <c r="P166" s="257"/>
      <c r="Q166" s="9"/>
      <c r="R166" s="9"/>
    </row>
    <row r="167" spans="1:18">
      <c r="A167" s="260">
        <v>1005</v>
      </c>
      <c r="B167" s="252">
        <v>4678</v>
      </c>
      <c r="C167" s="253" t="s">
        <v>291</v>
      </c>
      <c r="D167" s="254" t="s">
        <v>511</v>
      </c>
      <c r="E167" s="255"/>
      <c r="F167" s="255"/>
      <c r="G167" s="255"/>
      <c r="H167" s="255"/>
      <c r="I167" s="255"/>
      <c r="J167" s="255"/>
      <c r="K167" s="255"/>
      <c r="L167" s="255"/>
      <c r="M167" s="255">
        <f t="shared" si="7"/>
        <v>0</v>
      </c>
      <c r="N167" s="256"/>
      <c r="P167" s="257"/>
      <c r="Q167" s="9"/>
      <c r="R167" s="9"/>
    </row>
    <row r="168" spans="1:18">
      <c r="A168" s="260">
        <v>1005</v>
      </c>
      <c r="B168" s="252">
        <v>46799</v>
      </c>
      <c r="C168" s="253" t="s">
        <v>292</v>
      </c>
      <c r="D168" s="254" t="s">
        <v>512</v>
      </c>
      <c r="E168" s="255"/>
      <c r="F168" s="255"/>
      <c r="G168" s="255"/>
      <c r="H168" s="255"/>
      <c r="I168" s="255"/>
      <c r="J168" s="255"/>
      <c r="K168" s="255"/>
      <c r="L168" s="255"/>
      <c r="M168" s="255">
        <f t="shared" si="7"/>
        <v>0</v>
      </c>
      <c r="N168" s="256"/>
      <c r="P168" s="257"/>
      <c r="Q168" s="9"/>
      <c r="R168" s="9"/>
    </row>
    <row r="169" spans="1:18">
      <c r="A169" s="260">
        <v>1005</v>
      </c>
      <c r="B169" s="252">
        <v>4679</v>
      </c>
      <c r="C169" s="253" t="s">
        <v>293</v>
      </c>
      <c r="D169" s="254" t="s">
        <v>511</v>
      </c>
      <c r="E169" s="255"/>
      <c r="F169" s="255"/>
      <c r="G169" s="255"/>
      <c r="H169" s="255"/>
      <c r="I169" s="255"/>
      <c r="J169" s="255"/>
      <c r="K169" s="255"/>
      <c r="L169" s="255"/>
      <c r="M169" s="255">
        <f t="shared" si="7"/>
        <v>0</v>
      </c>
      <c r="N169" s="256"/>
      <c r="P169" s="257"/>
      <c r="Q169" s="9"/>
      <c r="R169" s="9"/>
    </row>
    <row r="170" spans="1:18">
      <c r="A170" s="260">
        <v>2021</v>
      </c>
      <c r="B170" s="252">
        <v>468120</v>
      </c>
      <c r="C170" s="253" t="s">
        <v>294</v>
      </c>
      <c r="D170" s="254" t="s">
        <v>512</v>
      </c>
      <c r="E170" s="255"/>
      <c r="F170" s="255"/>
      <c r="G170" s="255"/>
      <c r="H170" s="255"/>
      <c r="I170" s="255"/>
      <c r="J170" s="255"/>
      <c r="K170" s="255"/>
      <c r="L170" s="255"/>
      <c r="M170" s="255">
        <f t="shared" si="7"/>
        <v>0</v>
      </c>
      <c r="N170" s="256"/>
      <c r="P170" s="257"/>
      <c r="Q170" s="9"/>
      <c r="R170" s="9"/>
    </row>
    <row r="171" spans="1:18">
      <c r="A171" s="260">
        <v>2021</v>
      </c>
      <c r="B171" s="252">
        <v>468122</v>
      </c>
      <c r="C171" s="253" t="s">
        <v>295</v>
      </c>
      <c r="D171" s="254" t="s">
        <v>512</v>
      </c>
      <c r="E171" s="255"/>
      <c r="F171" s="255"/>
      <c r="G171" s="255"/>
      <c r="H171" s="255"/>
      <c r="I171" s="255"/>
      <c r="J171" s="255"/>
      <c r="K171" s="255"/>
      <c r="L171" s="255"/>
      <c r="M171" s="255">
        <f t="shared" si="7"/>
        <v>0</v>
      </c>
      <c r="N171" s="256"/>
      <c r="P171" s="257"/>
      <c r="Q171" s="9"/>
      <c r="R171" s="9"/>
    </row>
    <row r="172" spans="1:18">
      <c r="A172" s="260">
        <v>2021</v>
      </c>
      <c r="B172" s="252">
        <v>468123</v>
      </c>
      <c r="C172" s="253" t="s">
        <v>296</v>
      </c>
      <c r="D172" s="254" t="s">
        <v>511</v>
      </c>
      <c r="E172" s="255"/>
      <c r="F172" s="255"/>
      <c r="G172" s="255"/>
      <c r="H172" s="255"/>
      <c r="I172" s="255"/>
      <c r="J172" s="255"/>
      <c r="K172" s="255"/>
      <c r="L172" s="255"/>
      <c r="M172" s="255">
        <f t="shared" si="7"/>
        <v>0</v>
      </c>
      <c r="N172" s="256"/>
      <c r="P172" s="257"/>
      <c r="Q172" s="9"/>
      <c r="R172" s="9"/>
    </row>
    <row r="173" spans="1:18">
      <c r="A173" s="260">
        <v>2021</v>
      </c>
      <c r="B173" s="252">
        <v>468124</v>
      </c>
      <c r="C173" s="253" t="s">
        <v>297</v>
      </c>
      <c r="D173" s="254" t="s">
        <v>512</v>
      </c>
      <c r="E173" s="255"/>
      <c r="F173" s="255"/>
      <c r="G173" s="255"/>
      <c r="H173" s="255"/>
      <c r="I173" s="255"/>
      <c r="J173" s="255"/>
      <c r="K173" s="255"/>
      <c r="L173" s="255"/>
      <c r="M173" s="255">
        <f t="shared" si="7"/>
        <v>0</v>
      </c>
      <c r="N173" s="256"/>
      <c r="P173" s="257"/>
      <c r="Q173" s="9"/>
      <c r="R173" s="9"/>
    </row>
    <row r="174" spans="1:18">
      <c r="A174" s="260">
        <v>2021</v>
      </c>
      <c r="B174" s="252">
        <v>468125</v>
      </c>
      <c r="C174" s="253" t="s">
        <v>298</v>
      </c>
      <c r="D174" s="254" t="s">
        <v>512</v>
      </c>
      <c r="E174" s="255"/>
      <c r="F174" s="255"/>
      <c r="G174" s="255"/>
      <c r="H174" s="255"/>
      <c r="I174" s="255"/>
      <c r="J174" s="255"/>
      <c r="K174" s="255"/>
      <c r="L174" s="255"/>
      <c r="M174" s="255">
        <f t="shared" si="7"/>
        <v>0</v>
      </c>
      <c r="N174" s="256"/>
      <c r="P174" s="257"/>
      <c r="Q174" s="9"/>
      <c r="R174" s="9"/>
    </row>
    <row r="175" spans="1:18">
      <c r="A175" s="260">
        <v>2021</v>
      </c>
      <c r="B175" s="252">
        <v>468126</v>
      </c>
      <c r="C175" s="253" t="s">
        <v>299</v>
      </c>
      <c r="D175" s="254" t="s">
        <v>512</v>
      </c>
      <c r="E175" s="255"/>
      <c r="F175" s="255"/>
      <c r="G175" s="255"/>
      <c r="H175" s="255"/>
      <c r="I175" s="255"/>
      <c r="J175" s="255"/>
      <c r="K175" s="255"/>
      <c r="L175" s="255"/>
      <c r="M175" s="255">
        <f t="shared" si="7"/>
        <v>0</v>
      </c>
      <c r="N175" s="256"/>
      <c r="P175" s="257"/>
      <c r="Q175" s="9"/>
      <c r="R175" s="9"/>
    </row>
    <row r="176" spans="1:18">
      <c r="A176" s="260">
        <v>2021</v>
      </c>
      <c r="B176" s="252">
        <v>468127</v>
      </c>
      <c r="C176" s="253" t="s">
        <v>300</v>
      </c>
      <c r="D176" s="254" t="s">
        <v>512</v>
      </c>
      <c r="E176" s="255"/>
      <c r="F176" s="255"/>
      <c r="G176" s="255"/>
      <c r="H176" s="255"/>
      <c r="I176" s="255"/>
      <c r="J176" s="255"/>
      <c r="K176" s="255"/>
      <c r="L176" s="255"/>
      <c r="M176" s="255">
        <f t="shared" si="7"/>
        <v>0</v>
      </c>
      <c r="N176" s="256"/>
      <c r="P176" s="257"/>
      <c r="Q176" s="9"/>
      <c r="R176" s="9"/>
    </row>
    <row r="177" spans="1:18">
      <c r="A177" s="260">
        <v>2021</v>
      </c>
      <c r="B177" s="252">
        <v>4681240</v>
      </c>
      <c r="C177" s="253" t="s">
        <v>301</v>
      </c>
      <c r="D177" s="254" t="s">
        <v>512</v>
      </c>
      <c r="E177" s="255"/>
      <c r="F177" s="255"/>
      <c r="G177" s="255"/>
      <c r="H177" s="255"/>
      <c r="I177" s="255"/>
      <c r="J177" s="255"/>
      <c r="K177" s="255"/>
      <c r="L177" s="255"/>
      <c r="M177" s="255">
        <f t="shared" si="7"/>
        <v>0</v>
      </c>
      <c r="N177" s="256"/>
      <c r="P177" s="257"/>
      <c r="Q177" s="9"/>
      <c r="R177" s="9"/>
    </row>
    <row r="178" spans="1:18">
      <c r="A178" s="260">
        <v>2021</v>
      </c>
      <c r="B178" s="252">
        <v>4683</v>
      </c>
      <c r="C178" s="253" t="s">
        <v>302</v>
      </c>
      <c r="D178" s="254" t="s">
        <v>512</v>
      </c>
      <c r="E178" s="255"/>
      <c r="F178" s="255"/>
      <c r="G178" s="255"/>
      <c r="H178" s="255"/>
      <c r="I178" s="255"/>
      <c r="J178" s="255"/>
      <c r="K178" s="255"/>
      <c r="L178" s="255"/>
      <c r="M178" s="255">
        <f t="shared" si="7"/>
        <v>0</v>
      </c>
      <c r="N178" s="256"/>
      <c r="P178" s="257"/>
      <c r="Q178" s="9"/>
      <c r="R178" s="9"/>
    </row>
    <row r="179" spans="1:18">
      <c r="A179" s="260">
        <v>2021</v>
      </c>
      <c r="B179" s="252">
        <v>4685</v>
      </c>
      <c r="C179" s="253" t="s">
        <v>303</v>
      </c>
      <c r="D179" s="254" t="s">
        <v>511</v>
      </c>
      <c r="E179" s="255"/>
      <c r="F179" s="255"/>
      <c r="G179" s="255"/>
      <c r="H179" s="255"/>
      <c r="I179" s="255"/>
      <c r="J179" s="255"/>
      <c r="K179" s="255"/>
      <c r="L179" s="255"/>
      <c r="M179" s="255">
        <f t="shared" si="7"/>
        <v>0</v>
      </c>
      <c r="N179" s="256"/>
      <c r="P179" s="257"/>
      <c r="Q179" s="9"/>
      <c r="R179" s="9"/>
    </row>
    <row r="180" spans="1:18">
      <c r="A180" s="260">
        <v>2021</v>
      </c>
      <c r="B180" s="252">
        <v>4686</v>
      </c>
      <c r="C180" s="253" t="s">
        <v>304</v>
      </c>
      <c r="D180" s="254" t="s">
        <v>511</v>
      </c>
      <c r="E180" s="255"/>
      <c r="F180" s="255"/>
      <c r="G180" s="255"/>
      <c r="H180" s="255"/>
      <c r="I180" s="255"/>
      <c r="J180" s="255"/>
      <c r="K180" s="255"/>
      <c r="L180" s="255"/>
      <c r="M180" s="255">
        <f t="shared" si="7"/>
        <v>0</v>
      </c>
      <c r="N180" s="256"/>
      <c r="P180" s="257"/>
      <c r="Q180" s="9"/>
      <c r="R180" s="9"/>
    </row>
    <row r="181" spans="1:18">
      <c r="A181" s="260">
        <v>2021</v>
      </c>
      <c r="B181" s="252">
        <v>4687</v>
      </c>
      <c r="C181" s="253" t="s">
        <v>305</v>
      </c>
      <c r="D181" s="254" t="s">
        <v>511</v>
      </c>
      <c r="E181" s="255"/>
      <c r="F181" s="255"/>
      <c r="G181" s="255"/>
      <c r="H181" s="255"/>
      <c r="I181" s="255"/>
      <c r="J181" s="255"/>
      <c r="K181" s="255"/>
      <c r="L181" s="255"/>
      <c r="M181" s="255">
        <f t="shared" si="7"/>
        <v>0</v>
      </c>
      <c r="N181" s="256"/>
      <c r="P181" s="257"/>
      <c r="Q181" s="9"/>
      <c r="R181" s="9"/>
    </row>
    <row r="182" spans="1:18">
      <c r="A182" s="260">
        <v>1006</v>
      </c>
      <c r="B182" s="252">
        <v>46901</v>
      </c>
      <c r="C182" s="253" t="s">
        <v>300</v>
      </c>
      <c r="D182" s="254" t="s">
        <v>511</v>
      </c>
      <c r="E182" s="255"/>
      <c r="F182" s="255"/>
      <c r="G182" s="255"/>
      <c r="H182" s="255"/>
      <c r="I182" s="255"/>
      <c r="J182" s="255"/>
      <c r="K182" s="255"/>
      <c r="L182" s="255"/>
      <c r="M182" s="255">
        <f t="shared" si="7"/>
        <v>0</v>
      </c>
      <c r="N182" s="256"/>
      <c r="P182" s="257"/>
      <c r="Q182" s="9"/>
      <c r="R182" s="9"/>
    </row>
    <row r="183" spans="1:18">
      <c r="A183" s="260">
        <v>1015</v>
      </c>
      <c r="B183" s="252">
        <v>48111</v>
      </c>
      <c r="C183" s="253" t="s">
        <v>306</v>
      </c>
      <c r="D183" s="254" t="s">
        <v>511</v>
      </c>
      <c r="E183" s="255"/>
      <c r="F183" s="255"/>
      <c r="G183" s="255"/>
      <c r="H183" s="255"/>
      <c r="I183" s="255"/>
      <c r="J183" s="255"/>
      <c r="K183" s="255"/>
      <c r="L183" s="255"/>
      <c r="M183" s="255">
        <f t="shared" si="7"/>
        <v>0</v>
      </c>
      <c r="N183" s="256"/>
      <c r="P183" s="257"/>
      <c r="Q183" s="9"/>
      <c r="R183" s="9"/>
    </row>
    <row r="184" spans="1:18">
      <c r="A184" s="260">
        <v>1015</v>
      </c>
      <c r="B184" s="252">
        <v>48110</v>
      </c>
      <c r="C184" s="253" t="s">
        <v>307</v>
      </c>
      <c r="D184" s="254" t="s">
        <v>511</v>
      </c>
      <c r="E184" s="255"/>
      <c r="F184" s="255"/>
      <c r="G184" s="255"/>
      <c r="H184" s="255"/>
      <c r="I184" s="255"/>
      <c r="J184" s="255"/>
      <c r="K184" s="255"/>
      <c r="L184" s="255"/>
      <c r="M184" s="255">
        <f t="shared" si="7"/>
        <v>0</v>
      </c>
      <c r="N184" s="256"/>
      <c r="P184" s="257"/>
      <c r="Q184" s="9"/>
      <c r="R184" s="9"/>
    </row>
    <row r="185" spans="1:18">
      <c r="A185" s="260">
        <v>1015</v>
      </c>
      <c r="B185" s="252">
        <v>4811126</v>
      </c>
      <c r="C185" s="253" t="s">
        <v>308</v>
      </c>
      <c r="D185" s="254" t="s">
        <v>511</v>
      </c>
      <c r="E185" s="255"/>
      <c r="F185" s="255"/>
      <c r="G185" s="255"/>
      <c r="H185" s="255"/>
      <c r="I185" s="255"/>
      <c r="J185" s="255"/>
      <c r="K185" s="255"/>
      <c r="L185" s="255"/>
      <c r="M185" s="255">
        <f t="shared" si="7"/>
        <v>0</v>
      </c>
      <c r="N185" s="256"/>
      <c r="P185" s="257"/>
      <c r="Q185" s="9"/>
      <c r="R185" s="9"/>
    </row>
    <row r="186" spans="1:18">
      <c r="A186" s="260">
        <v>1015</v>
      </c>
      <c r="B186" s="252">
        <v>4811128</v>
      </c>
      <c r="C186" s="253" t="s">
        <v>538</v>
      </c>
      <c r="D186" s="254" t="s">
        <v>511</v>
      </c>
      <c r="E186" s="255"/>
      <c r="F186" s="255"/>
      <c r="G186" s="255"/>
      <c r="H186" s="255"/>
      <c r="I186" s="255"/>
      <c r="J186" s="255"/>
      <c r="K186" s="255"/>
      <c r="L186" s="255"/>
      <c r="M186" s="255">
        <f t="shared" si="7"/>
        <v>0</v>
      </c>
      <c r="N186" s="256"/>
      <c r="P186" s="257"/>
      <c r="Q186" s="9"/>
      <c r="R186" s="9"/>
    </row>
    <row r="187" spans="1:18">
      <c r="A187" s="260">
        <v>1015</v>
      </c>
      <c r="B187" s="252">
        <v>4811127</v>
      </c>
      <c r="C187" s="253" t="s">
        <v>309</v>
      </c>
      <c r="D187" s="254" t="s">
        <v>511</v>
      </c>
      <c r="E187" s="255"/>
      <c r="F187" s="255"/>
      <c r="G187" s="255"/>
      <c r="H187" s="255"/>
      <c r="I187" s="255"/>
      <c r="J187" s="255"/>
      <c r="K187" s="255"/>
      <c r="L187" s="255"/>
      <c r="M187" s="255">
        <f t="shared" si="7"/>
        <v>0</v>
      </c>
      <c r="N187" s="256"/>
      <c r="P187" s="257"/>
      <c r="Q187" s="9"/>
      <c r="R187" s="9"/>
    </row>
    <row r="188" spans="1:18">
      <c r="A188" s="260">
        <v>1015</v>
      </c>
      <c r="B188" s="252">
        <v>481121</v>
      </c>
      <c r="C188" s="253" t="s">
        <v>310</v>
      </c>
      <c r="D188" s="254" t="s">
        <v>511</v>
      </c>
      <c r="E188" s="255"/>
      <c r="F188" s="255"/>
      <c r="G188" s="255"/>
      <c r="H188" s="255"/>
      <c r="I188" s="255"/>
      <c r="J188" s="255"/>
      <c r="K188" s="255"/>
      <c r="L188" s="255"/>
      <c r="M188" s="255">
        <f t="shared" si="7"/>
        <v>0</v>
      </c>
      <c r="N188" s="256"/>
      <c r="P188" s="257"/>
      <c r="Q188" s="9"/>
      <c r="R188" s="9"/>
    </row>
    <row r="189" spans="1:18">
      <c r="A189" s="260">
        <v>1015</v>
      </c>
      <c r="B189" s="252">
        <v>4811210</v>
      </c>
      <c r="C189" s="253" t="s">
        <v>311</v>
      </c>
      <c r="D189" s="254" t="s">
        <v>511</v>
      </c>
      <c r="E189" s="255"/>
      <c r="F189" s="255"/>
      <c r="G189" s="255"/>
      <c r="H189" s="255"/>
      <c r="I189" s="255"/>
      <c r="J189" s="255"/>
      <c r="K189" s="255"/>
      <c r="L189" s="255"/>
      <c r="M189" s="255">
        <f t="shared" si="7"/>
        <v>0</v>
      </c>
      <c r="N189" s="256"/>
      <c r="P189" s="257"/>
      <c r="Q189" s="9"/>
      <c r="R189" s="9"/>
    </row>
    <row r="190" spans="1:18">
      <c r="A190" s="260">
        <v>1015</v>
      </c>
      <c r="B190" s="252">
        <v>481122</v>
      </c>
      <c r="C190" s="253" t="s">
        <v>312</v>
      </c>
      <c r="D190" s="254" t="s">
        <v>511</v>
      </c>
      <c r="E190" s="255"/>
      <c r="F190" s="255"/>
      <c r="G190" s="255"/>
      <c r="H190" s="255"/>
      <c r="I190" s="255"/>
      <c r="J190" s="255"/>
      <c r="K190" s="255"/>
      <c r="L190" s="255"/>
      <c r="M190" s="255">
        <f t="shared" si="7"/>
        <v>0</v>
      </c>
      <c r="N190" s="256"/>
      <c r="P190" s="257"/>
      <c r="Q190" s="9"/>
      <c r="R190" s="9"/>
    </row>
    <row r="191" spans="1:18">
      <c r="A191" s="260">
        <v>1015</v>
      </c>
      <c r="B191" s="252">
        <v>481123</v>
      </c>
      <c r="C191" s="253" t="s">
        <v>313</v>
      </c>
      <c r="D191" s="254" t="s">
        <v>511</v>
      </c>
      <c r="E191" s="255"/>
      <c r="F191" s="255"/>
      <c r="G191" s="255"/>
      <c r="H191" s="255"/>
      <c r="I191" s="255"/>
      <c r="J191" s="255"/>
      <c r="K191" s="255"/>
      <c r="L191" s="255"/>
      <c r="M191" s="255">
        <f t="shared" si="7"/>
        <v>0</v>
      </c>
      <c r="N191" s="256"/>
      <c r="P191" s="257"/>
      <c r="Q191" s="9"/>
      <c r="R191" s="9"/>
    </row>
    <row r="192" spans="1:18">
      <c r="A192" s="260">
        <v>1015</v>
      </c>
      <c r="B192" s="252">
        <v>481125</v>
      </c>
      <c r="C192" s="253" t="s">
        <v>314</v>
      </c>
      <c r="D192" s="254" t="s">
        <v>511</v>
      </c>
      <c r="E192" s="255"/>
      <c r="F192" s="255"/>
      <c r="G192" s="255"/>
      <c r="H192" s="255"/>
      <c r="I192" s="255"/>
      <c r="J192" s="255"/>
      <c r="K192" s="255"/>
      <c r="L192" s="255"/>
      <c r="M192" s="255">
        <f t="shared" si="7"/>
        <v>0</v>
      </c>
      <c r="N192" s="256"/>
      <c r="P192" s="257"/>
      <c r="Q192" s="9"/>
      <c r="R192" s="9"/>
    </row>
    <row r="193" spans="1:18">
      <c r="A193" s="260">
        <v>1015</v>
      </c>
      <c r="B193" s="252">
        <v>481126</v>
      </c>
      <c r="C193" s="253" t="s">
        <v>315</v>
      </c>
      <c r="D193" s="254" t="s">
        <v>511</v>
      </c>
      <c r="E193" s="255"/>
      <c r="F193" s="255"/>
      <c r="G193" s="255"/>
      <c r="H193" s="255"/>
      <c r="I193" s="255"/>
      <c r="J193" s="255"/>
      <c r="K193" s="255"/>
      <c r="L193" s="255"/>
      <c r="M193" s="255">
        <f t="shared" si="7"/>
        <v>0</v>
      </c>
      <c r="N193" s="256"/>
      <c r="P193" s="257"/>
      <c r="Q193" s="9"/>
      <c r="R193" s="9"/>
    </row>
    <row r="194" spans="1:18">
      <c r="A194" s="260">
        <v>1015</v>
      </c>
      <c r="B194" s="252">
        <v>481129</v>
      </c>
      <c r="C194" s="253" t="s">
        <v>316</v>
      </c>
      <c r="D194" s="254" t="s">
        <v>511</v>
      </c>
      <c r="E194" s="255"/>
      <c r="F194" s="255"/>
      <c r="G194" s="255"/>
      <c r="H194" s="255"/>
      <c r="I194" s="255"/>
      <c r="J194" s="255"/>
      <c r="K194" s="255"/>
      <c r="L194" s="255"/>
      <c r="M194" s="255">
        <f t="shared" si="7"/>
        <v>0</v>
      </c>
      <c r="N194" s="256"/>
      <c r="P194" s="257"/>
      <c r="Q194" s="9"/>
      <c r="R194" s="9"/>
    </row>
    <row r="195" spans="1:18">
      <c r="A195" s="260">
        <v>1015</v>
      </c>
      <c r="B195" s="252">
        <v>4811130</v>
      </c>
      <c r="C195" s="253" t="s">
        <v>317</v>
      </c>
      <c r="D195" s="254" t="s">
        <v>511</v>
      </c>
      <c r="E195" s="255"/>
      <c r="F195" s="255"/>
      <c r="G195" s="255"/>
      <c r="H195" s="255"/>
      <c r="I195" s="255"/>
      <c r="J195" s="255"/>
      <c r="K195" s="255"/>
      <c r="L195" s="255"/>
      <c r="M195" s="255">
        <f t="shared" si="7"/>
        <v>0</v>
      </c>
      <c r="N195" s="256"/>
      <c r="P195" s="257"/>
      <c r="Q195" s="9"/>
      <c r="R195" s="9"/>
    </row>
    <row r="196" spans="1:18">
      <c r="A196" s="260">
        <v>1015</v>
      </c>
      <c r="B196" s="252">
        <v>481132</v>
      </c>
      <c r="C196" s="253" t="s">
        <v>318</v>
      </c>
      <c r="D196" s="254" t="s">
        <v>511</v>
      </c>
      <c r="E196" s="255"/>
      <c r="F196" s="255"/>
      <c r="G196" s="255"/>
      <c r="H196" s="255"/>
      <c r="I196" s="255"/>
      <c r="J196" s="255"/>
      <c r="K196" s="255"/>
      <c r="L196" s="255"/>
      <c r="M196" s="255">
        <f t="shared" si="7"/>
        <v>0</v>
      </c>
      <c r="N196" s="256"/>
      <c r="P196" s="257"/>
      <c r="Q196" s="9"/>
      <c r="R196" s="9"/>
    </row>
    <row r="197" spans="1:18">
      <c r="A197" s="260">
        <v>1015</v>
      </c>
      <c r="B197" s="252">
        <v>481133</v>
      </c>
      <c r="C197" s="253" t="s">
        <v>319</v>
      </c>
      <c r="D197" s="254" t="s">
        <v>511</v>
      </c>
      <c r="E197" s="255"/>
      <c r="F197" s="255"/>
      <c r="G197" s="255"/>
      <c r="H197" s="255"/>
      <c r="I197" s="255"/>
      <c r="J197" s="255"/>
      <c r="K197" s="255"/>
      <c r="L197" s="255"/>
      <c r="M197" s="255">
        <f t="shared" si="7"/>
        <v>0</v>
      </c>
      <c r="N197" s="256"/>
      <c r="P197" s="257"/>
      <c r="Q197" s="9"/>
      <c r="R197" s="9"/>
    </row>
    <row r="198" spans="1:18">
      <c r="A198" s="260">
        <v>1015</v>
      </c>
      <c r="B198" s="252">
        <v>481134</v>
      </c>
      <c r="C198" s="253" t="s">
        <v>320</v>
      </c>
      <c r="D198" s="254" t="s">
        <v>511</v>
      </c>
      <c r="E198" s="255"/>
      <c r="F198" s="255"/>
      <c r="G198" s="255"/>
      <c r="H198" s="255"/>
      <c r="I198" s="255"/>
      <c r="J198" s="255"/>
      <c r="K198" s="255"/>
      <c r="L198" s="255"/>
      <c r="M198" s="255">
        <f t="shared" ref="M198:M261" si="8">(+I198-J198)+K198-L198</f>
        <v>0</v>
      </c>
      <c r="N198" s="256"/>
      <c r="P198" s="257"/>
      <c r="Q198" s="9"/>
      <c r="R198" s="9"/>
    </row>
    <row r="199" spans="1:18">
      <c r="A199" s="260">
        <v>1015</v>
      </c>
      <c r="B199" s="252">
        <v>481137</v>
      </c>
      <c r="C199" s="253" t="s">
        <v>539</v>
      </c>
      <c r="D199" s="254" t="s">
        <v>511</v>
      </c>
      <c r="E199" s="255"/>
      <c r="F199" s="255"/>
      <c r="G199" s="255"/>
      <c r="H199" s="255"/>
      <c r="I199" s="255"/>
      <c r="J199" s="255"/>
      <c r="K199" s="255"/>
      <c r="L199" s="255"/>
      <c r="M199" s="255">
        <f t="shared" si="8"/>
        <v>0</v>
      </c>
      <c r="N199" s="256"/>
      <c r="P199" s="257"/>
      <c r="Q199" s="9"/>
      <c r="R199" s="9"/>
    </row>
    <row r="200" spans="1:18">
      <c r="A200" s="260">
        <v>1015</v>
      </c>
      <c r="B200" s="252">
        <v>481141</v>
      </c>
      <c r="C200" s="253" t="s">
        <v>321</v>
      </c>
      <c r="D200" s="254" t="s">
        <v>511</v>
      </c>
      <c r="E200" s="255"/>
      <c r="F200" s="255"/>
      <c r="G200" s="255"/>
      <c r="H200" s="255"/>
      <c r="I200" s="255"/>
      <c r="J200" s="255"/>
      <c r="K200" s="255"/>
      <c r="L200" s="255"/>
      <c r="M200" s="255">
        <f t="shared" si="8"/>
        <v>0</v>
      </c>
      <c r="N200" s="256"/>
      <c r="P200" s="257"/>
      <c r="Q200" s="9"/>
      <c r="R200" s="9"/>
    </row>
    <row r="201" spans="1:18">
      <c r="A201" s="260">
        <v>1015</v>
      </c>
      <c r="B201" s="252">
        <v>481142</v>
      </c>
      <c r="C201" s="253" t="s">
        <v>322</v>
      </c>
      <c r="D201" s="254" t="s">
        <v>511</v>
      </c>
      <c r="E201" s="255"/>
      <c r="F201" s="255"/>
      <c r="G201" s="255"/>
      <c r="H201" s="255"/>
      <c r="I201" s="255"/>
      <c r="J201" s="255"/>
      <c r="K201" s="255"/>
      <c r="L201" s="255"/>
      <c r="M201" s="255">
        <f t="shared" si="8"/>
        <v>0</v>
      </c>
      <c r="N201" s="256"/>
      <c r="P201" s="257"/>
      <c r="Q201" s="9"/>
      <c r="R201" s="9"/>
    </row>
    <row r="202" spans="1:18">
      <c r="A202" s="260">
        <v>1015</v>
      </c>
      <c r="B202" s="252">
        <v>481143</v>
      </c>
      <c r="C202" s="253" t="s">
        <v>323</v>
      </c>
      <c r="D202" s="254" t="s">
        <v>511</v>
      </c>
      <c r="E202" s="255"/>
      <c r="F202" s="255"/>
      <c r="G202" s="255"/>
      <c r="H202" s="255"/>
      <c r="I202" s="255"/>
      <c r="J202" s="255"/>
      <c r="K202" s="255"/>
      <c r="L202" s="255"/>
      <c r="M202" s="255">
        <f t="shared" si="8"/>
        <v>0</v>
      </c>
      <c r="N202" s="256"/>
      <c r="P202" s="257"/>
      <c r="Q202" s="9"/>
      <c r="R202" s="9"/>
    </row>
    <row r="203" spans="1:18">
      <c r="A203" s="260">
        <v>1015</v>
      </c>
      <c r="B203" s="252">
        <v>481144</v>
      </c>
      <c r="C203" s="253" t="s">
        <v>324</v>
      </c>
      <c r="D203" s="254" t="s">
        <v>511</v>
      </c>
      <c r="E203" s="255"/>
      <c r="F203" s="255"/>
      <c r="G203" s="255"/>
      <c r="H203" s="255"/>
      <c r="I203" s="255"/>
      <c r="J203" s="255"/>
      <c r="K203" s="255"/>
      <c r="L203" s="255"/>
      <c r="M203" s="255">
        <f t="shared" si="8"/>
        <v>0</v>
      </c>
      <c r="N203" s="256"/>
      <c r="P203" s="257"/>
      <c r="Q203" s="9"/>
      <c r="R203" s="9"/>
    </row>
    <row r="204" spans="1:18">
      <c r="A204" s="260">
        <v>1015</v>
      </c>
      <c r="B204" s="252">
        <v>481145</v>
      </c>
      <c r="C204" s="253" t="s">
        <v>325</v>
      </c>
      <c r="D204" s="254" t="s">
        <v>511</v>
      </c>
      <c r="E204" s="255"/>
      <c r="F204" s="255"/>
      <c r="G204" s="255"/>
      <c r="H204" s="255"/>
      <c r="I204" s="255"/>
      <c r="J204" s="255"/>
      <c r="K204" s="255"/>
      <c r="L204" s="255"/>
      <c r="M204" s="255">
        <f t="shared" si="8"/>
        <v>0</v>
      </c>
      <c r="N204" s="256"/>
      <c r="P204" s="257"/>
      <c r="Q204" s="9"/>
      <c r="R204" s="9"/>
    </row>
    <row r="205" spans="1:18">
      <c r="A205" s="260">
        <v>1015</v>
      </c>
      <c r="B205" s="252">
        <v>4811480</v>
      </c>
      <c r="C205" s="253" t="s">
        <v>326</v>
      </c>
      <c r="D205" s="254" t="s">
        <v>511</v>
      </c>
      <c r="E205" s="255"/>
      <c r="F205" s="255"/>
      <c r="G205" s="255"/>
      <c r="H205" s="255"/>
      <c r="I205" s="255"/>
      <c r="J205" s="255"/>
      <c r="K205" s="255"/>
      <c r="L205" s="255"/>
      <c r="M205" s="255">
        <f t="shared" si="8"/>
        <v>0</v>
      </c>
      <c r="N205" s="256"/>
      <c r="P205" s="257"/>
      <c r="Q205" s="9"/>
      <c r="R205" s="9"/>
    </row>
    <row r="206" spans="1:18">
      <c r="A206" s="260">
        <v>1015</v>
      </c>
      <c r="B206" s="252">
        <v>481146</v>
      </c>
      <c r="C206" s="253" t="s">
        <v>327</v>
      </c>
      <c r="D206" s="254" t="s">
        <v>511</v>
      </c>
      <c r="E206" s="255"/>
      <c r="F206" s="255"/>
      <c r="G206" s="255"/>
      <c r="H206" s="255"/>
      <c r="I206" s="255"/>
      <c r="J206" s="255"/>
      <c r="K206" s="255"/>
      <c r="L206" s="255"/>
      <c r="M206" s="255">
        <f t="shared" si="8"/>
        <v>0</v>
      </c>
      <c r="N206" s="256"/>
      <c r="P206" s="257"/>
      <c r="Q206" s="9"/>
      <c r="R206" s="9"/>
    </row>
    <row r="207" spans="1:18">
      <c r="A207" s="260">
        <v>1015</v>
      </c>
      <c r="B207" s="252">
        <v>481149</v>
      </c>
      <c r="C207" s="253" t="s">
        <v>328</v>
      </c>
      <c r="D207" s="254" t="s">
        <v>511</v>
      </c>
      <c r="E207" s="255"/>
      <c r="F207" s="255"/>
      <c r="G207" s="255"/>
      <c r="H207" s="255"/>
      <c r="I207" s="255"/>
      <c r="J207" s="255"/>
      <c r="K207" s="255"/>
      <c r="L207" s="255"/>
      <c r="M207" s="255">
        <f t="shared" si="8"/>
        <v>0</v>
      </c>
      <c r="N207" s="256"/>
      <c r="P207" s="257"/>
      <c r="Q207" s="9"/>
      <c r="R207" s="9"/>
    </row>
    <row r="208" spans="1:18">
      <c r="A208" s="260">
        <v>1015</v>
      </c>
      <c r="B208" s="252">
        <v>481150</v>
      </c>
      <c r="C208" s="253" t="s">
        <v>329</v>
      </c>
      <c r="D208" s="254" t="s">
        <v>511</v>
      </c>
      <c r="E208" s="255"/>
      <c r="F208" s="255"/>
      <c r="G208" s="255"/>
      <c r="H208" s="255"/>
      <c r="I208" s="255"/>
      <c r="J208" s="255"/>
      <c r="K208" s="255"/>
      <c r="L208" s="255"/>
      <c r="M208" s="255">
        <f t="shared" si="8"/>
        <v>0</v>
      </c>
      <c r="N208" s="256"/>
      <c r="P208" s="257"/>
      <c r="Q208" s="9"/>
      <c r="R208" s="9"/>
    </row>
    <row r="209" spans="1:18">
      <c r="A209" s="260">
        <v>1015</v>
      </c>
      <c r="B209" s="252">
        <v>481152</v>
      </c>
      <c r="C209" s="253" t="s">
        <v>330</v>
      </c>
      <c r="D209" s="254" t="s">
        <v>511</v>
      </c>
      <c r="E209" s="255"/>
      <c r="F209" s="255"/>
      <c r="G209" s="255"/>
      <c r="H209" s="255"/>
      <c r="I209" s="255"/>
      <c r="J209" s="255"/>
      <c r="K209" s="255"/>
      <c r="L209" s="255"/>
      <c r="M209" s="255">
        <f t="shared" si="8"/>
        <v>0</v>
      </c>
      <c r="N209" s="256"/>
      <c r="P209" s="257"/>
      <c r="Q209" s="9"/>
      <c r="R209" s="9"/>
    </row>
    <row r="210" spans="1:18">
      <c r="A210" s="260">
        <v>1015</v>
      </c>
      <c r="B210" s="252">
        <v>481153</v>
      </c>
      <c r="C210" s="253" t="s">
        <v>331</v>
      </c>
      <c r="D210" s="254" t="s">
        <v>511</v>
      </c>
      <c r="E210" s="255"/>
      <c r="F210" s="255"/>
      <c r="G210" s="255"/>
      <c r="H210" s="255"/>
      <c r="I210" s="255"/>
      <c r="J210" s="255"/>
      <c r="K210" s="255"/>
      <c r="L210" s="255"/>
      <c r="M210" s="255">
        <f t="shared" si="8"/>
        <v>0</v>
      </c>
      <c r="N210" s="256"/>
      <c r="P210" s="257"/>
      <c r="Q210" s="9"/>
      <c r="R210" s="9"/>
    </row>
    <row r="211" spans="1:18">
      <c r="A211" s="260">
        <v>1015</v>
      </c>
      <c r="B211" s="252">
        <v>481154</v>
      </c>
      <c r="C211" s="253" t="s">
        <v>332</v>
      </c>
      <c r="D211" s="254" t="s">
        <v>511</v>
      </c>
      <c r="E211" s="255"/>
      <c r="F211" s="255"/>
      <c r="G211" s="255"/>
      <c r="H211" s="255"/>
      <c r="I211" s="255"/>
      <c r="J211" s="255"/>
      <c r="K211" s="255"/>
      <c r="L211" s="255"/>
      <c r="M211" s="255">
        <f t="shared" si="8"/>
        <v>0</v>
      </c>
      <c r="N211" s="256"/>
      <c r="P211" s="257"/>
      <c r="Q211" s="9"/>
      <c r="R211" s="9"/>
    </row>
    <row r="212" spans="1:18">
      <c r="A212" s="260">
        <v>1015</v>
      </c>
      <c r="B212" s="252">
        <v>481155</v>
      </c>
      <c r="C212" s="253" t="s">
        <v>333</v>
      </c>
      <c r="D212" s="254" t="s">
        <v>511</v>
      </c>
      <c r="E212" s="255"/>
      <c r="F212" s="255"/>
      <c r="G212" s="255"/>
      <c r="H212" s="255"/>
      <c r="I212" s="255"/>
      <c r="J212" s="255"/>
      <c r="K212" s="255"/>
      <c r="L212" s="255"/>
      <c r="M212" s="255">
        <f t="shared" si="8"/>
        <v>0</v>
      </c>
      <c r="N212" s="256"/>
      <c r="P212" s="257"/>
      <c r="Q212" s="9"/>
      <c r="R212" s="9"/>
    </row>
    <row r="213" spans="1:18">
      <c r="A213" s="260">
        <v>1015</v>
      </c>
      <c r="B213" s="252">
        <v>481156</v>
      </c>
      <c r="C213" s="253" t="s">
        <v>334</v>
      </c>
      <c r="D213" s="254" t="s">
        <v>511</v>
      </c>
      <c r="E213" s="255"/>
      <c r="F213" s="255"/>
      <c r="G213" s="255"/>
      <c r="H213" s="255"/>
      <c r="I213" s="255"/>
      <c r="J213" s="255"/>
      <c r="K213" s="255"/>
      <c r="L213" s="255"/>
      <c r="M213" s="255">
        <f t="shared" si="8"/>
        <v>0</v>
      </c>
      <c r="N213" s="256"/>
      <c r="P213" s="257"/>
      <c r="Q213" s="9"/>
      <c r="R213" s="9"/>
    </row>
    <row r="214" spans="1:18">
      <c r="A214" s="260">
        <v>1015</v>
      </c>
      <c r="B214" s="252">
        <v>481157</v>
      </c>
      <c r="C214" s="253" t="s">
        <v>335</v>
      </c>
      <c r="D214" s="254" t="s">
        <v>511</v>
      </c>
      <c r="E214" s="255"/>
      <c r="F214" s="255"/>
      <c r="G214" s="255"/>
      <c r="H214" s="255"/>
      <c r="I214" s="255"/>
      <c r="J214" s="255"/>
      <c r="K214" s="255"/>
      <c r="L214" s="255"/>
      <c r="M214" s="255">
        <f t="shared" si="8"/>
        <v>0</v>
      </c>
      <c r="N214" s="256"/>
      <c r="P214" s="257"/>
      <c r="Q214" s="9"/>
      <c r="R214" s="9"/>
    </row>
    <row r="215" spans="1:18">
      <c r="A215" s="260">
        <v>1015</v>
      </c>
      <c r="B215" s="252">
        <v>481158</v>
      </c>
      <c r="C215" s="253" t="s">
        <v>336</v>
      </c>
      <c r="D215" s="254" t="s">
        <v>511</v>
      </c>
      <c r="E215" s="255"/>
      <c r="F215" s="255"/>
      <c r="G215" s="255"/>
      <c r="H215" s="255"/>
      <c r="I215" s="255"/>
      <c r="J215" s="255"/>
      <c r="K215" s="255"/>
      <c r="L215" s="255"/>
      <c r="M215" s="255">
        <f t="shared" si="8"/>
        <v>0</v>
      </c>
      <c r="N215" s="256"/>
      <c r="P215" s="257"/>
      <c r="Q215" s="9"/>
      <c r="R215" s="9"/>
    </row>
    <row r="216" spans="1:18">
      <c r="A216" s="260">
        <v>1015</v>
      </c>
      <c r="B216" s="252">
        <v>481159</v>
      </c>
      <c r="C216" s="253" t="s">
        <v>337</v>
      </c>
      <c r="D216" s="254" t="s">
        <v>511</v>
      </c>
      <c r="E216" s="255"/>
      <c r="F216" s="255"/>
      <c r="G216" s="255"/>
      <c r="H216" s="255"/>
      <c r="I216" s="255"/>
      <c r="J216" s="255"/>
      <c r="K216" s="255"/>
      <c r="L216" s="255"/>
      <c r="M216" s="255">
        <f t="shared" si="8"/>
        <v>0</v>
      </c>
      <c r="N216" s="256"/>
      <c r="P216" s="257"/>
      <c r="Q216" s="9"/>
      <c r="R216" s="9"/>
    </row>
    <row r="217" spans="1:18">
      <c r="A217" s="260">
        <v>1015</v>
      </c>
      <c r="B217" s="252">
        <v>481160</v>
      </c>
      <c r="C217" s="253" t="s">
        <v>338</v>
      </c>
      <c r="D217" s="254" t="s">
        <v>511</v>
      </c>
      <c r="E217" s="255"/>
      <c r="F217" s="255"/>
      <c r="G217" s="255"/>
      <c r="H217" s="255"/>
      <c r="I217" s="255"/>
      <c r="J217" s="255"/>
      <c r="K217" s="255"/>
      <c r="L217" s="255"/>
      <c r="M217" s="255">
        <f t="shared" si="8"/>
        <v>0</v>
      </c>
      <c r="N217" s="256"/>
      <c r="P217" s="257"/>
      <c r="Q217" s="9"/>
      <c r="R217" s="9"/>
    </row>
    <row r="218" spans="1:18">
      <c r="A218" s="260">
        <v>1015</v>
      </c>
      <c r="B218" s="252">
        <v>481164</v>
      </c>
      <c r="C218" s="253" t="s">
        <v>339</v>
      </c>
      <c r="D218" s="254" t="s">
        <v>511</v>
      </c>
      <c r="E218" s="255"/>
      <c r="F218" s="255"/>
      <c r="G218" s="255"/>
      <c r="H218" s="255"/>
      <c r="I218" s="255"/>
      <c r="J218" s="255"/>
      <c r="K218" s="255"/>
      <c r="L218" s="255"/>
      <c r="M218" s="255">
        <f t="shared" si="8"/>
        <v>0</v>
      </c>
      <c r="N218" s="256"/>
      <c r="P218" s="257"/>
      <c r="Q218" s="9"/>
      <c r="R218" s="9"/>
    </row>
    <row r="219" spans="1:18">
      <c r="A219" s="260">
        <v>1015</v>
      </c>
      <c r="B219" s="252">
        <v>481165</v>
      </c>
      <c r="C219" s="253" t="s">
        <v>340</v>
      </c>
      <c r="D219" s="254" t="s">
        <v>511</v>
      </c>
      <c r="E219" s="255"/>
      <c r="F219" s="255"/>
      <c r="G219" s="255"/>
      <c r="H219" s="255"/>
      <c r="I219" s="255"/>
      <c r="J219" s="255"/>
      <c r="K219" s="255"/>
      <c r="L219" s="255"/>
      <c r="M219" s="255">
        <f t="shared" si="8"/>
        <v>0</v>
      </c>
      <c r="N219" s="256"/>
      <c r="P219" s="257"/>
      <c r="Q219" s="9"/>
      <c r="R219" s="9"/>
    </row>
    <row r="220" spans="1:18">
      <c r="A220" s="260">
        <v>1015</v>
      </c>
      <c r="B220" s="252">
        <v>4812</v>
      </c>
      <c r="C220" s="253" t="s">
        <v>341</v>
      </c>
      <c r="D220" s="254" t="s">
        <v>511</v>
      </c>
      <c r="E220" s="255"/>
      <c r="F220" s="255"/>
      <c r="G220" s="255"/>
      <c r="H220" s="255"/>
      <c r="I220" s="255"/>
      <c r="J220" s="255"/>
      <c r="K220" s="255"/>
      <c r="L220" s="255"/>
      <c r="M220" s="255">
        <f t="shared" si="8"/>
        <v>0</v>
      </c>
      <c r="N220" s="256"/>
      <c r="P220" s="257"/>
      <c r="Q220" s="9"/>
      <c r="R220" s="9"/>
    </row>
    <row r="221" spans="1:18">
      <c r="A221" s="260">
        <v>1015</v>
      </c>
      <c r="B221" s="252">
        <v>48120</v>
      </c>
      <c r="C221" s="253" t="s">
        <v>342</v>
      </c>
      <c r="D221" s="254" t="s">
        <v>511</v>
      </c>
      <c r="E221" s="255"/>
      <c r="F221" s="255"/>
      <c r="G221" s="255"/>
      <c r="H221" s="255"/>
      <c r="I221" s="255"/>
      <c r="J221" s="255"/>
      <c r="K221" s="255"/>
      <c r="L221" s="255"/>
      <c r="M221" s="255">
        <f t="shared" si="8"/>
        <v>0</v>
      </c>
      <c r="N221" s="256"/>
      <c r="P221" s="257"/>
      <c r="Q221" s="9"/>
      <c r="R221" s="9"/>
    </row>
    <row r="222" spans="1:18">
      <c r="A222" s="260">
        <v>1015</v>
      </c>
      <c r="B222" s="420">
        <v>48138</v>
      </c>
      <c r="C222" s="421" t="s">
        <v>343</v>
      </c>
      <c r="D222" s="422" t="s">
        <v>511</v>
      </c>
      <c r="E222" s="255"/>
      <c r="F222" s="255"/>
      <c r="G222" s="255"/>
      <c r="H222" s="255"/>
      <c r="I222" s="531">
        <f>9293.97*139.59</f>
        <v>1297345.2722999998</v>
      </c>
      <c r="J222" s="403"/>
      <c r="K222" s="255"/>
      <c r="L222" s="255"/>
      <c r="M222" s="255">
        <f t="shared" si="8"/>
        <v>1297345.2722999998</v>
      </c>
      <c r="N222" s="256">
        <v>2051</v>
      </c>
      <c r="O222" s="532">
        <f>I222/139.59</f>
        <v>9293.9699999999993</v>
      </c>
      <c r="P222" s="257"/>
      <c r="Q222" s="9"/>
      <c r="R222" s="9"/>
    </row>
    <row r="223" spans="1:18">
      <c r="A223" s="260">
        <v>1015</v>
      </c>
      <c r="B223" s="252">
        <v>4814</v>
      </c>
      <c r="C223" s="253" t="s">
        <v>344</v>
      </c>
      <c r="D223" s="254" t="s">
        <v>512</v>
      </c>
      <c r="E223" s="255"/>
      <c r="F223" s="255"/>
      <c r="G223" s="255"/>
      <c r="H223" s="255"/>
      <c r="I223" s="255"/>
      <c r="J223" s="255"/>
      <c r="K223" s="255"/>
      <c r="L223" s="255"/>
      <c r="M223" s="255">
        <f t="shared" si="8"/>
        <v>0</v>
      </c>
      <c r="N223" s="256"/>
      <c r="P223" s="257"/>
      <c r="Q223" s="9"/>
      <c r="R223" s="9"/>
    </row>
    <row r="224" spans="1:18">
      <c r="A224" s="260">
        <v>1015</v>
      </c>
      <c r="B224" s="252">
        <v>486</v>
      </c>
      <c r="C224" s="253" t="s">
        <v>345</v>
      </c>
      <c r="D224" s="254" t="s">
        <v>511</v>
      </c>
      <c r="E224" s="255"/>
      <c r="F224" s="255"/>
      <c r="G224" s="255"/>
      <c r="H224" s="255"/>
      <c r="I224" s="255"/>
      <c r="J224" s="255"/>
      <c r="K224" s="255"/>
      <c r="L224" s="255"/>
      <c r="M224" s="255">
        <f t="shared" si="8"/>
        <v>0</v>
      </c>
      <c r="N224" s="256"/>
      <c r="P224" s="257"/>
      <c r="Q224" s="9"/>
      <c r="R224" s="9"/>
    </row>
    <row r="225" spans="1:18">
      <c r="A225" s="260">
        <v>1015</v>
      </c>
      <c r="B225" s="252">
        <v>48600</v>
      </c>
      <c r="C225" s="253" t="s">
        <v>346</v>
      </c>
      <c r="D225" s="254" t="s">
        <v>511</v>
      </c>
      <c r="E225" s="255"/>
      <c r="F225" s="255"/>
      <c r="G225" s="255"/>
      <c r="H225" s="255"/>
      <c r="I225" s="255"/>
      <c r="J225" s="255"/>
      <c r="K225" s="255"/>
      <c r="L225" s="255"/>
      <c r="M225" s="255">
        <f t="shared" si="8"/>
        <v>0</v>
      </c>
      <c r="N225" s="256"/>
      <c r="P225" s="257"/>
      <c r="Q225" s="9"/>
      <c r="R225" s="9"/>
    </row>
    <row r="226" spans="1:18">
      <c r="A226" s="260">
        <v>1015</v>
      </c>
      <c r="B226" s="252">
        <v>48606</v>
      </c>
      <c r="C226" s="253" t="s">
        <v>540</v>
      </c>
      <c r="D226" s="254" t="s">
        <v>511</v>
      </c>
      <c r="E226" s="255"/>
      <c r="F226" s="255"/>
      <c r="G226" s="255"/>
      <c r="H226" s="255"/>
      <c r="I226" s="255"/>
      <c r="J226" s="255"/>
      <c r="K226" s="255"/>
      <c r="L226" s="255"/>
      <c r="M226" s="255">
        <f t="shared" si="8"/>
        <v>0</v>
      </c>
      <c r="N226" s="256"/>
      <c r="P226" s="257"/>
      <c r="Q226" s="9"/>
      <c r="R226" s="9"/>
    </row>
    <row r="227" spans="1:18">
      <c r="A227" s="260">
        <v>1015</v>
      </c>
      <c r="B227" s="252">
        <v>48608</v>
      </c>
      <c r="C227" s="253" t="s">
        <v>347</v>
      </c>
      <c r="D227" s="254" t="s">
        <v>511</v>
      </c>
      <c r="E227" s="255"/>
      <c r="F227" s="255"/>
      <c r="G227" s="255"/>
      <c r="H227" s="255"/>
      <c r="I227" s="255"/>
      <c r="J227" s="255"/>
      <c r="K227" s="255"/>
      <c r="L227" s="255"/>
      <c r="M227" s="255">
        <f t="shared" si="8"/>
        <v>0</v>
      </c>
      <c r="N227" s="256"/>
      <c r="P227" s="257"/>
      <c r="Q227" s="9"/>
      <c r="R227" s="9"/>
    </row>
    <row r="228" spans="1:18">
      <c r="A228" s="260">
        <v>1015</v>
      </c>
      <c r="B228" s="252">
        <v>48609</v>
      </c>
      <c r="C228" s="253" t="s">
        <v>348</v>
      </c>
      <c r="D228" s="254" t="s">
        <v>511</v>
      </c>
      <c r="E228" s="255"/>
      <c r="F228" s="255"/>
      <c r="G228" s="255"/>
      <c r="H228" s="255"/>
      <c r="I228" s="255"/>
      <c r="J228" s="255"/>
      <c r="K228" s="255"/>
      <c r="L228" s="255"/>
      <c r="M228" s="255">
        <f t="shared" si="8"/>
        <v>0</v>
      </c>
      <c r="N228" s="256"/>
      <c r="P228" s="257"/>
      <c r="Q228" s="9"/>
      <c r="R228" s="9"/>
    </row>
    <row r="229" spans="1:18">
      <c r="A229" s="260">
        <v>1015</v>
      </c>
      <c r="B229" s="252">
        <v>4861</v>
      </c>
      <c r="C229" s="253" t="s">
        <v>349</v>
      </c>
      <c r="D229" s="254" t="s">
        <v>511</v>
      </c>
      <c r="E229" s="255"/>
      <c r="F229" s="255"/>
      <c r="G229" s="255"/>
      <c r="H229" s="255"/>
      <c r="I229" s="255"/>
      <c r="J229" s="255"/>
      <c r="K229" s="255"/>
      <c r="L229" s="255"/>
      <c r="M229" s="255">
        <f t="shared" si="8"/>
        <v>0</v>
      </c>
      <c r="N229" s="256"/>
      <c r="P229" s="257"/>
      <c r="Q229" s="9"/>
      <c r="R229" s="9"/>
    </row>
    <row r="230" spans="1:18">
      <c r="A230" s="260">
        <v>1015</v>
      </c>
      <c r="B230" s="252">
        <v>48610</v>
      </c>
      <c r="C230" s="253" t="s">
        <v>350</v>
      </c>
      <c r="D230" s="254" t="s">
        <v>511</v>
      </c>
      <c r="E230" s="255"/>
      <c r="F230" s="255"/>
      <c r="G230" s="255"/>
      <c r="H230" s="255"/>
      <c r="I230" s="255"/>
      <c r="J230" s="255"/>
      <c r="K230" s="255"/>
      <c r="L230" s="255"/>
      <c r="M230" s="255">
        <f t="shared" si="8"/>
        <v>0</v>
      </c>
      <c r="N230" s="256"/>
      <c r="P230" s="257"/>
      <c r="Q230" s="9"/>
      <c r="R230" s="9"/>
    </row>
    <row r="231" spans="1:18">
      <c r="A231" s="260">
        <v>1015</v>
      </c>
      <c r="B231" s="252">
        <v>48611</v>
      </c>
      <c r="C231" s="253" t="s">
        <v>351</v>
      </c>
      <c r="D231" s="254" t="s">
        <v>511</v>
      </c>
      <c r="E231" s="255"/>
      <c r="F231" s="255"/>
      <c r="G231" s="255"/>
      <c r="H231" s="255"/>
      <c r="I231" s="255"/>
      <c r="J231" s="255"/>
      <c r="K231" s="255"/>
      <c r="L231" s="255"/>
      <c r="M231" s="255">
        <f t="shared" si="8"/>
        <v>0</v>
      </c>
      <c r="N231" s="256"/>
      <c r="P231" s="257"/>
      <c r="Q231" s="9"/>
      <c r="R231" s="9"/>
    </row>
    <row r="232" spans="1:18">
      <c r="A232" s="260">
        <v>1015</v>
      </c>
      <c r="B232" s="252">
        <v>4863</v>
      </c>
      <c r="C232" s="253" t="s">
        <v>352</v>
      </c>
      <c r="D232" s="254" t="s">
        <v>511</v>
      </c>
      <c r="E232" s="255"/>
      <c r="F232" s="255"/>
      <c r="G232" s="255"/>
      <c r="H232" s="255"/>
      <c r="I232" s="255"/>
      <c r="J232" s="255"/>
      <c r="K232" s="255"/>
      <c r="L232" s="255"/>
      <c r="M232" s="255">
        <f t="shared" si="8"/>
        <v>0</v>
      </c>
      <c r="N232" s="256"/>
      <c r="P232" s="257"/>
      <c r="Q232" s="9"/>
      <c r="R232" s="9"/>
    </row>
    <row r="233" spans="1:18">
      <c r="A233" s="260">
        <v>1015</v>
      </c>
      <c r="B233" s="252">
        <v>4864</v>
      </c>
      <c r="C233" s="253" t="s">
        <v>541</v>
      </c>
      <c r="D233" s="254" t="s">
        <v>511</v>
      </c>
      <c r="E233" s="255"/>
      <c r="F233" s="255"/>
      <c r="G233" s="255"/>
      <c r="H233" s="255"/>
      <c r="I233" s="255"/>
      <c r="J233" s="255"/>
      <c r="K233" s="255"/>
      <c r="L233" s="255"/>
      <c r="M233" s="255">
        <f t="shared" si="8"/>
        <v>0</v>
      </c>
      <c r="N233" s="256"/>
      <c r="P233" s="257"/>
      <c r="Q233" s="9"/>
      <c r="R233" s="9"/>
    </row>
    <row r="234" spans="1:18">
      <c r="A234" s="260">
        <v>1015</v>
      </c>
      <c r="B234" s="252">
        <v>487201</v>
      </c>
      <c r="C234" s="253" t="s">
        <v>353</v>
      </c>
      <c r="D234" s="254" t="s">
        <v>511</v>
      </c>
      <c r="E234" s="255"/>
      <c r="F234" s="255"/>
      <c r="G234" s="255"/>
      <c r="H234" s="255"/>
      <c r="I234" s="255"/>
      <c r="J234" s="255"/>
      <c r="K234" s="255"/>
      <c r="L234" s="255"/>
      <c r="M234" s="255">
        <f t="shared" si="8"/>
        <v>0</v>
      </c>
      <c r="N234" s="256"/>
      <c r="P234" s="257"/>
      <c r="Q234" s="9"/>
      <c r="R234" s="9"/>
    </row>
    <row r="235" spans="1:18">
      <c r="A235" s="260">
        <v>1015</v>
      </c>
      <c r="B235" s="252">
        <v>487202</v>
      </c>
      <c r="C235" s="253" t="s">
        <v>542</v>
      </c>
      <c r="D235" s="254" t="s">
        <v>511</v>
      </c>
      <c r="E235" s="255"/>
      <c r="F235" s="255"/>
      <c r="G235" s="255"/>
      <c r="H235" s="255"/>
      <c r="I235" s="255"/>
      <c r="J235" s="255"/>
      <c r="K235" s="255"/>
      <c r="L235" s="255"/>
      <c r="M235" s="255">
        <f t="shared" si="8"/>
        <v>0</v>
      </c>
      <c r="N235" s="256"/>
      <c r="P235" s="257"/>
      <c r="Q235" s="9"/>
      <c r="R235" s="9"/>
    </row>
    <row r="236" spans="1:18">
      <c r="A236" s="260">
        <v>1015</v>
      </c>
      <c r="B236" s="252">
        <v>487224</v>
      </c>
      <c r="C236" s="253" t="s">
        <v>354</v>
      </c>
      <c r="D236" s="254" t="s">
        <v>511</v>
      </c>
      <c r="E236" s="255"/>
      <c r="F236" s="255"/>
      <c r="G236" s="255"/>
      <c r="H236" s="255"/>
      <c r="I236" s="255"/>
      <c r="J236" s="255"/>
      <c r="K236" s="255"/>
      <c r="L236" s="255"/>
      <c r="M236" s="255">
        <f t="shared" si="8"/>
        <v>0</v>
      </c>
      <c r="N236" s="256"/>
      <c r="P236" s="257"/>
      <c r="Q236" s="9"/>
      <c r="R236" s="9"/>
    </row>
    <row r="237" spans="1:18">
      <c r="A237" s="260">
        <v>1015</v>
      </c>
      <c r="B237" s="252">
        <v>487225</v>
      </c>
      <c r="C237" s="253" t="s">
        <v>355</v>
      </c>
      <c r="D237" s="254" t="s">
        <v>511</v>
      </c>
      <c r="E237" s="255"/>
      <c r="F237" s="255"/>
      <c r="G237" s="255"/>
      <c r="H237" s="255"/>
      <c r="I237" s="255"/>
      <c r="J237" s="255"/>
      <c r="K237" s="255"/>
      <c r="L237" s="255"/>
      <c r="M237" s="255">
        <f t="shared" si="8"/>
        <v>0</v>
      </c>
      <c r="N237" s="256"/>
      <c r="P237" s="257"/>
      <c r="Q237" s="9"/>
      <c r="R237" s="9"/>
    </row>
    <row r="238" spans="1:18">
      <c r="A238" s="260">
        <v>1015</v>
      </c>
      <c r="B238" s="252">
        <v>487226</v>
      </c>
      <c r="C238" s="253" t="s">
        <v>356</v>
      </c>
      <c r="D238" s="254" t="s">
        <v>511</v>
      </c>
      <c r="E238" s="255"/>
      <c r="F238" s="255"/>
      <c r="G238" s="255"/>
      <c r="H238" s="255"/>
      <c r="I238" s="255"/>
      <c r="J238" s="255"/>
      <c r="K238" s="255"/>
      <c r="L238" s="255"/>
      <c r="M238" s="255">
        <f t="shared" si="8"/>
        <v>0</v>
      </c>
      <c r="N238" s="256"/>
      <c r="P238" s="257"/>
      <c r="Q238" s="9"/>
      <c r="R238" s="9"/>
    </row>
    <row r="239" spans="1:18">
      <c r="A239" s="260">
        <v>1015</v>
      </c>
      <c r="B239" s="252">
        <v>487227</v>
      </c>
      <c r="C239" s="253" t="s">
        <v>357</v>
      </c>
      <c r="D239" s="254" t="s">
        <v>511</v>
      </c>
      <c r="E239" s="255"/>
      <c r="F239" s="255"/>
      <c r="G239" s="255"/>
      <c r="H239" s="255"/>
      <c r="I239" s="255"/>
      <c r="J239" s="255"/>
      <c r="K239" s="255"/>
      <c r="L239" s="255"/>
      <c r="M239" s="255">
        <f t="shared" si="8"/>
        <v>0</v>
      </c>
      <c r="N239" s="256"/>
      <c r="P239" s="257"/>
      <c r="Q239" s="9"/>
      <c r="R239" s="9"/>
    </row>
    <row r="240" spans="1:18">
      <c r="A240" s="260">
        <v>1015</v>
      </c>
      <c r="B240" s="252">
        <v>48726</v>
      </c>
      <c r="C240" s="253" t="s">
        <v>358</v>
      </c>
      <c r="D240" s="254" t="s">
        <v>513</v>
      </c>
      <c r="E240" s="255"/>
      <c r="F240" s="255"/>
      <c r="G240" s="255"/>
      <c r="H240" s="255"/>
      <c r="I240" s="255"/>
      <c r="J240" s="255"/>
      <c r="K240" s="255"/>
      <c r="L240" s="255"/>
      <c r="M240" s="255">
        <f t="shared" si="8"/>
        <v>0</v>
      </c>
      <c r="N240" s="256"/>
      <c r="P240" s="257"/>
      <c r="Q240" s="9"/>
      <c r="R240" s="9"/>
    </row>
    <row r="241" spans="1:18">
      <c r="A241" s="260">
        <v>1015</v>
      </c>
      <c r="B241" s="252">
        <v>48739</v>
      </c>
      <c r="C241" s="253" t="s">
        <v>359</v>
      </c>
      <c r="D241" s="254" t="s">
        <v>511</v>
      </c>
      <c r="E241" s="255"/>
      <c r="F241" s="255"/>
      <c r="G241" s="255"/>
      <c r="H241" s="255"/>
      <c r="I241" s="255"/>
      <c r="J241" s="255"/>
      <c r="K241" s="255"/>
      <c r="L241" s="255"/>
      <c r="M241" s="255">
        <f t="shared" si="8"/>
        <v>0</v>
      </c>
      <c r="N241" s="256"/>
      <c r="P241" s="257"/>
      <c r="Q241" s="9"/>
      <c r="R241" s="9"/>
    </row>
    <row r="242" spans="1:18">
      <c r="A242" s="260">
        <v>2010</v>
      </c>
      <c r="B242" s="252">
        <v>48800</v>
      </c>
      <c r="C242" s="253" t="s">
        <v>360</v>
      </c>
      <c r="D242" s="254" t="s">
        <v>511</v>
      </c>
      <c r="E242" s="255"/>
      <c r="F242" s="255"/>
      <c r="G242" s="255"/>
      <c r="H242" s="255"/>
      <c r="I242" s="255"/>
      <c r="J242" s="255"/>
      <c r="K242" s="255"/>
      <c r="L242" s="255"/>
      <c r="M242" s="255">
        <f t="shared" si="8"/>
        <v>0</v>
      </c>
      <c r="N242" s="256"/>
      <c r="P242" s="257"/>
      <c r="Q242" s="9"/>
      <c r="R242" s="9"/>
    </row>
    <row r="243" spans="1:18">
      <c r="A243" s="260">
        <v>1001</v>
      </c>
      <c r="B243" s="252">
        <v>51200</v>
      </c>
      <c r="C243" s="253" t="s">
        <v>361</v>
      </c>
      <c r="D243" s="254" t="s">
        <v>511</v>
      </c>
      <c r="E243" s="255"/>
      <c r="F243" s="255"/>
      <c r="G243" s="255"/>
      <c r="H243" s="255"/>
      <c r="I243" s="255"/>
      <c r="J243" s="255"/>
      <c r="K243" s="255"/>
      <c r="L243" s="255"/>
      <c r="M243" s="255">
        <f t="shared" si="8"/>
        <v>0</v>
      </c>
      <c r="N243" s="256"/>
      <c r="P243" s="257"/>
      <c r="Q243" s="9"/>
      <c r="R243" s="9"/>
    </row>
    <row r="244" spans="1:18">
      <c r="A244" s="260">
        <v>1001</v>
      </c>
      <c r="B244" s="252">
        <v>512000</v>
      </c>
      <c r="C244" s="253" t="s">
        <v>362</v>
      </c>
      <c r="D244" s="254" t="s">
        <v>511</v>
      </c>
      <c r="E244" s="255"/>
      <c r="F244" s="255"/>
      <c r="G244" s="255"/>
      <c r="H244" s="255"/>
      <c r="I244" s="255"/>
      <c r="J244" s="255"/>
      <c r="K244" s="255"/>
      <c r="L244" s="255"/>
      <c r="M244" s="255">
        <f t="shared" si="8"/>
        <v>0</v>
      </c>
      <c r="N244" s="256"/>
      <c r="P244" s="257"/>
      <c r="Q244" s="9"/>
      <c r="R244" s="9"/>
    </row>
    <row r="245" spans="1:18">
      <c r="A245" s="260">
        <v>1001</v>
      </c>
      <c r="B245" s="252">
        <v>512001</v>
      </c>
      <c r="C245" s="253" t="s">
        <v>363</v>
      </c>
      <c r="D245" s="254" t="s">
        <v>513</v>
      </c>
      <c r="E245" s="255"/>
      <c r="F245" s="255"/>
      <c r="G245" s="255"/>
      <c r="H245" s="255"/>
      <c r="I245" s="255"/>
      <c r="J245" s="255"/>
      <c r="K245" s="255"/>
      <c r="L245" s="255"/>
      <c r="M245" s="255">
        <f t="shared" si="8"/>
        <v>0</v>
      </c>
      <c r="N245" s="256"/>
      <c r="P245" s="257"/>
      <c r="Q245" s="9"/>
      <c r="R245" s="9"/>
    </row>
    <row r="246" spans="1:18">
      <c r="A246" s="260">
        <v>1001</v>
      </c>
      <c r="B246" s="420">
        <v>512002</v>
      </c>
      <c r="C246" s="421" t="s">
        <v>364</v>
      </c>
      <c r="D246" s="422" t="s">
        <v>512</v>
      </c>
      <c r="E246" s="255"/>
      <c r="F246" s="255"/>
      <c r="G246" s="255"/>
      <c r="H246" s="255"/>
      <c r="I246" s="531">
        <f>2150.84*139.59</f>
        <v>300235.75560000003</v>
      </c>
      <c r="J246" s="403"/>
      <c r="K246" s="255"/>
      <c r="L246" s="255"/>
      <c r="M246" s="255">
        <f t="shared" si="8"/>
        <v>300235.75560000003</v>
      </c>
      <c r="N246" s="256">
        <v>2239</v>
      </c>
      <c r="O246" s="532">
        <f>I246/139.59</f>
        <v>2150.84</v>
      </c>
      <c r="P246" s="257"/>
      <c r="Q246" s="9"/>
      <c r="R246" s="9"/>
    </row>
    <row r="247" spans="1:18">
      <c r="A247" s="260">
        <v>1001</v>
      </c>
      <c r="B247" s="252">
        <v>51201</v>
      </c>
      <c r="C247" s="253" t="s">
        <v>365</v>
      </c>
      <c r="D247" s="254" t="s">
        <v>513</v>
      </c>
      <c r="E247" s="255"/>
      <c r="F247" s="255"/>
      <c r="G247" s="255"/>
      <c r="H247" s="255"/>
      <c r="I247" s="255"/>
      <c r="J247" s="255"/>
      <c r="K247" s="255"/>
      <c r="L247" s="255"/>
      <c r="M247" s="255">
        <f t="shared" si="8"/>
        <v>0</v>
      </c>
      <c r="N247" s="256"/>
      <c r="P247" s="257"/>
      <c r="Q247" s="9"/>
      <c r="R247" s="9"/>
    </row>
    <row r="248" spans="1:18">
      <c r="A248" s="260">
        <v>1001</v>
      </c>
      <c r="B248" s="252">
        <v>512010</v>
      </c>
      <c r="C248" s="253" t="s">
        <v>366</v>
      </c>
      <c r="D248" s="254" t="s">
        <v>511</v>
      </c>
      <c r="E248" s="255"/>
      <c r="F248" s="255"/>
      <c r="G248" s="255"/>
      <c r="H248" s="255"/>
      <c r="I248" s="255"/>
      <c r="J248" s="255"/>
      <c r="K248" s="255"/>
      <c r="L248" s="255"/>
      <c r="M248" s="255">
        <f t="shared" si="8"/>
        <v>0</v>
      </c>
      <c r="N248" s="256"/>
      <c r="P248" s="257"/>
      <c r="Q248" s="9"/>
      <c r="R248" s="9"/>
    </row>
    <row r="249" spans="1:18">
      <c r="A249" s="260">
        <v>1001</v>
      </c>
      <c r="B249" s="252">
        <v>512011</v>
      </c>
      <c r="C249" s="253" t="s">
        <v>367</v>
      </c>
      <c r="D249" s="254" t="s">
        <v>513</v>
      </c>
      <c r="E249" s="255"/>
      <c r="F249" s="255"/>
      <c r="G249" s="255"/>
      <c r="H249" s="255"/>
      <c r="I249" s="255"/>
      <c r="J249" s="255"/>
      <c r="K249" s="255"/>
      <c r="L249" s="255"/>
      <c r="M249" s="255">
        <f t="shared" si="8"/>
        <v>0</v>
      </c>
      <c r="N249" s="256"/>
      <c r="P249" s="257"/>
      <c r="Q249" s="9"/>
      <c r="R249" s="9"/>
    </row>
    <row r="250" spans="1:18">
      <c r="A250" s="260">
        <v>1001</v>
      </c>
      <c r="B250" s="252">
        <v>512012</v>
      </c>
      <c r="C250" s="253" t="s">
        <v>368</v>
      </c>
      <c r="D250" s="254" t="s">
        <v>512</v>
      </c>
      <c r="E250" s="255"/>
      <c r="F250" s="255"/>
      <c r="G250" s="255"/>
      <c r="H250" s="255"/>
      <c r="I250" s="255"/>
      <c r="J250" s="255"/>
      <c r="K250" s="255"/>
      <c r="L250" s="255"/>
      <c r="M250" s="255">
        <f t="shared" si="8"/>
        <v>0</v>
      </c>
      <c r="N250" s="256"/>
      <c r="P250" s="257"/>
      <c r="Q250" s="9"/>
      <c r="R250" s="9"/>
    </row>
    <row r="251" spans="1:18">
      <c r="A251" s="260">
        <v>1001</v>
      </c>
      <c r="B251" s="252">
        <v>51202</v>
      </c>
      <c r="C251" s="253" t="s">
        <v>369</v>
      </c>
      <c r="D251" s="254" t="s">
        <v>512</v>
      </c>
      <c r="E251" s="255"/>
      <c r="F251" s="255"/>
      <c r="G251" s="255"/>
      <c r="H251" s="255"/>
      <c r="I251" s="255"/>
      <c r="J251" s="255"/>
      <c r="K251" s="255"/>
      <c r="L251" s="255"/>
      <c r="M251" s="255">
        <f t="shared" si="8"/>
        <v>0</v>
      </c>
      <c r="N251" s="256"/>
      <c r="P251" s="257"/>
      <c r="Q251" s="9"/>
      <c r="R251" s="9"/>
    </row>
    <row r="252" spans="1:18">
      <c r="A252" s="260">
        <v>1001</v>
      </c>
      <c r="B252" s="252">
        <v>512020</v>
      </c>
      <c r="C252" s="253" t="s">
        <v>370</v>
      </c>
      <c r="D252" s="254" t="s">
        <v>511</v>
      </c>
      <c r="E252" s="255"/>
      <c r="F252" s="255"/>
      <c r="G252" s="255"/>
      <c r="H252" s="255"/>
      <c r="I252" s="255"/>
      <c r="J252" s="255"/>
      <c r="K252" s="255"/>
      <c r="L252" s="255"/>
      <c r="M252" s="255">
        <f t="shared" si="8"/>
        <v>0</v>
      </c>
      <c r="N252" s="256"/>
      <c r="P252" s="257"/>
      <c r="Q252" s="9"/>
      <c r="R252" s="9"/>
    </row>
    <row r="253" spans="1:18">
      <c r="A253" s="260">
        <v>1001</v>
      </c>
      <c r="B253" s="252">
        <v>512022</v>
      </c>
      <c r="C253" s="253" t="s">
        <v>371</v>
      </c>
      <c r="D253" s="254" t="s">
        <v>513</v>
      </c>
      <c r="E253" s="255"/>
      <c r="F253" s="255"/>
      <c r="G253" s="255"/>
      <c r="H253" s="255"/>
      <c r="I253" s="255"/>
      <c r="J253" s="255"/>
      <c r="K253" s="255"/>
      <c r="L253" s="255"/>
      <c r="M253" s="255">
        <f t="shared" si="8"/>
        <v>0</v>
      </c>
      <c r="N253" s="256"/>
      <c r="P253" s="257"/>
      <c r="Q253" s="9"/>
      <c r="R253" s="9"/>
    </row>
    <row r="254" spans="1:18">
      <c r="A254" s="260">
        <v>2002</v>
      </c>
      <c r="B254" s="252">
        <v>512023</v>
      </c>
      <c r="C254" s="253" t="s">
        <v>372</v>
      </c>
      <c r="D254" s="254" t="s">
        <v>513</v>
      </c>
      <c r="E254" s="255"/>
      <c r="F254" s="255"/>
      <c r="G254" s="255"/>
      <c r="H254" s="255"/>
      <c r="I254" s="255"/>
      <c r="J254" s="255"/>
      <c r="K254" s="255"/>
      <c r="L254" s="255"/>
      <c r="M254" s="255">
        <f t="shared" si="8"/>
        <v>0</v>
      </c>
      <c r="N254" s="256"/>
      <c r="P254" s="257"/>
      <c r="Q254" s="9"/>
      <c r="R254" s="9"/>
    </row>
    <row r="255" spans="1:18">
      <c r="A255" s="260">
        <v>1001</v>
      </c>
      <c r="B255" s="252">
        <v>512024</v>
      </c>
      <c r="C255" s="253" t="s">
        <v>373</v>
      </c>
      <c r="D255" s="254" t="s">
        <v>512</v>
      </c>
      <c r="E255" s="255"/>
      <c r="F255" s="255"/>
      <c r="G255" s="255"/>
      <c r="H255" s="255"/>
      <c r="I255" s="255"/>
      <c r="J255" s="255"/>
      <c r="K255" s="255"/>
      <c r="L255" s="255"/>
      <c r="M255" s="255">
        <f t="shared" si="8"/>
        <v>0</v>
      </c>
      <c r="N255" s="256"/>
      <c r="P255" s="257"/>
      <c r="Q255" s="9"/>
      <c r="R255" s="9"/>
    </row>
    <row r="256" spans="1:18">
      <c r="A256" s="260">
        <v>1001</v>
      </c>
      <c r="B256" s="252">
        <v>512025</v>
      </c>
      <c r="C256" s="253" t="s">
        <v>374</v>
      </c>
      <c r="D256" s="254" t="s">
        <v>512</v>
      </c>
      <c r="E256" s="255"/>
      <c r="F256" s="255"/>
      <c r="G256" s="255"/>
      <c r="H256" s="255"/>
      <c r="I256" s="255"/>
      <c r="J256" s="255"/>
      <c r="K256" s="255"/>
      <c r="L256" s="255"/>
      <c r="M256" s="255">
        <f t="shared" si="8"/>
        <v>0</v>
      </c>
      <c r="N256" s="256"/>
      <c r="P256" s="257"/>
      <c r="Q256" s="9"/>
      <c r="R256" s="9"/>
    </row>
    <row r="257" spans="1:18">
      <c r="A257" s="260">
        <v>1001</v>
      </c>
      <c r="B257" s="252">
        <v>512026</v>
      </c>
      <c r="C257" s="253" t="s">
        <v>375</v>
      </c>
      <c r="D257" s="254" t="s">
        <v>515</v>
      </c>
      <c r="E257" s="255"/>
      <c r="F257" s="255"/>
      <c r="G257" s="255"/>
      <c r="H257" s="255"/>
      <c r="I257" s="255"/>
      <c r="J257" s="255"/>
      <c r="K257" s="255"/>
      <c r="L257" s="255"/>
      <c r="M257" s="255">
        <f t="shared" si="8"/>
        <v>0</v>
      </c>
      <c r="N257" s="256"/>
      <c r="P257" s="257"/>
      <c r="Q257" s="9"/>
      <c r="R257" s="9"/>
    </row>
    <row r="258" spans="1:18">
      <c r="A258" s="260">
        <v>1001</v>
      </c>
      <c r="B258" s="252">
        <v>512027</v>
      </c>
      <c r="C258" s="253" t="s">
        <v>376</v>
      </c>
      <c r="D258" s="254" t="s">
        <v>514</v>
      </c>
      <c r="E258" s="255"/>
      <c r="F258" s="255"/>
      <c r="G258" s="255"/>
      <c r="H258" s="255"/>
      <c r="I258" s="255"/>
      <c r="J258" s="255"/>
      <c r="K258" s="255"/>
      <c r="L258" s="255"/>
      <c r="M258" s="255">
        <f t="shared" si="8"/>
        <v>0</v>
      </c>
      <c r="N258" s="256"/>
      <c r="P258" s="257"/>
      <c r="Q258" s="9"/>
      <c r="R258" s="9"/>
    </row>
    <row r="259" spans="1:18">
      <c r="A259" s="260">
        <v>1001</v>
      </c>
      <c r="B259" s="252">
        <v>512028</v>
      </c>
      <c r="C259" s="253" t="s">
        <v>377</v>
      </c>
      <c r="D259" s="254" t="s">
        <v>511</v>
      </c>
      <c r="E259" s="255"/>
      <c r="F259" s="255"/>
      <c r="G259" s="255"/>
      <c r="H259" s="255"/>
      <c r="I259" s="255"/>
      <c r="J259" s="255"/>
      <c r="K259" s="255"/>
      <c r="L259" s="255"/>
      <c r="M259" s="255">
        <f t="shared" si="8"/>
        <v>0</v>
      </c>
      <c r="N259" s="256"/>
      <c r="P259" s="257"/>
      <c r="Q259" s="9"/>
      <c r="R259" s="9"/>
    </row>
    <row r="260" spans="1:18">
      <c r="A260" s="260">
        <v>2002</v>
      </c>
      <c r="B260" s="252">
        <v>512030</v>
      </c>
      <c r="C260" s="253" t="s">
        <v>378</v>
      </c>
      <c r="D260" s="254" t="s">
        <v>511</v>
      </c>
      <c r="E260" s="255"/>
      <c r="F260" s="255"/>
      <c r="G260" s="255"/>
      <c r="H260" s="255"/>
      <c r="I260" s="255"/>
      <c r="J260" s="255"/>
      <c r="K260" s="255"/>
      <c r="L260" s="255"/>
      <c r="M260" s="255">
        <f t="shared" si="8"/>
        <v>0</v>
      </c>
      <c r="N260" s="256"/>
      <c r="P260" s="257"/>
      <c r="Q260" s="9"/>
      <c r="R260" s="9"/>
    </row>
    <row r="261" spans="1:18">
      <c r="A261" s="260">
        <v>1001</v>
      </c>
      <c r="B261" s="252">
        <v>512031</v>
      </c>
      <c r="C261" s="253" t="s">
        <v>379</v>
      </c>
      <c r="D261" s="254" t="s">
        <v>513</v>
      </c>
      <c r="E261" s="255"/>
      <c r="F261" s="255"/>
      <c r="G261" s="255"/>
      <c r="H261" s="255"/>
      <c r="I261" s="255"/>
      <c r="J261" s="255"/>
      <c r="K261" s="255"/>
      <c r="L261" s="255"/>
      <c r="M261" s="255">
        <f t="shared" si="8"/>
        <v>0</v>
      </c>
      <c r="N261" s="256"/>
      <c r="P261" s="257"/>
      <c r="Q261" s="9"/>
      <c r="R261" s="9"/>
    </row>
    <row r="262" spans="1:18">
      <c r="A262" s="260">
        <v>1001</v>
      </c>
      <c r="B262" s="252">
        <v>512032</v>
      </c>
      <c r="C262" s="253" t="s">
        <v>380</v>
      </c>
      <c r="D262" s="254" t="s">
        <v>512</v>
      </c>
      <c r="E262" s="255"/>
      <c r="F262" s="255"/>
      <c r="G262" s="255"/>
      <c r="H262" s="255"/>
      <c r="I262" s="255"/>
      <c r="J262" s="255"/>
      <c r="K262" s="255"/>
      <c r="L262" s="255"/>
      <c r="M262" s="255">
        <f t="shared" ref="M262:M325" si="9">(+I262-J262)+K262-L262</f>
        <v>0</v>
      </c>
      <c r="N262" s="256"/>
      <c r="P262" s="257"/>
      <c r="Q262" s="9"/>
      <c r="R262" s="9"/>
    </row>
    <row r="263" spans="1:18">
      <c r="A263" s="260">
        <v>2002</v>
      </c>
      <c r="B263" s="252">
        <v>512033</v>
      </c>
      <c r="C263" s="253" t="s">
        <v>381</v>
      </c>
      <c r="D263" s="254" t="s">
        <v>513</v>
      </c>
      <c r="E263" s="255"/>
      <c r="F263" s="255"/>
      <c r="G263" s="255"/>
      <c r="H263" s="255"/>
      <c r="I263" s="255"/>
      <c r="J263" s="255"/>
      <c r="K263" s="255"/>
      <c r="L263" s="255"/>
      <c r="M263" s="255">
        <f t="shared" si="9"/>
        <v>0</v>
      </c>
      <c r="N263" s="256"/>
      <c r="P263" s="257"/>
      <c r="Q263" s="9"/>
      <c r="R263" s="9"/>
    </row>
    <row r="264" spans="1:18">
      <c r="A264" s="260">
        <v>2002</v>
      </c>
      <c r="B264" s="252">
        <v>512034</v>
      </c>
      <c r="C264" s="253" t="s">
        <v>382</v>
      </c>
      <c r="D264" s="254" t="s">
        <v>511</v>
      </c>
      <c r="E264" s="255"/>
      <c r="F264" s="255"/>
      <c r="G264" s="255"/>
      <c r="H264" s="255"/>
      <c r="I264" s="255"/>
      <c r="J264" s="255"/>
      <c r="K264" s="255"/>
      <c r="L264" s="255"/>
      <c r="M264" s="255">
        <f t="shared" si="9"/>
        <v>0</v>
      </c>
      <c r="N264" s="256"/>
      <c r="P264" s="257"/>
      <c r="Q264" s="9"/>
      <c r="R264" s="9"/>
    </row>
    <row r="265" spans="1:18">
      <c r="A265" s="260">
        <v>2002</v>
      </c>
      <c r="B265" s="252">
        <v>512040</v>
      </c>
      <c r="C265" s="253" t="s">
        <v>383</v>
      </c>
      <c r="D265" s="254" t="s">
        <v>511</v>
      </c>
      <c r="E265" s="255"/>
      <c r="F265" s="255"/>
      <c r="G265" s="255"/>
      <c r="H265" s="255"/>
      <c r="I265" s="255"/>
      <c r="J265" s="255"/>
      <c r="K265" s="255"/>
      <c r="L265" s="255"/>
      <c r="M265" s="255">
        <f t="shared" si="9"/>
        <v>0</v>
      </c>
      <c r="N265" s="256"/>
      <c r="P265" s="257"/>
      <c r="Q265" s="9"/>
      <c r="R265" s="9"/>
    </row>
    <row r="266" spans="1:18">
      <c r="A266" s="260">
        <v>1001</v>
      </c>
      <c r="B266" s="252">
        <v>512041</v>
      </c>
      <c r="C266" s="253" t="s">
        <v>384</v>
      </c>
      <c r="D266" s="254" t="s">
        <v>513</v>
      </c>
      <c r="E266" s="255"/>
      <c r="F266" s="255"/>
      <c r="G266" s="255"/>
      <c r="H266" s="255"/>
      <c r="I266" s="255"/>
      <c r="J266" s="255"/>
      <c r="K266" s="255"/>
      <c r="L266" s="255"/>
      <c r="M266" s="255">
        <f t="shared" si="9"/>
        <v>0</v>
      </c>
      <c r="N266" s="256"/>
      <c r="P266" s="257"/>
      <c r="Q266" s="9"/>
      <c r="R266" s="9"/>
    </row>
    <row r="267" spans="1:18">
      <c r="A267" s="260">
        <v>2002</v>
      </c>
      <c r="B267" s="252">
        <v>512042</v>
      </c>
      <c r="C267" s="253" t="s">
        <v>385</v>
      </c>
      <c r="D267" s="254" t="s">
        <v>512</v>
      </c>
      <c r="E267" s="255"/>
      <c r="F267" s="255"/>
      <c r="G267" s="255"/>
      <c r="H267" s="255"/>
      <c r="I267" s="255"/>
      <c r="J267" s="255"/>
      <c r="K267" s="255"/>
      <c r="L267" s="255"/>
      <c r="M267" s="255">
        <f t="shared" si="9"/>
        <v>0</v>
      </c>
      <c r="N267" s="256"/>
      <c r="P267" s="257"/>
      <c r="Q267" s="9"/>
      <c r="R267" s="9"/>
    </row>
    <row r="268" spans="1:18">
      <c r="A268" s="260">
        <v>2002</v>
      </c>
      <c r="B268" s="252">
        <v>512043</v>
      </c>
      <c r="C268" s="253" t="s">
        <v>543</v>
      </c>
      <c r="D268" s="254" t="s">
        <v>511</v>
      </c>
      <c r="E268" s="255"/>
      <c r="F268" s="255"/>
      <c r="G268" s="255"/>
      <c r="H268" s="255"/>
      <c r="I268" s="255"/>
      <c r="J268" s="255"/>
      <c r="K268" s="255"/>
      <c r="L268" s="255"/>
      <c r="M268" s="255">
        <f t="shared" si="9"/>
        <v>0</v>
      </c>
      <c r="N268" s="256"/>
      <c r="P268" s="257"/>
      <c r="Q268" s="9"/>
      <c r="R268" s="9"/>
    </row>
    <row r="269" spans="1:18">
      <c r="A269" s="260">
        <v>2002</v>
      </c>
      <c r="B269" s="252">
        <v>512050</v>
      </c>
      <c r="C269" s="253" t="s">
        <v>386</v>
      </c>
      <c r="D269" s="254" t="s">
        <v>511</v>
      </c>
      <c r="E269" s="255"/>
      <c r="F269" s="255"/>
      <c r="G269" s="255"/>
      <c r="H269" s="255"/>
      <c r="I269" s="255"/>
      <c r="J269" s="255"/>
      <c r="K269" s="255"/>
      <c r="L269" s="255"/>
      <c r="M269" s="255">
        <f t="shared" si="9"/>
        <v>0</v>
      </c>
      <c r="N269" s="256"/>
      <c r="P269" s="257"/>
      <c r="Q269" s="9"/>
      <c r="R269" s="9"/>
    </row>
    <row r="270" spans="1:18">
      <c r="A270" s="260">
        <v>1001</v>
      </c>
      <c r="B270" s="252">
        <v>512051</v>
      </c>
      <c r="C270" s="253" t="s">
        <v>387</v>
      </c>
      <c r="D270" s="254" t="s">
        <v>513</v>
      </c>
      <c r="E270" s="255"/>
      <c r="F270" s="255"/>
      <c r="G270" s="255"/>
      <c r="H270" s="255"/>
      <c r="I270" s="255"/>
      <c r="J270" s="255"/>
      <c r="K270" s="255"/>
      <c r="L270" s="255"/>
      <c r="M270" s="255">
        <f t="shared" si="9"/>
        <v>0</v>
      </c>
      <c r="N270" s="256"/>
      <c r="P270" s="257"/>
      <c r="Q270" s="9"/>
      <c r="R270" s="9"/>
    </row>
    <row r="271" spans="1:18">
      <c r="A271" s="260">
        <v>1001</v>
      </c>
      <c r="B271" s="252">
        <v>512052</v>
      </c>
      <c r="C271" s="253" t="s">
        <v>388</v>
      </c>
      <c r="D271" s="254" t="s">
        <v>512</v>
      </c>
      <c r="E271" s="255"/>
      <c r="F271" s="255"/>
      <c r="G271" s="255"/>
      <c r="H271" s="255"/>
      <c r="I271" s="255"/>
      <c r="J271" s="255"/>
      <c r="K271" s="255"/>
      <c r="L271" s="255"/>
      <c r="M271" s="255">
        <f t="shared" si="9"/>
        <v>0</v>
      </c>
      <c r="N271" s="256"/>
      <c r="P271" s="257"/>
      <c r="Q271" s="9"/>
      <c r="R271" s="9"/>
    </row>
    <row r="272" spans="1:18">
      <c r="A272" s="260">
        <v>1001</v>
      </c>
      <c r="B272" s="252">
        <v>512053</v>
      </c>
      <c r="C272" s="253" t="s">
        <v>389</v>
      </c>
      <c r="D272" s="254" t="s">
        <v>511</v>
      </c>
      <c r="E272" s="255"/>
      <c r="F272" s="255"/>
      <c r="G272" s="255"/>
      <c r="H272" s="255"/>
      <c r="I272" s="255"/>
      <c r="J272" s="255"/>
      <c r="K272" s="255"/>
      <c r="L272" s="255"/>
      <c r="M272" s="255">
        <f t="shared" si="9"/>
        <v>0</v>
      </c>
      <c r="N272" s="256"/>
      <c r="P272" s="257"/>
      <c r="Q272" s="9"/>
      <c r="R272" s="9"/>
    </row>
    <row r="273" spans="1:18">
      <c r="A273" s="260">
        <v>2002</v>
      </c>
      <c r="B273" s="252">
        <v>512060</v>
      </c>
      <c r="C273" s="253" t="s">
        <v>390</v>
      </c>
      <c r="D273" s="254" t="s">
        <v>511</v>
      </c>
      <c r="E273" s="255"/>
      <c r="F273" s="255"/>
      <c r="G273" s="255"/>
      <c r="H273" s="255"/>
      <c r="I273" s="255"/>
      <c r="J273" s="255"/>
      <c r="K273" s="255"/>
      <c r="L273" s="255"/>
      <c r="M273" s="255">
        <f t="shared" si="9"/>
        <v>0</v>
      </c>
      <c r="N273" s="256"/>
      <c r="P273" s="257"/>
      <c r="Q273" s="9"/>
      <c r="R273" s="9"/>
    </row>
    <row r="274" spans="1:18">
      <c r="A274" s="260">
        <v>1001</v>
      </c>
      <c r="B274" s="252">
        <v>512061</v>
      </c>
      <c r="C274" s="253" t="s">
        <v>391</v>
      </c>
      <c r="D274" s="254" t="s">
        <v>513</v>
      </c>
      <c r="E274" s="255"/>
      <c r="F274" s="255"/>
      <c r="G274" s="255"/>
      <c r="H274" s="255"/>
      <c r="I274" s="255"/>
      <c r="J274" s="255"/>
      <c r="K274" s="255"/>
      <c r="L274" s="255"/>
      <c r="M274" s="255">
        <f t="shared" si="9"/>
        <v>0</v>
      </c>
      <c r="N274" s="256"/>
      <c r="P274" s="257"/>
      <c r="Q274" s="9"/>
      <c r="R274" s="9"/>
    </row>
    <row r="275" spans="1:18">
      <c r="A275" s="260">
        <v>1001</v>
      </c>
      <c r="B275" s="252">
        <v>512062</v>
      </c>
      <c r="C275" s="253" t="s">
        <v>392</v>
      </c>
      <c r="D275" s="254" t="s">
        <v>512</v>
      </c>
      <c r="E275" s="255"/>
      <c r="F275" s="255"/>
      <c r="G275" s="255"/>
      <c r="H275" s="255"/>
      <c r="I275" s="255"/>
      <c r="J275" s="255"/>
      <c r="K275" s="255"/>
      <c r="L275" s="255"/>
      <c r="M275" s="255">
        <f t="shared" si="9"/>
        <v>0</v>
      </c>
      <c r="N275" s="256"/>
      <c r="P275" s="257"/>
      <c r="Q275" s="9"/>
      <c r="R275" s="9"/>
    </row>
    <row r="276" spans="1:18">
      <c r="A276" s="260">
        <v>2002</v>
      </c>
      <c r="B276" s="252">
        <v>512063</v>
      </c>
      <c r="C276" s="253" t="s">
        <v>544</v>
      </c>
      <c r="D276" s="254" t="s">
        <v>511</v>
      </c>
      <c r="E276" s="255"/>
      <c r="F276" s="255"/>
      <c r="G276" s="255"/>
      <c r="H276" s="255"/>
      <c r="I276" s="255"/>
      <c r="J276" s="255"/>
      <c r="K276" s="255"/>
      <c r="L276" s="255"/>
      <c r="M276" s="255">
        <f t="shared" si="9"/>
        <v>0</v>
      </c>
      <c r="N276" s="256"/>
      <c r="P276" s="257"/>
      <c r="Q276" s="9"/>
      <c r="R276" s="9"/>
    </row>
    <row r="277" spans="1:18">
      <c r="A277" s="260">
        <v>1001</v>
      </c>
      <c r="B277" s="252">
        <v>512070</v>
      </c>
      <c r="C277" s="253" t="s">
        <v>393</v>
      </c>
      <c r="D277" s="254" t="s">
        <v>511</v>
      </c>
      <c r="E277" s="255"/>
      <c r="F277" s="255"/>
      <c r="G277" s="255"/>
      <c r="H277" s="255"/>
      <c r="I277" s="255"/>
      <c r="J277" s="255"/>
      <c r="K277" s="255"/>
      <c r="L277" s="255"/>
      <c r="M277" s="255">
        <f t="shared" si="9"/>
        <v>0</v>
      </c>
      <c r="N277" s="256"/>
      <c r="P277" s="257"/>
      <c r="Q277" s="9"/>
      <c r="R277" s="9"/>
    </row>
    <row r="278" spans="1:18">
      <c r="A278" s="260">
        <v>2002</v>
      </c>
      <c r="B278" s="252">
        <v>512071</v>
      </c>
      <c r="C278" s="253" t="s">
        <v>394</v>
      </c>
      <c r="D278" s="254" t="s">
        <v>513</v>
      </c>
      <c r="E278" s="255"/>
      <c r="F278" s="255"/>
      <c r="G278" s="255"/>
      <c r="H278" s="255"/>
      <c r="I278" s="255"/>
      <c r="J278" s="255"/>
      <c r="K278" s="255"/>
      <c r="L278" s="255"/>
      <c r="M278" s="255">
        <f t="shared" si="9"/>
        <v>0</v>
      </c>
      <c r="N278" s="256"/>
      <c r="P278" s="257"/>
      <c r="Q278" s="9"/>
      <c r="R278" s="9"/>
    </row>
    <row r="279" spans="1:18">
      <c r="A279" s="260">
        <v>1001</v>
      </c>
      <c r="B279" s="252">
        <v>512072</v>
      </c>
      <c r="C279" s="253" t="s">
        <v>395</v>
      </c>
      <c r="D279" s="254" t="s">
        <v>512</v>
      </c>
      <c r="E279" s="255"/>
      <c r="F279" s="255"/>
      <c r="G279" s="255"/>
      <c r="H279" s="255"/>
      <c r="I279" s="255"/>
      <c r="J279" s="255"/>
      <c r="K279" s="255"/>
      <c r="L279" s="255"/>
      <c r="M279" s="255">
        <f t="shared" si="9"/>
        <v>0</v>
      </c>
      <c r="N279" s="256"/>
      <c r="P279" s="257"/>
      <c r="Q279" s="9"/>
      <c r="R279" s="9"/>
    </row>
    <row r="280" spans="1:18">
      <c r="A280" s="260">
        <v>1001</v>
      </c>
      <c r="B280" s="252">
        <v>512080</v>
      </c>
      <c r="C280" s="253" t="s">
        <v>396</v>
      </c>
      <c r="D280" s="254" t="s">
        <v>511</v>
      </c>
      <c r="E280" s="255"/>
      <c r="F280" s="255"/>
      <c r="G280" s="255"/>
      <c r="H280" s="255"/>
      <c r="I280" s="255"/>
      <c r="J280" s="255"/>
      <c r="K280" s="255"/>
      <c r="L280" s="255"/>
      <c r="M280" s="255">
        <f t="shared" si="9"/>
        <v>0</v>
      </c>
      <c r="N280" s="256"/>
      <c r="P280" s="257"/>
      <c r="Q280" s="9"/>
      <c r="R280" s="9"/>
    </row>
    <row r="281" spans="1:18">
      <c r="A281" s="260">
        <v>1001</v>
      </c>
      <c r="B281" s="252">
        <v>512081</v>
      </c>
      <c r="C281" s="253" t="s">
        <v>397</v>
      </c>
      <c r="D281" s="254" t="s">
        <v>512</v>
      </c>
      <c r="E281" s="255"/>
      <c r="F281" s="255"/>
      <c r="G281" s="255"/>
      <c r="H281" s="255"/>
      <c r="I281" s="255"/>
      <c r="J281" s="255"/>
      <c r="K281" s="255"/>
      <c r="L281" s="255"/>
      <c r="M281" s="255">
        <f t="shared" si="9"/>
        <v>0</v>
      </c>
      <c r="N281" s="256"/>
      <c r="P281" s="257"/>
      <c r="Q281" s="9"/>
      <c r="R281" s="9"/>
    </row>
    <row r="282" spans="1:18">
      <c r="A282" s="260">
        <v>1001</v>
      </c>
      <c r="B282" s="252">
        <v>512082</v>
      </c>
      <c r="C282" s="253" t="s">
        <v>398</v>
      </c>
      <c r="D282" s="254" t="s">
        <v>513</v>
      </c>
      <c r="E282" s="255"/>
      <c r="F282" s="255"/>
      <c r="G282" s="255"/>
      <c r="H282" s="255"/>
      <c r="I282" s="255"/>
      <c r="J282" s="255"/>
      <c r="K282" s="255"/>
      <c r="L282" s="255"/>
      <c r="M282" s="255">
        <f t="shared" si="9"/>
        <v>0</v>
      </c>
      <c r="N282" s="256"/>
      <c r="P282" s="257"/>
      <c r="Q282" s="9"/>
      <c r="R282" s="9"/>
    </row>
    <row r="283" spans="1:18">
      <c r="A283" s="260">
        <v>1001</v>
      </c>
      <c r="B283" s="252">
        <v>512100</v>
      </c>
      <c r="C283" s="253" t="s">
        <v>399</v>
      </c>
      <c r="D283" s="254" t="s">
        <v>513</v>
      </c>
      <c r="E283" s="255"/>
      <c r="F283" s="255"/>
      <c r="G283" s="255"/>
      <c r="H283" s="255"/>
      <c r="I283" s="255"/>
      <c r="J283" s="255"/>
      <c r="K283" s="255"/>
      <c r="L283" s="255"/>
      <c r="M283" s="255">
        <f t="shared" si="9"/>
        <v>0</v>
      </c>
      <c r="N283" s="256"/>
      <c r="P283" s="257"/>
      <c r="Q283" s="9"/>
      <c r="R283" s="9"/>
    </row>
    <row r="284" spans="1:18">
      <c r="A284" s="260">
        <v>1001</v>
      </c>
      <c r="B284" s="252">
        <v>512101</v>
      </c>
      <c r="C284" s="253" t="s">
        <v>400</v>
      </c>
      <c r="D284" s="254" t="s">
        <v>512</v>
      </c>
      <c r="E284" s="255"/>
      <c r="F284" s="255"/>
      <c r="G284" s="255"/>
      <c r="H284" s="255"/>
      <c r="I284" s="255"/>
      <c r="J284" s="255"/>
      <c r="K284" s="255"/>
      <c r="L284" s="255"/>
      <c r="M284" s="255">
        <f t="shared" si="9"/>
        <v>0</v>
      </c>
      <c r="N284" s="256"/>
      <c r="P284" s="257"/>
      <c r="Q284" s="9"/>
      <c r="R284" s="9"/>
    </row>
    <row r="285" spans="1:18">
      <c r="A285" s="260">
        <v>1001</v>
      </c>
      <c r="B285" s="252">
        <v>512200</v>
      </c>
      <c r="C285" s="253" t="s">
        <v>401</v>
      </c>
      <c r="D285" s="254" t="s">
        <v>511</v>
      </c>
      <c r="E285" s="255"/>
      <c r="F285" s="255"/>
      <c r="G285" s="255"/>
      <c r="H285" s="255"/>
      <c r="I285" s="255"/>
      <c r="J285" s="255"/>
      <c r="K285" s="255"/>
      <c r="L285" s="255"/>
      <c r="M285" s="255">
        <f t="shared" si="9"/>
        <v>0</v>
      </c>
      <c r="N285" s="256"/>
      <c r="P285" s="257"/>
      <c r="Q285" s="9"/>
      <c r="R285" s="9"/>
    </row>
    <row r="286" spans="1:18">
      <c r="A286" s="260">
        <v>1001</v>
      </c>
      <c r="B286" s="252">
        <v>5122001</v>
      </c>
      <c r="C286" s="253" t="s">
        <v>402</v>
      </c>
      <c r="D286" s="254" t="s">
        <v>512</v>
      </c>
      <c r="E286" s="255"/>
      <c r="F286" s="255"/>
      <c r="G286" s="255"/>
      <c r="H286" s="255"/>
      <c r="I286" s="255"/>
      <c r="J286" s="255"/>
      <c r="K286" s="255"/>
      <c r="L286" s="255"/>
      <c r="M286" s="255">
        <f t="shared" si="9"/>
        <v>0</v>
      </c>
      <c r="N286" s="256"/>
      <c r="P286" s="257"/>
      <c r="Q286" s="9"/>
      <c r="R286" s="9"/>
    </row>
    <row r="287" spans="1:18">
      <c r="A287" s="260">
        <v>1001</v>
      </c>
      <c r="B287" s="252">
        <v>512300</v>
      </c>
      <c r="C287" s="253" t="s">
        <v>403</v>
      </c>
      <c r="D287" s="254" t="s">
        <v>511</v>
      </c>
      <c r="E287" s="255"/>
      <c r="F287" s="255"/>
      <c r="G287" s="255"/>
      <c r="H287" s="255"/>
      <c r="I287" s="255"/>
      <c r="J287" s="255"/>
      <c r="K287" s="255"/>
      <c r="L287" s="255"/>
      <c r="M287" s="255">
        <f t="shared" si="9"/>
        <v>0</v>
      </c>
      <c r="N287" s="256"/>
      <c r="P287" s="257"/>
      <c r="Q287" s="9"/>
      <c r="R287" s="9"/>
    </row>
    <row r="288" spans="1:18">
      <c r="A288" s="260">
        <v>1001</v>
      </c>
      <c r="B288" s="252">
        <v>512301</v>
      </c>
      <c r="C288" s="253" t="s">
        <v>404</v>
      </c>
      <c r="D288" s="254" t="s">
        <v>512</v>
      </c>
      <c r="E288" s="255"/>
      <c r="F288" s="255"/>
      <c r="G288" s="255"/>
      <c r="H288" s="255"/>
      <c r="I288" s="255"/>
      <c r="J288" s="255"/>
      <c r="K288" s="255"/>
      <c r="L288" s="255"/>
      <c r="M288" s="255">
        <f t="shared" si="9"/>
        <v>0</v>
      </c>
      <c r="N288" s="256"/>
      <c r="P288" s="257"/>
      <c r="Q288" s="9"/>
      <c r="R288" s="9"/>
    </row>
    <row r="289" spans="1:18">
      <c r="A289" s="260">
        <v>1001</v>
      </c>
      <c r="B289" s="252">
        <v>51901</v>
      </c>
      <c r="C289" s="253" t="s">
        <v>405</v>
      </c>
      <c r="D289" s="254" t="s">
        <v>511</v>
      </c>
      <c r="E289" s="255"/>
      <c r="F289" s="255"/>
      <c r="G289" s="255"/>
      <c r="H289" s="255"/>
      <c r="I289" s="255"/>
      <c r="J289" s="255"/>
      <c r="K289" s="255"/>
      <c r="L289" s="255"/>
      <c r="M289" s="255">
        <f t="shared" si="9"/>
        <v>0</v>
      </c>
      <c r="N289" s="256"/>
      <c r="P289" s="257"/>
      <c r="Q289" s="9"/>
      <c r="R289" s="9"/>
    </row>
    <row r="290" spans="1:18">
      <c r="A290" s="260">
        <v>1001</v>
      </c>
      <c r="B290" s="252">
        <v>5311</v>
      </c>
      <c r="C290" s="253" t="s">
        <v>406</v>
      </c>
      <c r="D290" s="254" t="s">
        <v>511</v>
      </c>
      <c r="E290" s="255"/>
      <c r="F290" s="255"/>
      <c r="G290" s="255"/>
      <c r="H290" s="255"/>
      <c r="I290" s="255"/>
      <c r="J290" s="255"/>
      <c r="K290" s="255"/>
      <c r="L290" s="255"/>
      <c r="M290" s="255">
        <f t="shared" si="9"/>
        <v>0</v>
      </c>
      <c r="N290" s="256"/>
      <c r="P290" s="257"/>
      <c r="Q290" s="9"/>
      <c r="R290" s="9"/>
    </row>
    <row r="291" spans="1:18">
      <c r="A291" s="260">
        <v>1001</v>
      </c>
      <c r="B291" s="252">
        <v>53117</v>
      </c>
      <c r="C291" s="253" t="s">
        <v>545</v>
      </c>
      <c r="D291" s="254" t="s">
        <v>514</v>
      </c>
      <c r="E291" s="255"/>
      <c r="F291" s="255"/>
      <c r="G291" s="255"/>
      <c r="H291" s="255"/>
      <c r="I291" s="255"/>
      <c r="J291" s="255"/>
      <c r="K291" s="255"/>
      <c r="L291" s="255"/>
      <c r="M291" s="255">
        <f t="shared" si="9"/>
        <v>0</v>
      </c>
      <c r="N291" s="256"/>
      <c r="P291" s="257"/>
      <c r="Q291" s="9"/>
      <c r="R291" s="9"/>
    </row>
    <row r="292" spans="1:18">
      <c r="A292" s="260">
        <v>1001</v>
      </c>
      <c r="B292" s="252">
        <v>5312</v>
      </c>
      <c r="C292" s="253" t="s">
        <v>407</v>
      </c>
      <c r="D292" s="254" t="s">
        <v>513</v>
      </c>
      <c r="E292" s="255"/>
      <c r="F292" s="255"/>
      <c r="G292" s="255"/>
      <c r="H292" s="255"/>
      <c r="I292" s="255"/>
      <c r="J292" s="255"/>
      <c r="K292" s="255"/>
      <c r="L292" s="255"/>
      <c r="M292" s="255">
        <f t="shared" si="9"/>
        <v>0</v>
      </c>
      <c r="N292" s="256"/>
      <c r="P292" s="257"/>
      <c r="Q292" s="9"/>
      <c r="R292" s="9"/>
    </row>
    <row r="293" spans="1:18">
      <c r="A293" s="260">
        <v>1001</v>
      </c>
      <c r="B293" s="420">
        <v>5313</v>
      </c>
      <c r="C293" s="421" t="s">
        <v>408</v>
      </c>
      <c r="D293" s="422" t="s">
        <v>512</v>
      </c>
      <c r="E293" s="255"/>
      <c r="F293" s="255"/>
      <c r="G293" s="255"/>
      <c r="H293" s="255"/>
      <c r="I293" s="531">
        <f>26.58*139.59</f>
        <v>3710.3021999999996</v>
      </c>
      <c r="J293" s="403"/>
      <c r="K293" s="255"/>
      <c r="L293" s="255"/>
      <c r="M293" s="255">
        <f t="shared" si="9"/>
        <v>3710.3021999999996</v>
      </c>
      <c r="N293" s="256">
        <v>2240</v>
      </c>
      <c r="O293" s="532">
        <f>I293/139.59</f>
        <v>26.58</v>
      </c>
      <c r="P293" s="257"/>
      <c r="Q293" s="9"/>
      <c r="R293" s="9"/>
    </row>
    <row r="294" spans="1:18">
      <c r="A294" s="260">
        <v>1001</v>
      </c>
      <c r="B294" s="252">
        <v>5315</v>
      </c>
      <c r="C294" s="253" t="s">
        <v>546</v>
      </c>
      <c r="D294" s="254" t="s">
        <v>511</v>
      </c>
      <c r="E294" s="255"/>
      <c r="F294" s="255"/>
      <c r="G294" s="255"/>
      <c r="H294" s="255"/>
      <c r="I294" s="255"/>
      <c r="J294" s="255"/>
      <c r="K294" s="255"/>
      <c r="L294" s="255"/>
      <c r="M294" s="255">
        <f t="shared" si="9"/>
        <v>0</v>
      </c>
      <c r="N294" s="256"/>
      <c r="P294" s="257"/>
      <c r="Q294" s="9"/>
      <c r="R294" s="9"/>
    </row>
    <row r="295" spans="1:18">
      <c r="A295" s="260">
        <v>1001</v>
      </c>
      <c r="B295" s="252">
        <v>5316</v>
      </c>
      <c r="C295" s="253" t="s">
        <v>547</v>
      </c>
      <c r="D295" s="254" t="s">
        <v>512</v>
      </c>
      <c r="E295" s="255"/>
      <c r="F295" s="255"/>
      <c r="G295" s="255"/>
      <c r="H295" s="255"/>
      <c r="I295" s="255"/>
      <c r="J295" s="255"/>
      <c r="K295" s="255"/>
      <c r="L295" s="255"/>
      <c r="M295" s="255">
        <f t="shared" si="9"/>
        <v>0</v>
      </c>
      <c r="N295" s="256"/>
      <c r="P295" s="257"/>
      <c r="Q295" s="9"/>
      <c r="R295" s="9"/>
    </row>
    <row r="296" spans="1:18">
      <c r="A296" s="260">
        <v>1001</v>
      </c>
      <c r="B296" s="252">
        <v>5317</v>
      </c>
      <c r="C296" s="253" t="s">
        <v>409</v>
      </c>
      <c r="D296" s="254" t="s">
        <v>515</v>
      </c>
      <c r="E296" s="255"/>
      <c r="F296" s="255"/>
      <c r="G296" s="255"/>
      <c r="H296" s="255"/>
      <c r="I296" s="255"/>
      <c r="J296" s="255"/>
      <c r="K296" s="255"/>
      <c r="L296" s="255"/>
      <c r="M296" s="255">
        <f t="shared" si="9"/>
        <v>0</v>
      </c>
      <c r="N296" s="256"/>
      <c r="P296" s="257"/>
      <c r="Q296" s="9"/>
      <c r="R296" s="9"/>
    </row>
    <row r="297" spans="1:18">
      <c r="A297" s="260">
        <v>1001</v>
      </c>
      <c r="B297" s="252">
        <v>581</v>
      </c>
      <c r="C297" s="253" t="s">
        <v>410</v>
      </c>
      <c r="D297" s="254" t="s">
        <v>511</v>
      </c>
      <c r="E297" s="255"/>
      <c r="F297" s="255"/>
      <c r="G297" s="255"/>
      <c r="H297" s="255"/>
      <c r="I297" s="255"/>
      <c r="J297" s="255"/>
      <c r="K297" s="255"/>
      <c r="L297" s="255"/>
      <c r="M297" s="255">
        <f t="shared" si="9"/>
        <v>0</v>
      </c>
      <c r="N297" s="256"/>
      <c r="P297" s="257"/>
      <c r="Q297" s="9"/>
      <c r="R297" s="9"/>
    </row>
    <row r="298" spans="1:18">
      <c r="A298" s="260">
        <v>1001</v>
      </c>
      <c r="B298" s="252">
        <v>5810</v>
      </c>
      <c r="C298" s="253" t="s">
        <v>411</v>
      </c>
      <c r="D298" s="254" t="s">
        <v>511</v>
      </c>
      <c r="E298" s="255"/>
      <c r="F298" s="255"/>
      <c r="G298" s="255"/>
      <c r="H298" s="255"/>
      <c r="I298" s="255"/>
      <c r="J298" s="255"/>
      <c r="K298" s="255"/>
      <c r="L298" s="255"/>
      <c r="M298" s="255">
        <f t="shared" si="9"/>
        <v>0</v>
      </c>
      <c r="N298" s="256"/>
      <c r="P298" s="257"/>
      <c r="Q298" s="9"/>
      <c r="R298" s="9"/>
    </row>
    <row r="299" spans="1:18">
      <c r="A299" s="260">
        <v>3001</v>
      </c>
      <c r="B299" s="252">
        <v>601</v>
      </c>
      <c r="C299" s="253" t="s">
        <v>548</v>
      </c>
      <c r="D299" s="254" t="s">
        <v>511</v>
      </c>
      <c r="E299" s="255"/>
      <c r="F299" s="255"/>
      <c r="G299" s="255"/>
      <c r="H299" s="255"/>
      <c r="I299" s="255"/>
      <c r="J299" s="255"/>
      <c r="K299" s="255">
        <f t="shared" ref="K299:K337" si="10">J299</f>
        <v>0</v>
      </c>
      <c r="L299" s="567">
        <f t="shared" ref="L299:L337" si="11">I299</f>
        <v>0</v>
      </c>
      <c r="M299" s="255">
        <f t="shared" si="9"/>
        <v>0</v>
      </c>
      <c r="N299" s="256"/>
      <c r="P299" s="257"/>
      <c r="Q299" s="9"/>
      <c r="R299" s="9"/>
    </row>
    <row r="300" spans="1:18">
      <c r="A300" s="260">
        <v>3001</v>
      </c>
      <c r="B300" s="420">
        <v>604</v>
      </c>
      <c r="C300" s="421" t="s">
        <v>412</v>
      </c>
      <c r="D300" s="422" t="s">
        <v>511</v>
      </c>
      <c r="E300" s="255"/>
      <c r="F300" s="255"/>
      <c r="G300" s="255"/>
      <c r="H300" s="255"/>
      <c r="I300" s="531">
        <f>1252.8*139.59</f>
        <v>174878.35199999998</v>
      </c>
      <c r="J300" s="403"/>
      <c r="K300" s="255">
        <f t="shared" si="10"/>
        <v>0</v>
      </c>
      <c r="L300" s="570">
        <v>0</v>
      </c>
      <c r="M300" s="540">
        <f t="shared" si="9"/>
        <v>174878.35199999998</v>
      </c>
      <c r="N300" s="436">
        <v>4001</v>
      </c>
      <c r="O300" s="532">
        <f>I300/139.59</f>
        <v>1252.8</v>
      </c>
      <c r="P300" s="257"/>
      <c r="Q300" s="9"/>
      <c r="R300" s="9"/>
    </row>
    <row r="301" spans="1:18">
      <c r="A301" s="260">
        <v>3001</v>
      </c>
      <c r="B301" s="420">
        <v>6040</v>
      </c>
      <c r="C301" s="421" t="s">
        <v>413</v>
      </c>
      <c r="D301" s="422" t="s">
        <v>511</v>
      </c>
      <c r="E301" s="255"/>
      <c r="F301" s="255"/>
      <c r="G301" s="255"/>
      <c r="H301" s="255"/>
      <c r="I301" s="531">
        <f>6709.93*139.59</f>
        <v>936639.12870000012</v>
      </c>
      <c r="J301" s="403"/>
      <c r="K301" s="255">
        <f t="shared" si="10"/>
        <v>0</v>
      </c>
      <c r="L301" s="570">
        <f t="shared" si="11"/>
        <v>936639.12870000012</v>
      </c>
      <c r="M301" s="255">
        <f t="shared" si="9"/>
        <v>0</v>
      </c>
      <c r="N301" s="256">
        <v>4002</v>
      </c>
      <c r="O301" s="532">
        <f t="shared" ref="O301:O364" si="12">I301/139.59</f>
        <v>6709.93</v>
      </c>
      <c r="P301" s="257"/>
      <c r="Q301" s="9"/>
      <c r="R301" s="9"/>
    </row>
    <row r="302" spans="1:18">
      <c r="A302" s="260">
        <v>3001</v>
      </c>
      <c r="B302" s="252">
        <v>6041</v>
      </c>
      <c r="C302" s="253" t="s">
        <v>549</v>
      </c>
      <c r="D302" s="254" t="s">
        <v>511</v>
      </c>
      <c r="E302" s="255"/>
      <c r="F302" s="255"/>
      <c r="G302" s="255"/>
      <c r="H302" s="255"/>
      <c r="I302" s="255"/>
      <c r="J302" s="255"/>
      <c r="K302" s="255">
        <f t="shared" si="10"/>
        <v>0</v>
      </c>
      <c r="L302" s="570">
        <f t="shared" si="11"/>
        <v>0</v>
      </c>
      <c r="M302" s="255">
        <f t="shared" si="9"/>
        <v>0</v>
      </c>
      <c r="N302" s="256"/>
      <c r="O302" s="532">
        <f t="shared" si="12"/>
        <v>0</v>
      </c>
      <c r="P302" s="257"/>
      <c r="Q302" s="9"/>
      <c r="R302" s="9"/>
    </row>
    <row r="303" spans="1:18">
      <c r="A303" s="260">
        <v>3001</v>
      </c>
      <c r="B303" s="252">
        <v>605</v>
      </c>
      <c r="C303" s="253" t="s">
        <v>414</v>
      </c>
      <c r="D303" s="254" t="s">
        <v>511</v>
      </c>
      <c r="E303" s="255"/>
      <c r="F303" s="255"/>
      <c r="G303" s="255"/>
      <c r="H303" s="255"/>
      <c r="I303" s="255"/>
      <c r="J303" s="255"/>
      <c r="K303" s="255">
        <f t="shared" si="10"/>
        <v>0</v>
      </c>
      <c r="L303" s="570">
        <f t="shared" si="11"/>
        <v>0</v>
      </c>
      <c r="M303" s="255">
        <f t="shared" si="9"/>
        <v>0</v>
      </c>
      <c r="N303" s="256"/>
      <c r="O303" s="532">
        <f t="shared" si="12"/>
        <v>0</v>
      </c>
      <c r="P303" s="257"/>
      <c r="Q303" s="9"/>
      <c r="R303" s="9"/>
    </row>
    <row r="304" spans="1:18">
      <c r="A304" s="260">
        <v>3001</v>
      </c>
      <c r="B304" s="252">
        <v>6060</v>
      </c>
      <c r="C304" s="253" t="s">
        <v>415</v>
      </c>
      <c r="D304" s="254" t="s">
        <v>511</v>
      </c>
      <c r="E304" s="255"/>
      <c r="F304" s="255"/>
      <c r="G304" s="255"/>
      <c r="H304" s="255"/>
      <c r="I304" s="255"/>
      <c r="J304" s="255"/>
      <c r="K304" s="255">
        <f t="shared" si="10"/>
        <v>0</v>
      </c>
      <c r="L304" s="570">
        <f t="shared" si="11"/>
        <v>0</v>
      </c>
      <c r="M304" s="255">
        <f t="shared" si="9"/>
        <v>0</v>
      </c>
      <c r="N304" s="256"/>
      <c r="O304" s="532">
        <f t="shared" si="12"/>
        <v>0</v>
      </c>
      <c r="P304" s="257"/>
      <c r="Q304" s="9"/>
      <c r="R304" s="9"/>
    </row>
    <row r="305" spans="1:18">
      <c r="A305" s="260">
        <v>3001</v>
      </c>
      <c r="B305" s="252">
        <v>6061</v>
      </c>
      <c r="C305" s="253" t="s">
        <v>416</v>
      </c>
      <c r="D305" s="254" t="s">
        <v>511</v>
      </c>
      <c r="E305" s="255"/>
      <c r="F305" s="255"/>
      <c r="G305" s="255"/>
      <c r="H305" s="255"/>
      <c r="I305" s="434"/>
      <c r="J305" s="255"/>
      <c r="K305" s="255">
        <f t="shared" si="10"/>
        <v>0</v>
      </c>
      <c r="L305" s="570"/>
      <c r="M305" s="255">
        <f t="shared" si="9"/>
        <v>0</v>
      </c>
      <c r="N305" s="256"/>
      <c r="O305" s="532">
        <f t="shared" si="12"/>
        <v>0</v>
      </c>
      <c r="P305" s="257"/>
      <c r="Q305" s="9"/>
      <c r="R305" s="9"/>
    </row>
    <row r="306" spans="1:18">
      <c r="A306" s="260">
        <v>3001</v>
      </c>
      <c r="B306" s="252">
        <v>6062</v>
      </c>
      <c r="C306" s="253" t="s">
        <v>417</v>
      </c>
      <c r="D306" s="254" t="s">
        <v>511</v>
      </c>
      <c r="E306" s="255"/>
      <c r="F306" s="255"/>
      <c r="G306" s="255"/>
      <c r="H306" s="255"/>
      <c r="I306" s="255"/>
      <c r="J306" s="255"/>
      <c r="K306" s="255">
        <f t="shared" si="10"/>
        <v>0</v>
      </c>
      <c r="L306" s="570">
        <f t="shared" si="11"/>
        <v>0</v>
      </c>
      <c r="M306" s="403">
        <f t="shared" si="9"/>
        <v>0</v>
      </c>
      <c r="N306" s="256"/>
      <c r="O306" s="532">
        <f t="shared" si="12"/>
        <v>0</v>
      </c>
      <c r="P306" s="257"/>
      <c r="Q306" s="9"/>
      <c r="R306" s="9"/>
    </row>
    <row r="307" spans="1:18">
      <c r="A307" s="260">
        <v>3001</v>
      </c>
      <c r="B307" s="252">
        <v>6063</v>
      </c>
      <c r="C307" s="253" t="s">
        <v>418</v>
      </c>
      <c r="D307" s="254" t="s">
        <v>511</v>
      </c>
      <c r="E307" s="255"/>
      <c r="F307" s="255"/>
      <c r="G307" s="255"/>
      <c r="H307" s="255"/>
      <c r="I307" s="255"/>
      <c r="J307" s="255"/>
      <c r="K307" s="255">
        <f t="shared" si="10"/>
        <v>0</v>
      </c>
      <c r="L307" s="570">
        <f t="shared" si="11"/>
        <v>0</v>
      </c>
      <c r="M307" s="403">
        <f t="shared" si="9"/>
        <v>0</v>
      </c>
      <c r="N307" s="256"/>
      <c r="O307" s="532">
        <f t="shared" si="12"/>
        <v>0</v>
      </c>
      <c r="P307" s="257"/>
      <c r="Q307" s="9"/>
      <c r="R307" s="9"/>
    </row>
    <row r="308" spans="1:18">
      <c r="A308" s="260">
        <v>3001</v>
      </c>
      <c r="B308" s="252">
        <v>60630</v>
      </c>
      <c r="C308" s="253" t="s">
        <v>419</v>
      </c>
      <c r="D308" s="254" t="s">
        <v>511</v>
      </c>
      <c r="E308" s="255"/>
      <c r="F308" s="255"/>
      <c r="G308" s="255"/>
      <c r="H308" s="255"/>
      <c r="I308" s="255"/>
      <c r="J308" s="255"/>
      <c r="K308" s="255">
        <f t="shared" si="10"/>
        <v>0</v>
      </c>
      <c r="L308" s="570">
        <f t="shared" si="11"/>
        <v>0</v>
      </c>
      <c r="M308" s="403">
        <f t="shared" si="9"/>
        <v>0</v>
      </c>
      <c r="N308" s="256"/>
      <c r="O308" s="532">
        <f t="shared" si="12"/>
        <v>0</v>
      </c>
      <c r="P308" s="257"/>
      <c r="Q308" s="9"/>
      <c r="R308" s="9"/>
    </row>
    <row r="309" spans="1:18">
      <c r="A309" s="260">
        <v>3001</v>
      </c>
      <c r="B309" s="252">
        <v>6064</v>
      </c>
      <c r="C309" s="253" t="s">
        <v>420</v>
      </c>
      <c r="D309" s="254" t="s">
        <v>511</v>
      </c>
      <c r="E309" s="255"/>
      <c r="F309" s="255"/>
      <c r="G309" s="255"/>
      <c r="H309" s="255"/>
      <c r="I309" s="255"/>
      <c r="J309" s="255"/>
      <c r="K309" s="255">
        <f t="shared" si="10"/>
        <v>0</v>
      </c>
      <c r="L309" s="570">
        <f t="shared" si="11"/>
        <v>0</v>
      </c>
      <c r="M309" s="403">
        <f t="shared" si="9"/>
        <v>0</v>
      </c>
      <c r="N309" s="256"/>
      <c r="O309" s="532">
        <f t="shared" si="12"/>
        <v>0</v>
      </c>
      <c r="P309" s="257"/>
      <c r="Q309" s="9"/>
      <c r="R309" s="9"/>
    </row>
    <row r="310" spans="1:18">
      <c r="A310" s="260">
        <v>3001</v>
      </c>
      <c r="B310" s="252">
        <v>6081</v>
      </c>
      <c r="C310" s="253" t="s">
        <v>421</v>
      </c>
      <c r="D310" s="254" t="s">
        <v>511</v>
      </c>
      <c r="E310" s="255"/>
      <c r="F310" s="255"/>
      <c r="G310" s="255"/>
      <c r="H310" s="255"/>
      <c r="I310" s="255"/>
      <c r="J310" s="255"/>
      <c r="K310" s="255">
        <f t="shared" si="10"/>
        <v>0</v>
      </c>
      <c r="L310" s="570">
        <f t="shared" si="11"/>
        <v>0</v>
      </c>
      <c r="M310" s="403">
        <f t="shared" si="9"/>
        <v>0</v>
      </c>
      <c r="N310" s="256"/>
      <c r="O310" s="532">
        <f t="shared" si="12"/>
        <v>0</v>
      </c>
      <c r="P310" s="257"/>
      <c r="Q310" s="9"/>
      <c r="R310" s="9"/>
    </row>
    <row r="311" spans="1:18">
      <c r="A311" s="260">
        <v>3001</v>
      </c>
      <c r="B311" s="252">
        <v>6082</v>
      </c>
      <c r="C311" s="253" t="s">
        <v>422</v>
      </c>
      <c r="D311" s="254" t="s">
        <v>511</v>
      </c>
      <c r="E311" s="255"/>
      <c r="F311" s="255"/>
      <c r="G311" s="255"/>
      <c r="H311" s="255"/>
      <c r="I311" s="255"/>
      <c r="J311" s="255"/>
      <c r="K311" s="255">
        <f t="shared" si="10"/>
        <v>0</v>
      </c>
      <c r="L311" s="570">
        <f t="shared" si="11"/>
        <v>0</v>
      </c>
      <c r="M311" s="403">
        <f t="shared" si="9"/>
        <v>0</v>
      </c>
      <c r="N311" s="256"/>
      <c r="O311" s="532">
        <f t="shared" si="12"/>
        <v>0</v>
      </c>
      <c r="P311" s="257"/>
      <c r="Q311" s="9"/>
      <c r="R311" s="9"/>
    </row>
    <row r="312" spans="1:18">
      <c r="A312" s="260">
        <v>3001</v>
      </c>
      <c r="B312" s="252">
        <v>613</v>
      </c>
      <c r="C312" s="253" t="s">
        <v>423</v>
      </c>
      <c r="D312" s="254" t="s">
        <v>511</v>
      </c>
      <c r="E312" s="255"/>
      <c r="F312" s="255"/>
      <c r="G312" s="255"/>
      <c r="H312" s="255"/>
      <c r="I312" s="255"/>
      <c r="J312" s="255"/>
      <c r="K312" s="255">
        <f t="shared" si="10"/>
        <v>0</v>
      </c>
      <c r="L312" s="570">
        <f t="shared" si="11"/>
        <v>0</v>
      </c>
      <c r="M312" s="403">
        <f t="shared" si="9"/>
        <v>0</v>
      </c>
      <c r="N312" s="256"/>
      <c r="O312" s="532">
        <f t="shared" si="12"/>
        <v>0</v>
      </c>
      <c r="P312" s="257"/>
      <c r="Q312" s="9"/>
      <c r="R312" s="9"/>
    </row>
    <row r="313" spans="1:18">
      <c r="A313" s="260">
        <v>3001</v>
      </c>
      <c r="B313" s="420">
        <v>6130</v>
      </c>
      <c r="C313" s="421" t="s">
        <v>424</v>
      </c>
      <c r="D313" s="422" t="s">
        <v>511</v>
      </c>
      <c r="E313" s="255"/>
      <c r="F313" s="255"/>
      <c r="G313" s="255"/>
      <c r="H313" s="255"/>
      <c r="I313" s="531">
        <f>30315.77*139.59</f>
        <v>4231778.3343000002</v>
      </c>
      <c r="J313" s="403"/>
      <c r="K313" s="255">
        <f t="shared" si="10"/>
        <v>0</v>
      </c>
      <c r="L313" s="570">
        <f>5259.77*139.59</f>
        <v>734211.29430000007</v>
      </c>
      <c r="M313" s="540">
        <f>(+I313-J313)+K313-L313</f>
        <v>3497567.04</v>
      </c>
      <c r="N313" s="436">
        <v>4007</v>
      </c>
      <c r="O313" s="532">
        <f t="shared" si="12"/>
        <v>30315.77</v>
      </c>
      <c r="P313" s="257"/>
      <c r="Q313" s="9"/>
      <c r="R313" s="9"/>
    </row>
    <row r="314" spans="1:18">
      <c r="A314" s="260">
        <v>3001</v>
      </c>
      <c r="B314" s="252">
        <v>6131</v>
      </c>
      <c r="C314" s="253" t="s">
        <v>425</v>
      </c>
      <c r="D314" s="254" t="s">
        <v>511</v>
      </c>
      <c r="E314" s="255"/>
      <c r="F314" s="255"/>
      <c r="G314" s="255"/>
      <c r="H314" s="255"/>
      <c r="I314" s="255"/>
      <c r="J314" s="255"/>
      <c r="K314" s="255">
        <f t="shared" si="10"/>
        <v>0</v>
      </c>
      <c r="L314" s="570">
        <f t="shared" si="11"/>
        <v>0</v>
      </c>
      <c r="M314" s="403">
        <f t="shared" si="9"/>
        <v>0</v>
      </c>
      <c r="N314" s="256"/>
      <c r="O314" s="532">
        <f t="shared" si="12"/>
        <v>0</v>
      </c>
      <c r="P314" s="257"/>
      <c r="Q314" s="9"/>
      <c r="R314" s="9"/>
    </row>
    <row r="315" spans="1:18">
      <c r="A315" s="260">
        <v>3001</v>
      </c>
      <c r="B315" s="252">
        <v>6132</v>
      </c>
      <c r="C315" s="253" t="s">
        <v>426</v>
      </c>
      <c r="D315" s="254" t="s">
        <v>511</v>
      </c>
      <c r="E315" s="255"/>
      <c r="F315" s="255"/>
      <c r="G315" s="255"/>
      <c r="H315" s="255"/>
      <c r="I315" s="255"/>
      <c r="J315" s="255"/>
      <c r="K315" s="255">
        <f t="shared" si="10"/>
        <v>0</v>
      </c>
      <c r="L315" s="570">
        <f t="shared" si="11"/>
        <v>0</v>
      </c>
      <c r="M315" s="403">
        <f t="shared" si="9"/>
        <v>0</v>
      </c>
      <c r="N315" s="256"/>
      <c r="O315" s="532">
        <f t="shared" si="12"/>
        <v>0</v>
      </c>
      <c r="P315" s="257"/>
      <c r="Q315" s="9"/>
      <c r="R315" s="9"/>
    </row>
    <row r="316" spans="1:18">
      <c r="A316" s="260">
        <v>3001</v>
      </c>
      <c r="B316" s="252">
        <v>6133</v>
      </c>
      <c r="C316" s="253" t="s">
        <v>427</v>
      </c>
      <c r="D316" s="254" t="s">
        <v>511</v>
      </c>
      <c r="E316" s="255"/>
      <c r="F316" s="255"/>
      <c r="G316" s="255"/>
      <c r="H316" s="255"/>
      <c r="I316" s="255"/>
      <c r="J316" s="255"/>
      <c r="K316" s="255">
        <f t="shared" si="10"/>
        <v>0</v>
      </c>
      <c r="L316" s="570">
        <f t="shared" si="11"/>
        <v>0</v>
      </c>
      <c r="M316" s="403">
        <f t="shared" si="9"/>
        <v>0</v>
      </c>
      <c r="N316" s="256"/>
      <c r="O316" s="532">
        <f t="shared" si="12"/>
        <v>0</v>
      </c>
      <c r="P316" s="257"/>
      <c r="Q316" s="9"/>
      <c r="R316" s="9"/>
    </row>
    <row r="317" spans="1:18">
      <c r="A317" s="260">
        <v>3001</v>
      </c>
      <c r="B317" s="252">
        <v>6136</v>
      </c>
      <c r="C317" s="253" t="s">
        <v>550</v>
      </c>
      <c r="D317" s="254" t="s">
        <v>511</v>
      </c>
      <c r="E317" s="255"/>
      <c r="F317" s="255"/>
      <c r="G317" s="255"/>
      <c r="H317" s="255"/>
      <c r="I317" s="255"/>
      <c r="J317" s="255"/>
      <c r="K317" s="255">
        <f t="shared" si="10"/>
        <v>0</v>
      </c>
      <c r="L317" s="570">
        <f t="shared" si="11"/>
        <v>0</v>
      </c>
      <c r="M317" s="403">
        <f t="shared" si="9"/>
        <v>0</v>
      </c>
      <c r="N317" s="256"/>
      <c r="O317" s="532">
        <f t="shared" si="12"/>
        <v>0</v>
      </c>
      <c r="P317" s="257"/>
      <c r="Q317" s="9"/>
      <c r="R317" s="9"/>
    </row>
    <row r="318" spans="1:18">
      <c r="A318" s="260">
        <v>3001</v>
      </c>
      <c r="B318" s="252">
        <v>6137</v>
      </c>
      <c r="C318" s="253" t="s">
        <v>551</v>
      </c>
      <c r="D318" s="254" t="s">
        <v>511</v>
      </c>
      <c r="E318" s="255"/>
      <c r="F318" s="255"/>
      <c r="G318" s="255"/>
      <c r="H318" s="255"/>
      <c r="I318" s="255"/>
      <c r="J318" s="255"/>
      <c r="K318" s="255">
        <f t="shared" si="10"/>
        <v>0</v>
      </c>
      <c r="L318" s="570">
        <f t="shared" si="11"/>
        <v>0</v>
      </c>
      <c r="M318" s="403">
        <f t="shared" si="9"/>
        <v>0</v>
      </c>
      <c r="N318" s="256"/>
      <c r="O318" s="532">
        <f t="shared" si="12"/>
        <v>0</v>
      </c>
      <c r="P318" s="257"/>
      <c r="Q318" s="9"/>
      <c r="R318" s="9"/>
    </row>
    <row r="319" spans="1:18">
      <c r="A319" s="260">
        <v>3001</v>
      </c>
      <c r="B319" s="252">
        <v>6138</v>
      </c>
      <c r="C319" s="253" t="s">
        <v>552</v>
      </c>
      <c r="D319" s="254" t="s">
        <v>511</v>
      </c>
      <c r="E319" s="255"/>
      <c r="F319" s="255"/>
      <c r="G319" s="255"/>
      <c r="H319" s="255"/>
      <c r="I319" s="255"/>
      <c r="J319" s="255"/>
      <c r="K319" s="255">
        <f t="shared" si="10"/>
        <v>0</v>
      </c>
      <c r="L319" s="570">
        <f t="shared" si="11"/>
        <v>0</v>
      </c>
      <c r="M319" s="403">
        <f t="shared" si="9"/>
        <v>0</v>
      </c>
      <c r="N319" s="256"/>
      <c r="O319" s="532">
        <f t="shared" si="12"/>
        <v>0</v>
      </c>
      <c r="P319" s="257"/>
      <c r="Q319" s="9"/>
      <c r="R319" s="9"/>
    </row>
    <row r="320" spans="1:18">
      <c r="A320" s="260">
        <v>3001</v>
      </c>
      <c r="B320" s="252">
        <v>6139</v>
      </c>
      <c r="C320" s="253" t="s">
        <v>553</v>
      </c>
      <c r="D320" s="254" t="s">
        <v>511</v>
      </c>
      <c r="E320" s="255"/>
      <c r="F320" s="255"/>
      <c r="G320" s="255"/>
      <c r="H320" s="255"/>
      <c r="I320" s="255"/>
      <c r="J320" s="255"/>
      <c r="K320" s="255">
        <f t="shared" si="10"/>
        <v>0</v>
      </c>
      <c r="L320" s="570">
        <f t="shared" si="11"/>
        <v>0</v>
      </c>
      <c r="M320" s="403">
        <f t="shared" si="9"/>
        <v>0</v>
      </c>
      <c r="N320" s="256"/>
      <c r="O320" s="532">
        <f t="shared" si="12"/>
        <v>0</v>
      </c>
      <c r="P320" s="257"/>
      <c r="Q320" s="9"/>
      <c r="R320" s="9"/>
    </row>
    <row r="321" spans="1:18">
      <c r="A321" s="260">
        <v>3001</v>
      </c>
      <c r="B321" s="252">
        <v>615</v>
      </c>
      <c r="C321" s="253" t="s">
        <v>428</v>
      </c>
      <c r="D321" s="254" t="s">
        <v>511</v>
      </c>
      <c r="E321" s="255"/>
      <c r="F321" s="255"/>
      <c r="G321" s="255"/>
      <c r="H321" s="255"/>
      <c r="I321" s="255"/>
      <c r="J321" s="255"/>
      <c r="K321" s="255">
        <f t="shared" si="10"/>
        <v>0</v>
      </c>
      <c r="L321" s="570">
        <f t="shared" si="11"/>
        <v>0</v>
      </c>
      <c r="M321" s="403">
        <f t="shared" si="9"/>
        <v>0</v>
      </c>
      <c r="N321" s="256"/>
      <c r="O321" s="532">
        <f t="shared" si="12"/>
        <v>0</v>
      </c>
      <c r="P321" s="257"/>
      <c r="Q321" s="9"/>
      <c r="R321" s="9"/>
    </row>
    <row r="322" spans="1:18">
      <c r="A322" s="260">
        <v>3001</v>
      </c>
      <c r="B322" s="252">
        <v>6150</v>
      </c>
      <c r="C322" s="253" t="s">
        <v>429</v>
      </c>
      <c r="D322" s="254" t="s">
        <v>511</v>
      </c>
      <c r="E322" s="255"/>
      <c r="F322" s="255"/>
      <c r="G322" s="255"/>
      <c r="H322" s="255"/>
      <c r="I322" s="255"/>
      <c r="J322" s="255"/>
      <c r="K322" s="255">
        <f t="shared" si="10"/>
        <v>0</v>
      </c>
      <c r="L322" s="570">
        <f t="shared" si="11"/>
        <v>0</v>
      </c>
      <c r="M322" s="403">
        <f t="shared" si="9"/>
        <v>0</v>
      </c>
      <c r="N322" s="256"/>
      <c r="O322" s="532">
        <f t="shared" si="12"/>
        <v>0</v>
      </c>
      <c r="P322" s="257"/>
      <c r="Q322" s="9"/>
      <c r="R322" s="9"/>
    </row>
    <row r="323" spans="1:18">
      <c r="A323" s="260">
        <v>3001</v>
      </c>
      <c r="B323" s="252">
        <v>6151</v>
      </c>
      <c r="C323" s="253" t="s">
        <v>430</v>
      </c>
      <c r="D323" s="254" t="s">
        <v>511</v>
      </c>
      <c r="E323" s="255"/>
      <c r="F323" s="255"/>
      <c r="G323" s="255"/>
      <c r="H323" s="255"/>
      <c r="I323" s="255"/>
      <c r="J323" s="255"/>
      <c r="K323" s="255">
        <f t="shared" si="10"/>
        <v>0</v>
      </c>
      <c r="L323" s="570">
        <f t="shared" si="11"/>
        <v>0</v>
      </c>
      <c r="M323" s="403">
        <f t="shared" si="9"/>
        <v>0</v>
      </c>
      <c r="N323" s="256"/>
      <c r="O323" s="532">
        <f t="shared" si="12"/>
        <v>0</v>
      </c>
      <c r="P323" s="257"/>
      <c r="Q323" s="9"/>
      <c r="R323" s="9"/>
    </row>
    <row r="324" spans="1:18">
      <c r="A324" s="260">
        <v>3001</v>
      </c>
      <c r="B324" s="252">
        <v>6152</v>
      </c>
      <c r="C324" s="253" t="s">
        <v>431</v>
      </c>
      <c r="D324" s="254" t="s">
        <v>511</v>
      </c>
      <c r="E324" s="255"/>
      <c r="F324" s="255"/>
      <c r="G324" s="255"/>
      <c r="H324" s="255"/>
      <c r="I324" s="255"/>
      <c r="J324" s="255"/>
      <c r="K324" s="255">
        <f t="shared" si="10"/>
        <v>0</v>
      </c>
      <c r="L324" s="570">
        <f t="shared" si="11"/>
        <v>0</v>
      </c>
      <c r="M324" s="403">
        <f t="shared" si="9"/>
        <v>0</v>
      </c>
      <c r="N324" s="256"/>
      <c r="O324" s="532">
        <f t="shared" si="12"/>
        <v>0</v>
      </c>
      <c r="P324" s="257"/>
      <c r="Q324" s="9"/>
      <c r="R324" s="9"/>
    </row>
    <row r="325" spans="1:18">
      <c r="A325" s="260">
        <v>3001</v>
      </c>
      <c r="B325" s="252">
        <v>61520</v>
      </c>
      <c r="C325" s="253" t="s">
        <v>432</v>
      </c>
      <c r="D325" s="254" t="s">
        <v>511</v>
      </c>
      <c r="E325" s="255"/>
      <c r="F325" s="255"/>
      <c r="G325" s="255"/>
      <c r="H325" s="255"/>
      <c r="I325" s="255"/>
      <c r="J325" s="255"/>
      <c r="K325" s="255">
        <f t="shared" si="10"/>
        <v>0</v>
      </c>
      <c r="L325" s="570">
        <f t="shared" si="11"/>
        <v>0</v>
      </c>
      <c r="M325" s="403">
        <f t="shared" si="9"/>
        <v>0</v>
      </c>
      <c r="N325" s="256"/>
      <c r="O325" s="532">
        <f t="shared" si="12"/>
        <v>0</v>
      </c>
      <c r="P325" s="257"/>
      <c r="Q325" s="9"/>
      <c r="R325" s="9"/>
    </row>
    <row r="326" spans="1:18">
      <c r="A326" s="260">
        <v>3001</v>
      </c>
      <c r="B326" s="252">
        <v>6153</v>
      </c>
      <c r="C326" s="253" t="s">
        <v>554</v>
      </c>
      <c r="D326" s="254" t="s">
        <v>511</v>
      </c>
      <c r="E326" s="255"/>
      <c r="F326" s="255"/>
      <c r="G326" s="255"/>
      <c r="H326" s="255"/>
      <c r="I326" s="255"/>
      <c r="J326" s="255"/>
      <c r="K326" s="255">
        <f t="shared" si="10"/>
        <v>0</v>
      </c>
      <c r="L326" s="570">
        <f t="shared" si="11"/>
        <v>0</v>
      </c>
      <c r="M326" s="403">
        <f t="shared" ref="M326:M389" si="13">(+I326-J326)+K326-L326</f>
        <v>0</v>
      </c>
      <c r="N326" s="256"/>
      <c r="O326" s="532">
        <f t="shared" si="12"/>
        <v>0</v>
      </c>
      <c r="P326" s="257"/>
      <c r="Q326" s="9"/>
      <c r="R326" s="9"/>
    </row>
    <row r="327" spans="1:18">
      <c r="A327" s="260">
        <v>3001</v>
      </c>
      <c r="B327" s="420">
        <v>616</v>
      </c>
      <c r="C327" s="421" t="s">
        <v>433</v>
      </c>
      <c r="D327" s="422" t="s">
        <v>511</v>
      </c>
      <c r="E327" s="255"/>
      <c r="F327" s="255"/>
      <c r="G327" s="255"/>
      <c r="H327" s="255"/>
      <c r="I327" s="531">
        <f>14655.27*139.59</f>
        <v>2045729.1393000002</v>
      </c>
      <c r="J327" s="403"/>
      <c r="K327" s="255">
        <f>J327</f>
        <v>0</v>
      </c>
      <c r="L327" s="570">
        <v>0</v>
      </c>
      <c r="M327" s="540">
        <f t="shared" si="13"/>
        <v>2045729.1393000002</v>
      </c>
      <c r="N327" s="436">
        <v>4009</v>
      </c>
      <c r="O327" s="532">
        <f t="shared" si="12"/>
        <v>14655.27</v>
      </c>
      <c r="P327" s="257"/>
      <c r="Q327" s="9"/>
      <c r="R327" s="9"/>
    </row>
    <row r="328" spans="1:18">
      <c r="A328" s="260">
        <v>3001</v>
      </c>
      <c r="B328" s="252">
        <v>6161</v>
      </c>
      <c r="C328" s="253" t="s">
        <v>555</v>
      </c>
      <c r="D328" s="254" t="s">
        <v>511</v>
      </c>
      <c r="E328" s="255"/>
      <c r="F328" s="255"/>
      <c r="G328" s="255"/>
      <c r="H328" s="255"/>
      <c r="I328" s="255"/>
      <c r="J328" s="255"/>
      <c r="K328" s="255">
        <f t="shared" si="10"/>
        <v>0</v>
      </c>
      <c r="L328" s="570">
        <f t="shared" si="11"/>
        <v>0</v>
      </c>
      <c r="M328" s="403">
        <f t="shared" si="13"/>
        <v>0</v>
      </c>
      <c r="N328" s="256"/>
      <c r="O328" s="532">
        <f t="shared" si="12"/>
        <v>0</v>
      </c>
      <c r="P328" s="257"/>
      <c r="Q328" s="9"/>
      <c r="R328" s="9"/>
    </row>
    <row r="329" spans="1:18">
      <c r="A329" s="260">
        <v>3001</v>
      </c>
      <c r="B329" s="420">
        <v>618</v>
      </c>
      <c r="C329" s="421" t="s">
        <v>168</v>
      </c>
      <c r="D329" s="422" t="s">
        <v>511</v>
      </c>
      <c r="E329" s="255"/>
      <c r="F329" s="255"/>
      <c r="G329" s="255"/>
      <c r="H329" s="255"/>
      <c r="I329" s="531">
        <f>(7635.29+1196-0.3+78.78)*139.59</f>
        <v>1243714.7943000004</v>
      </c>
      <c r="J329" s="403"/>
      <c r="K329" s="255">
        <f t="shared" si="10"/>
        <v>0</v>
      </c>
      <c r="L329" s="570">
        <f t="shared" si="11"/>
        <v>1243714.7943000004</v>
      </c>
      <c r="M329" s="403">
        <f t="shared" si="13"/>
        <v>0</v>
      </c>
      <c r="N329" s="256">
        <v>4019</v>
      </c>
      <c r="O329" s="532">
        <f t="shared" si="12"/>
        <v>8909.7700000000023</v>
      </c>
      <c r="P329" s="257"/>
      <c r="Q329" s="9"/>
      <c r="R329" s="9"/>
    </row>
    <row r="330" spans="1:18">
      <c r="A330" s="260">
        <v>3001</v>
      </c>
      <c r="B330" s="252">
        <v>6180</v>
      </c>
      <c r="C330" s="253" t="s">
        <v>434</v>
      </c>
      <c r="D330" s="254" t="s">
        <v>511</v>
      </c>
      <c r="E330" s="255"/>
      <c r="F330" s="255"/>
      <c r="G330" s="255"/>
      <c r="H330" s="255"/>
      <c r="I330" s="255"/>
      <c r="J330" s="255"/>
      <c r="K330" s="255">
        <f t="shared" si="10"/>
        <v>0</v>
      </c>
      <c r="L330" s="570">
        <f t="shared" si="11"/>
        <v>0</v>
      </c>
      <c r="M330" s="403">
        <f t="shared" si="13"/>
        <v>0</v>
      </c>
      <c r="N330" s="256"/>
      <c r="O330" s="532">
        <f t="shared" si="12"/>
        <v>0</v>
      </c>
      <c r="P330" s="257"/>
      <c r="Q330" s="9"/>
      <c r="R330" s="9"/>
    </row>
    <row r="331" spans="1:18">
      <c r="A331" s="260">
        <v>3001</v>
      </c>
      <c r="B331" s="252">
        <v>61800</v>
      </c>
      <c r="C331" s="253" t="s">
        <v>435</v>
      </c>
      <c r="D331" s="254" t="s">
        <v>511</v>
      </c>
      <c r="E331" s="255"/>
      <c r="F331" s="255"/>
      <c r="G331" s="255"/>
      <c r="H331" s="255"/>
      <c r="I331" s="255"/>
      <c r="J331" s="255"/>
      <c r="K331" s="255">
        <f t="shared" si="10"/>
        <v>0</v>
      </c>
      <c r="L331" s="570">
        <f t="shared" si="11"/>
        <v>0</v>
      </c>
      <c r="M331" s="403">
        <f t="shared" si="13"/>
        <v>0</v>
      </c>
      <c r="N331" s="256"/>
      <c r="O331" s="532">
        <f t="shared" si="12"/>
        <v>0</v>
      </c>
      <c r="P331" s="257"/>
      <c r="Q331" s="9"/>
      <c r="R331" s="9"/>
    </row>
    <row r="332" spans="1:18">
      <c r="A332" s="260">
        <v>3001</v>
      </c>
      <c r="B332" s="252">
        <v>61801</v>
      </c>
      <c r="C332" s="253" t="s">
        <v>436</v>
      </c>
      <c r="D332" s="254" t="s">
        <v>511</v>
      </c>
      <c r="E332" s="255"/>
      <c r="F332" s="255"/>
      <c r="G332" s="255"/>
      <c r="H332" s="255"/>
      <c r="I332" s="255"/>
      <c r="J332" s="255"/>
      <c r="K332" s="255">
        <f t="shared" si="10"/>
        <v>0</v>
      </c>
      <c r="L332" s="570">
        <f t="shared" si="11"/>
        <v>0</v>
      </c>
      <c r="M332" s="403">
        <f t="shared" si="13"/>
        <v>0</v>
      </c>
      <c r="N332" s="256"/>
      <c r="O332" s="532">
        <f t="shared" si="12"/>
        <v>0</v>
      </c>
      <c r="P332" s="257"/>
      <c r="Q332" s="9"/>
      <c r="R332" s="9"/>
    </row>
    <row r="333" spans="1:18">
      <c r="A333" s="260">
        <v>3001</v>
      </c>
      <c r="B333" s="252">
        <v>61802</v>
      </c>
      <c r="C333" s="253" t="s">
        <v>437</v>
      </c>
      <c r="D333" s="254" t="s">
        <v>511</v>
      </c>
      <c r="E333" s="255"/>
      <c r="F333" s="255"/>
      <c r="G333" s="255"/>
      <c r="H333" s="255"/>
      <c r="I333" s="255"/>
      <c r="J333" s="255"/>
      <c r="K333" s="255">
        <f t="shared" si="10"/>
        <v>0</v>
      </c>
      <c r="L333" s="570">
        <f t="shared" si="11"/>
        <v>0</v>
      </c>
      <c r="M333" s="403">
        <f t="shared" si="13"/>
        <v>0</v>
      </c>
      <c r="N333" s="256"/>
      <c r="O333" s="532">
        <f t="shared" si="12"/>
        <v>0</v>
      </c>
      <c r="P333" s="257"/>
      <c r="Q333" s="9"/>
      <c r="R333" s="9"/>
    </row>
    <row r="334" spans="1:18">
      <c r="A334" s="260">
        <v>3001</v>
      </c>
      <c r="B334" s="252">
        <v>61803</v>
      </c>
      <c r="C334" s="253" t="s">
        <v>438</v>
      </c>
      <c r="D334" s="254" t="s">
        <v>511</v>
      </c>
      <c r="E334" s="255"/>
      <c r="F334" s="255"/>
      <c r="G334" s="255"/>
      <c r="H334" s="255"/>
      <c r="I334" s="255"/>
      <c r="J334" s="255"/>
      <c r="K334" s="255">
        <f t="shared" si="10"/>
        <v>0</v>
      </c>
      <c r="L334" s="570">
        <f t="shared" si="11"/>
        <v>0</v>
      </c>
      <c r="M334" s="403">
        <f t="shared" si="13"/>
        <v>0</v>
      </c>
      <c r="N334" s="256"/>
      <c r="O334" s="532">
        <f t="shared" si="12"/>
        <v>0</v>
      </c>
      <c r="P334" s="257"/>
      <c r="Q334" s="9"/>
      <c r="R334" s="9"/>
    </row>
    <row r="335" spans="1:18">
      <c r="A335" s="260">
        <v>3001</v>
      </c>
      <c r="B335" s="252">
        <v>6181</v>
      </c>
      <c r="C335" s="253" t="s">
        <v>439</v>
      </c>
      <c r="D335" s="254" t="s">
        <v>511</v>
      </c>
      <c r="E335" s="255"/>
      <c r="F335" s="255"/>
      <c r="G335" s="255"/>
      <c r="H335" s="255"/>
      <c r="I335" s="255"/>
      <c r="J335" s="255"/>
      <c r="K335" s="255">
        <f t="shared" si="10"/>
        <v>0</v>
      </c>
      <c r="L335" s="570">
        <f t="shared" si="11"/>
        <v>0</v>
      </c>
      <c r="M335" s="403">
        <f t="shared" si="13"/>
        <v>0</v>
      </c>
      <c r="N335" s="256"/>
      <c r="O335" s="532">
        <f t="shared" si="12"/>
        <v>0</v>
      </c>
      <c r="P335" s="257"/>
      <c r="Q335" s="9"/>
      <c r="R335" s="9"/>
    </row>
    <row r="336" spans="1:18">
      <c r="A336" s="260">
        <v>3001</v>
      </c>
      <c r="B336" s="252">
        <v>6183</v>
      </c>
      <c r="C336" s="253" t="s">
        <v>540</v>
      </c>
      <c r="D336" s="254" t="s">
        <v>511</v>
      </c>
      <c r="E336" s="255"/>
      <c r="F336" s="255"/>
      <c r="G336" s="255"/>
      <c r="H336" s="255"/>
      <c r="I336" s="255"/>
      <c r="J336" s="255"/>
      <c r="K336" s="255">
        <f t="shared" si="10"/>
        <v>0</v>
      </c>
      <c r="L336" s="570">
        <f t="shared" si="11"/>
        <v>0</v>
      </c>
      <c r="M336" s="403">
        <f t="shared" si="13"/>
        <v>0</v>
      </c>
      <c r="N336" s="256"/>
      <c r="O336" s="532">
        <f t="shared" si="12"/>
        <v>0</v>
      </c>
      <c r="P336" s="257"/>
      <c r="Q336" s="9"/>
      <c r="R336" s="9"/>
    </row>
    <row r="337" spans="1:18">
      <c r="A337" s="260">
        <v>3001</v>
      </c>
      <c r="B337" s="252">
        <v>61831</v>
      </c>
      <c r="C337" s="253" t="s">
        <v>440</v>
      </c>
      <c r="D337" s="254" t="s">
        <v>511</v>
      </c>
      <c r="E337" s="255"/>
      <c r="F337" s="255"/>
      <c r="G337" s="255"/>
      <c r="H337" s="255"/>
      <c r="I337" s="255"/>
      <c r="J337" s="255"/>
      <c r="K337" s="255">
        <f t="shared" si="10"/>
        <v>0</v>
      </c>
      <c r="L337" s="570">
        <f t="shared" si="11"/>
        <v>0</v>
      </c>
      <c r="M337" s="403">
        <f t="shared" si="13"/>
        <v>0</v>
      </c>
      <c r="N337" s="256"/>
      <c r="O337" s="532">
        <f t="shared" si="12"/>
        <v>0</v>
      </c>
      <c r="P337" s="257"/>
      <c r="Q337" s="9"/>
      <c r="R337" s="9"/>
    </row>
    <row r="338" spans="1:18">
      <c r="A338" s="260">
        <v>3001</v>
      </c>
      <c r="B338" s="252">
        <v>61839</v>
      </c>
      <c r="C338" s="253" t="s">
        <v>441</v>
      </c>
      <c r="D338" s="254" t="s">
        <v>511</v>
      </c>
      <c r="E338" s="255"/>
      <c r="F338" s="255"/>
      <c r="G338" s="255"/>
      <c r="H338" s="255"/>
      <c r="I338" s="255"/>
      <c r="J338" s="255"/>
      <c r="K338" s="255">
        <f t="shared" ref="K338:K401" si="14">J338</f>
        <v>0</v>
      </c>
      <c r="L338" s="570">
        <f t="shared" ref="L338:L401" si="15">I338</f>
        <v>0</v>
      </c>
      <c r="M338" s="403">
        <f t="shared" si="13"/>
        <v>0</v>
      </c>
      <c r="N338" s="256"/>
      <c r="O338" s="532">
        <f t="shared" si="12"/>
        <v>0</v>
      </c>
      <c r="P338" s="257"/>
      <c r="Q338" s="9"/>
      <c r="R338" s="9"/>
    </row>
    <row r="339" spans="1:18">
      <c r="A339" s="260">
        <v>3009</v>
      </c>
      <c r="B339" s="252">
        <v>61849</v>
      </c>
      <c r="C339" s="253" t="s">
        <v>556</v>
      </c>
      <c r="D339" s="254" t="s">
        <v>511</v>
      </c>
      <c r="E339" s="255"/>
      <c r="F339" s="255"/>
      <c r="G339" s="255"/>
      <c r="H339" s="255"/>
      <c r="I339" s="255"/>
      <c r="J339" s="255"/>
      <c r="K339" s="255">
        <f t="shared" si="14"/>
        <v>0</v>
      </c>
      <c r="L339" s="403">
        <f t="shared" si="15"/>
        <v>0</v>
      </c>
      <c r="M339" s="403">
        <f t="shared" si="13"/>
        <v>0</v>
      </c>
      <c r="N339" s="256"/>
      <c r="O339" s="532">
        <f t="shared" si="12"/>
        <v>0</v>
      </c>
      <c r="P339" s="257"/>
      <c r="Q339" s="9"/>
      <c r="R339" s="9"/>
    </row>
    <row r="340" spans="1:18">
      <c r="A340" s="260">
        <v>3001</v>
      </c>
      <c r="B340" s="252">
        <v>6185</v>
      </c>
      <c r="C340" s="253" t="s">
        <v>442</v>
      </c>
      <c r="D340" s="254" t="s">
        <v>511</v>
      </c>
      <c r="E340" s="255"/>
      <c r="F340" s="255"/>
      <c r="G340" s="255"/>
      <c r="H340" s="255"/>
      <c r="I340" s="255"/>
      <c r="J340" s="255"/>
      <c r="K340" s="255">
        <f t="shared" si="14"/>
        <v>0</v>
      </c>
      <c r="L340" s="570">
        <f t="shared" si="15"/>
        <v>0</v>
      </c>
      <c r="M340" s="403">
        <f t="shared" si="13"/>
        <v>0</v>
      </c>
      <c r="N340" s="256"/>
      <c r="O340" s="532">
        <f t="shared" si="12"/>
        <v>0</v>
      </c>
      <c r="P340" s="257"/>
      <c r="Q340" s="9"/>
      <c r="R340" s="9"/>
    </row>
    <row r="341" spans="1:18">
      <c r="A341" s="260">
        <v>3001</v>
      </c>
      <c r="B341" s="252">
        <v>6186</v>
      </c>
      <c r="C341" s="253" t="s">
        <v>443</v>
      </c>
      <c r="D341" s="254" t="s">
        <v>511</v>
      </c>
      <c r="E341" s="255"/>
      <c r="F341" s="255"/>
      <c r="G341" s="255"/>
      <c r="H341" s="255"/>
      <c r="I341" s="255"/>
      <c r="J341" s="255"/>
      <c r="K341" s="255">
        <f t="shared" si="14"/>
        <v>0</v>
      </c>
      <c r="L341" s="570">
        <f t="shared" si="15"/>
        <v>0</v>
      </c>
      <c r="M341" s="403">
        <f t="shared" si="13"/>
        <v>0</v>
      </c>
      <c r="N341" s="256"/>
      <c r="O341" s="532">
        <f t="shared" si="12"/>
        <v>0</v>
      </c>
      <c r="P341" s="257"/>
      <c r="Q341" s="9"/>
      <c r="R341" s="9"/>
    </row>
    <row r="342" spans="1:18">
      <c r="A342" s="260">
        <v>3001</v>
      </c>
      <c r="B342" s="252">
        <v>6187</v>
      </c>
      <c r="C342" s="253" t="s">
        <v>557</v>
      </c>
      <c r="D342" s="254" t="s">
        <v>511</v>
      </c>
      <c r="E342" s="255"/>
      <c r="F342" s="255"/>
      <c r="G342" s="255"/>
      <c r="H342" s="255"/>
      <c r="I342" s="255"/>
      <c r="J342" s="255"/>
      <c r="K342" s="255">
        <f t="shared" si="14"/>
        <v>0</v>
      </c>
      <c r="L342" s="570">
        <f t="shared" si="15"/>
        <v>0</v>
      </c>
      <c r="M342" s="403">
        <f t="shared" si="13"/>
        <v>0</v>
      </c>
      <c r="N342" s="256"/>
      <c r="O342" s="532">
        <f t="shared" si="12"/>
        <v>0</v>
      </c>
      <c r="P342" s="257"/>
      <c r="Q342" s="9"/>
      <c r="R342" s="9"/>
    </row>
    <row r="343" spans="1:18">
      <c r="A343" s="260">
        <v>3001</v>
      </c>
      <c r="B343" s="252">
        <v>621</v>
      </c>
      <c r="C343" s="253" t="s">
        <v>444</v>
      </c>
      <c r="D343" s="254" t="s">
        <v>511</v>
      </c>
      <c r="E343" s="255"/>
      <c r="F343" s="255"/>
      <c r="G343" s="255"/>
      <c r="H343" s="255"/>
      <c r="I343" s="255"/>
      <c r="J343" s="255"/>
      <c r="K343" s="255">
        <f t="shared" si="14"/>
        <v>0</v>
      </c>
      <c r="L343" s="570">
        <f t="shared" si="15"/>
        <v>0</v>
      </c>
      <c r="M343" s="403">
        <f t="shared" si="13"/>
        <v>0</v>
      </c>
      <c r="N343" s="256"/>
      <c r="O343" s="532">
        <f t="shared" si="12"/>
        <v>0</v>
      </c>
      <c r="P343" s="257"/>
      <c r="Q343" s="9"/>
      <c r="R343" s="9"/>
    </row>
    <row r="344" spans="1:18">
      <c r="A344" s="273">
        <v>3010</v>
      </c>
      <c r="B344" s="252">
        <v>60000</v>
      </c>
      <c r="C344" s="253" t="s">
        <v>868</v>
      </c>
      <c r="D344" s="254" t="s">
        <v>511</v>
      </c>
      <c r="E344" s="255"/>
      <c r="F344" s="255"/>
      <c r="G344" s="255"/>
      <c r="H344" s="255"/>
      <c r="I344" s="255"/>
      <c r="J344" s="255"/>
      <c r="K344" s="403">
        <f>SUM(L299:L440)</f>
        <v>5050274.0706000002</v>
      </c>
      <c r="L344" s="403">
        <f t="shared" si="15"/>
        <v>0</v>
      </c>
      <c r="M344" s="570">
        <f>(+I344-J344)+K344-L344</f>
        <v>5050274.0706000002</v>
      </c>
      <c r="N344" s="256">
        <v>5006</v>
      </c>
      <c r="O344" s="532">
        <f t="shared" si="12"/>
        <v>0</v>
      </c>
      <c r="P344" s="257"/>
      <c r="Q344" s="9"/>
      <c r="R344" s="9"/>
    </row>
    <row r="345" spans="1:18">
      <c r="A345" s="260">
        <v>3001</v>
      </c>
      <c r="B345" s="252">
        <v>62102</v>
      </c>
      <c r="C345" s="253" t="s">
        <v>558</v>
      </c>
      <c r="D345" s="254" t="s">
        <v>511</v>
      </c>
      <c r="E345" s="255"/>
      <c r="F345" s="255"/>
      <c r="G345" s="255"/>
      <c r="H345" s="255"/>
      <c r="I345" s="255"/>
      <c r="J345" s="255"/>
      <c r="K345" s="255">
        <f t="shared" si="14"/>
        <v>0</v>
      </c>
      <c r="L345" s="570">
        <f t="shared" si="15"/>
        <v>0</v>
      </c>
      <c r="M345" s="403">
        <f t="shared" si="13"/>
        <v>0</v>
      </c>
      <c r="N345" s="256"/>
      <c r="O345" s="532">
        <f t="shared" si="12"/>
        <v>0</v>
      </c>
      <c r="P345" s="257"/>
      <c r="Q345" s="9"/>
      <c r="R345" s="9"/>
    </row>
    <row r="346" spans="1:18">
      <c r="A346" s="260">
        <v>3001</v>
      </c>
      <c r="B346" s="252">
        <v>62103</v>
      </c>
      <c r="C346" s="253" t="s">
        <v>559</v>
      </c>
      <c r="D346" s="254" t="s">
        <v>511</v>
      </c>
      <c r="E346" s="255"/>
      <c r="F346" s="255"/>
      <c r="G346" s="255"/>
      <c r="H346" s="255"/>
      <c r="I346" s="255"/>
      <c r="J346" s="255"/>
      <c r="K346" s="255">
        <f t="shared" si="14"/>
        <v>0</v>
      </c>
      <c r="L346" s="570">
        <f t="shared" si="15"/>
        <v>0</v>
      </c>
      <c r="M346" s="403">
        <f t="shared" si="13"/>
        <v>0</v>
      </c>
      <c r="N346" s="256"/>
      <c r="O346" s="532">
        <f t="shared" si="12"/>
        <v>0</v>
      </c>
      <c r="P346" s="257"/>
      <c r="Q346" s="9"/>
      <c r="R346" s="9"/>
    </row>
    <row r="347" spans="1:18">
      <c r="A347" s="260">
        <v>3001</v>
      </c>
      <c r="B347" s="252">
        <v>6211</v>
      </c>
      <c r="C347" s="253" t="s">
        <v>445</v>
      </c>
      <c r="D347" s="254" t="s">
        <v>511</v>
      </c>
      <c r="E347" s="255"/>
      <c r="F347" s="255"/>
      <c r="G347" s="255"/>
      <c r="H347" s="255"/>
      <c r="I347" s="255"/>
      <c r="J347" s="255"/>
      <c r="K347" s="255">
        <f t="shared" si="14"/>
        <v>0</v>
      </c>
      <c r="L347" s="570">
        <f t="shared" si="15"/>
        <v>0</v>
      </c>
      <c r="M347" s="403">
        <f t="shared" si="13"/>
        <v>0</v>
      </c>
      <c r="N347" s="256"/>
      <c r="O347" s="532">
        <f t="shared" si="12"/>
        <v>0</v>
      </c>
      <c r="P347" s="257"/>
      <c r="Q347" s="9"/>
      <c r="R347" s="9"/>
    </row>
    <row r="348" spans="1:18">
      <c r="A348" s="260">
        <v>3001</v>
      </c>
      <c r="B348" s="252">
        <v>6212</v>
      </c>
      <c r="C348" s="253" t="s">
        <v>446</v>
      </c>
      <c r="D348" s="254" t="s">
        <v>511</v>
      </c>
      <c r="E348" s="255"/>
      <c r="F348" s="255"/>
      <c r="G348" s="255"/>
      <c r="H348" s="255"/>
      <c r="I348" s="255"/>
      <c r="J348" s="255"/>
      <c r="K348" s="255">
        <f t="shared" si="14"/>
        <v>0</v>
      </c>
      <c r="L348" s="570">
        <f t="shared" si="15"/>
        <v>0</v>
      </c>
      <c r="M348" s="255">
        <f t="shared" si="13"/>
        <v>0</v>
      </c>
      <c r="N348" s="256"/>
      <c r="O348" s="532">
        <f t="shared" si="12"/>
        <v>0</v>
      </c>
      <c r="P348" s="257"/>
      <c r="Q348" s="9"/>
      <c r="R348" s="9"/>
    </row>
    <row r="349" spans="1:18">
      <c r="A349" s="260">
        <v>3001</v>
      </c>
      <c r="B349" s="252">
        <v>6216</v>
      </c>
      <c r="C349" s="253" t="s">
        <v>447</v>
      </c>
      <c r="D349" s="254" t="s">
        <v>511</v>
      </c>
      <c r="E349" s="255"/>
      <c r="F349" s="255"/>
      <c r="G349" s="255"/>
      <c r="H349" s="255"/>
      <c r="I349" s="255"/>
      <c r="J349" s="255"/>
      <c r="K349" s="255">
        <f t="shared" si="14"/>
        <v>0</v>
      </c>
      <c r="L349" s="570">
        <f t="shared" si="15"/>
        <v>0</v>
      </c>
      <c r="M349" s="255">
        <f t="shared" si="13"/>
        <v>0</v>
      </c>
      <c r="N349" s="256"/>
      <c r="O349" s="532">
        <f t="shared" si="12"/>
        <v>0</v>
      </c>
      <c r="P349" s="257"/>
      <c r="Q349" s="9"/>
      <c r="R349" s="9"/>
    </row>
    <row r="350" spans="1:18">
      <c r="A350" s="260">
        <v>3001</v>
      </c>
      <c r="B350" s="252">
        <v>6220</v>
      </c>
      <c r="C350" s="253" t="s">
        <v>448</v>
      </c>
      <c r="D350" s="254" t="s">
        <v>511</v>
      </c>
      <c r="E350" s="255"/>
      <c r="F350" s="255"/>
      <c r="G350" s="255"/>
      <c r="H350" s="255"/>
      <c r="I350" s="255"/>
      <c r="J350" s="255"/>
      <c r="K350" s="255">
        <f t="shared" si="14"/>
        <v>0</v>
      </c>
      <c r="L350" s="570">
        <f t="shared" si="15"/>
        <v>0</v>
      </c>
      <c r="M350" s="255">
        <f t="shared" si="13"/>
        <v>0</v>
      </c>
      <c r="N350" s="256"/>
      <c r="O350" s="532">
        <f t="shared" si="12"/>
        <v>0</v>
      </c>
      <c r="P350" s="257"/>
      <c r="Q350" s="9"/>
      <c r="R350" s="9"/>
    </row>
    <row r="351" spans="1:18">
      <c r="A351" s="260">
        <v>3001</v>
      </c>
      <c r="B351" s="252">
        <v>62201</v>
      </c>
      <c r="C351" s="253" t="s">
        <v>449</v>
      </c>
      <c r="D351" s="254" t="s">
        <v>511</v>
      </c>
      <c r="E351" s="255"/>
      <c r="F351" s="255"/>
      <c r="G351" s="255"/>
      <c r="H351" s="255"/>
      <c r="I351" s="255"/>
      <c r="J351" s="255"/>
      <c r="K351" s="255">
        <f t="shared" si="14"/>
        <v>0</v>
      </c>
      <c r="L351" s="570">
        <f t="shared" si="15"/>
        <v>0</v>
      </c>
      <c r="M351" s="255">
        <f t="shared" si="13"/>
        <v>0</v>
      </c>
      <c r="N351" s="256"/>
      <c r="O351" s="532">
        <f t="shared" si="12"/>
        <v>0</v>
      </c>
      <c r="P351" s="257"/>
      <c r="Q351" s="9"/>
      <c r="R351" s="9"/>
    </row>
    <row r="352" spans="1:18">
      <c r="A352" s="260">
        <v>3001</v>
      </c>
      <c r="B352" s="252">
        <v>6221</v>
      </c>
      <c r="C352" s="253" t="s">
        <v>450</v>
      </c>
      <c r="D352" s="254" t="s">
        <v>511</v>
      </c>
      <c r="E352" s="255"/>
      <c r="F352" s="255"/>
      <c r="G352" s="255"/>
      <c r="H352" s="255"/>
      <c r="I352" s="255"/>
      <c r="J352" s="255"/>
      <c r="K352" s="255">
        <f t="shared" si="14"/>
        <v>0</v>
      </c>
      <c r="L352" s="570">
        <f t="shared" si="15"/>
        <v>0</v>
      </c>
      <c r="M352" s="255">
        <f t="shared" si="13"/>
        <v>0</v>
      </c>
      <c r="N352" s="256"/>
      <c r="O352" s="532">
        <f t="shared" si="12"/>
        <v>0</v>
      </c>
      <c r="P352" s="257"/>
      <c r="Q352" s="9"/>
      <c r="R352" s="9"/>
    </row>
    <row r="353" spans="1:18">
      <c r="A353" s="260">
        <v>3001</v>
      </c>
      <c r="B353" s="252">
        <v>6225</v>
      </c>
      <c r="C353" s="253" t="s">
        <v>451</v>
      </c>
      <c r="D353" s="254" t="s">
        <v>511</v>
      </c>
      <c r="E353" s="255"/>
      <c r="F353" s="255"/>
      <c r="G353" s="255"/>
      <c r="H353" s="255"/>
      <c r="I353" s="255"/>
      <c r="J353" s="255"/>
      <c r="K353" s="255">
        <f t="shared" si="14"/>
        <v>0</v>
      </c>
      <c r="L353" s="570">
        <f t="shared" si="15"/>
        <v>0</v>
      </c>
      <c r="M353" s="255">
        <f t="shared" si="13"/>
        <v>0</v>
      </c>
      <c r="N353" s="256"/>
      <c r="O353" s="532">
        <f t="shared" si="12"/>
        <v>0</v>
      </c>
      <c r="P353" s="257"/>
      <c r="Q353" s="9"/>
      <c r="R353" s="9"/>
    </row>
    <row r="354" spans="1:18">
      <c r="A354" s="260">
        <v>3001</v>
      </c>
      <c r="B354" s="252">
        <v>6226</v>
      </c>
      <c r="C354" s="253" t="s">
        <v>452</v>
      </c>
      <c r="D354" s="254" t="s">
        <v>511</v>
      </c>
      <c r="E354" s="255"/>
      <c r="F354" s="255"/>
      <c r="G354" s="255"/>
      <c r="H354" s="255"/>
      <c r="I354" s="255"/>
      <c r="J354" s="255"/>
      <c r="K354" s="255">
        <f t="shared" si="14"/>
        <v>0</v>
      </c>
      <c r="L354" s="570">
        <f t="shared" si="15"/>
        <v>0</v>
      </c>
      <c r="M354" s="255">
        <f t="shared" si="13"/>
        <v>0</v>
      </c>
      <c r="N354" s="256"/>
      <c r="O354" s="532">
        <f t="shared" si="12"/>
        <v>0</v>
      </c>
      <c r="P354" s="257"/>
      <c r="Q354" s="9"/>
      <c r="R354" s="9"/>
    </row>
    <row r="355" spans="1:18">
      <c r="A355" s="260">
        <v>3001</v>
      </c>
      <c r="B355" s="252">
        <v>624</v>
      </c>
      <c r="C355" s="253" t="s">
        <v>453</v>
      </c>
      <c r="D355" s="254" t="s">
        <v>511</v>
      </c>
      <c r="E355" s="255"/>
      <c r="F355" s="255"/>
      <c r="G355" s="255"/>
      <c r="H355" s="255"/>
      <c r="I355" s="255"/>
      <c r="J355" s="255"/>
      <c r="K355" s="255">
        <f t="shared" si="14"/>
        <v>0</v>
      </c>
      <c r="L355" s="570">
        <f t="shared" si="15"/>
        <v>0</v>
      </c>
      <c r="M355" s="255">
        <f t="shared" si="13"/>
        <v>0</v>
      </c>
      <c r="N355" s="256"/>
      <c r="O355" s="532">
        <f t="shared" si="12"/>
        <v>0</v>
      </c>
      <c r="P355" s="257"/>
      <c r="Q355" s="9"/>
      <c r="R355" s="9"/>
    </row>
    <row r="356" spans="1:18">
      <c r="A356" s="260">
        <v>3001</v>
      </c>
      <c r="B356" s="252">
        <v>6241</v>
      </c>
      <c r="C356" s="253" t="s">
        <v>561</v>
      </c>
      <c r="D356" s="254" t="s">
        <v>511</v>
      </c>
      <c r="E356" s="255"/>
      <c r="F356" s="255"/>
      <c r="G356" s="255"/>
      <c r="H356" s="255"/>
      <c r="I356" s="255"/>
      <c r="J356" s="255"/>
      <c r="K356" s="255">
        <f t="shared" si="14"/>
        <v>0</v>
      </c>
      <c r="L356" s="570">
        <f t="shared" si="15"/>
        <v>0</v>
      </c>
      <c r="M356" s="255">
        <f t="shared" si="13"/>
        <v>0</v>
      </c>
      <c r="N356" s="256"/>
      <c r="O356" s="532">
        <f t="shared" si="12"/>
        <v>0</v>
      </c>
      <c r="P356" s="257"/>
      <c r="Q356" s="9"/>
      <c r="R356" s="9"/>
    </row>
    <row r="357" spans="1:18">
      <c r="A357" s="260">
        <v>3001</v>
      </c>
      <c r="B357" s="252">
        <v>6240</v>
      </c>
      <c r="C357" s="253" t="s">
        <v>454</v>
      </c>
      <c r="D357" s="254" t="s">
        <v>511</v>
      </c>
      <c r="E357" s="255"/>
      <c r="F357" s="255"/>
      <c r="G357" s="255"/>
      <c r="H357" s="255"/>
      <c r="I357" s="255"/>
      <c r="J357" s="255"/>
      <c r="K357" s="255">
        <f t="shared" si="14"/>
        <v>0</v>
      </c>
      <c r="L357" s="570">
        <f t="shared" si="15"/>
        <v>0</v>
      </c>
      <c r="M357" s="255">
        <f t="shared" si="13"/>
        <v>0</v>
      </c>
      <c r="N357" s="256"/>
      <c r="O357" s="532">
        <f t="shared" si="12"/>
        <v>0</v>
      </c>
      <c r="P357" s="257"/>
      <c r="Q357" s="9"/>
      <c r="R357" s="9"/>
    </row>
    <row r="358" spans="1:18">
      <c r="A358" s="260">
        <v>3001</v>
      </c>
      <c r="B358" s="252">
        <v>6242</v>
      </c>
      <c r="C358" s="253" t="s">
        <v>455</v>
      </c>
      <c r="D358" s="254" t="s">
        <v>511</v>
      </c>
      <c r="E358" s="255"/>
      <c r="F358" s="255"/>
      <c r="G358" s="255"/>
      <c r="H358" s="255"/>
      <c r="I358" s="255"/>
      <c r="J358" s="255"/>
      <c r="K358" s="255">
        <f t="shared" si="14"/>
        <v>0</v>
      </c>
      <c r="L358" s="570">
        <f t="shared" si="15"/>
        <v>0</v>
      </c>
      <c r="M358" s="255">
        <f t="shared" si="13"/>
        <v>0</v>
      </c>
      <c r="N358" s="256"/>
      <c r="O358" s="532">
        <f t="shared" si="12"/>
        <v>0</v>
      </c>
      <c r="P358" s="257"/>
      <c r="Q358" s="9"/>
      <c r="R358" s="9"/>
    </row>
    <row r="359" spans="1:18">
      <c r="A359" s="260">
        <v>3001</v>
      </c>
      <c r="B359" s="420">
        <v>625</v>
      </c>
      <c r="C359" s="421" t="s">
        <v>456</v>
      </c>
      <c r="D359" s="422" t="s">
        <v>511</v>
      </c>
      <c r="E359" s="255"/>
      <c r="F359" s="255"/>
      <c r="G359" s="255"/>
      <c r="H359" s="255"/>
      <c r="I359" s="531">
        <f>4761.1*139.59</f>
        <v>664601.94900000002</v>
      </c>
      <c r="J359" s="403"/>
      <c r="K359" s="255">
        <f t="shared" si="14"/>
        <v>0</v>
      </c>
      <c r="L359" s="570">
        <f t="shared" si="15"/>
        <v>664601.94900000002</v>
      </c>
      <c r="M359" s="255">
        <f t="shared" si="13"/>
        <v>0</v>
      </c>
      <c r="N359" s="256">
        <v>4019</v>
      </c>
      <c r="O359" s="532">
        <f t="shared" si="12"/>
        <v>4761.1000000000004</v>
      </c>
      <c r="P359" s="257"/>
      <c r="Q359" s="9"/>
      <c r="R359" s="9"/>
    </row>
    <row r="360" spans="1:18">
      <c r="A360" s="260">
        <v>3001</v>
      </c>
      <c r="B360" s="420">
        <v>6260</v>
      </c>
      <c r="C360" s="421" t="s">
        <v>457</v>
      </c>
      <c r="D360" s="422" t="s">
        <v>511</v>
      </c>
      <c r="E360" s="255"/>
      <c r="F360" s="255"/>
      <c r="G360" s="255"/>
      <c r="H360" s="255"/>
      <c r="I360" s="531">
        <f>2357.9*139.59</f>
        <v>329139.261</v>
      </c>
      <c r="J360" s="403"/>
      <c r="K360" s="255">
        <f t="shared" si="14"/>
        <v>0</v>
      </c>
      <c r="L360" s="570">
        <f t="shared" si="15"/>
        <v>329139.261</v>
      </c>
      <c r="M360" s="255">
        <f t="shared" si="13"/>
        <v>0</v>
      </c>
      <c r="N360" s="256">
        <v>4016</v>
      </c>
      <c r="O360" s="532">
        <f t="shared" si="12"/>
        <v>2357.9</v>
      </c>
      <c r="P360" s="257"/>
      <c r="Q360" s="9"/>
      <c r="R360" s="9"/>
    </row>
    <row r="361" spans="1:18">
      <c r="A361" s="260">
        <v>3001</v>
      </c>
      <c r="B361" s="420">
        <v>6261</v>
      </c>
      <c r="C361" s="421" t="s">
        <v>458</v>
      </c>
      <c r="D361" s="422" t="s">
        <v>511</v>
      </c>
      <c r="E361" s="255"/>
      <c r="F361" s="255"/>
      <c r="G361" s="255"/>
      <c r="H361" s="255"/>
      <c r="I361" s="531">
        <f>3307.02*139.59</f>
        <v>461626.92180000001</v>
      </c>
      <c r="J361" s="403"/>
      <c r="K361" s="255">
        <f t="shared" si="14"/>
        <v>0</v>
      </c>
      <c r="L361" s="570">
        <f t="shared" si="15"/>
        <v>461626.92180000001</v>
      </c>
      <c r="M361" s="255">
        <f t="shared" si="13"/>
        <v>0</v>
      </c>
      <c r="N361" s="256">
        <v>4016</v>
      </c>
      <c r="O361" s="532">
        <f t="shared" si="12"/>
        <v>3307.02</v>
      </c>
      <c r="P361" s="257"/>
      <c r="Q361" s="9"/>
      <c r="R361" s="9"/>
    </row>
    <row r="362" spans="1:18">
      <c r="A362" s="260">
        <v>3001</v>
      </c>
      <c r="B362" s="420">
        <v>6262</v>
      </c>
      <c r="C362" s="421" t="s">
        <v>459</v>
      </c>
      <c r="D362" s="422" t="s">
        <v>511</v>
      </c>
      <c r="E362" s="255"/>
      <c r="F362" s="255"/>
      <c r="G362" s="255"/>
      <c r="H362" s="255"/>
      <c r="I362" s="531">
        <f>(10068.8+14851.2)*139.59</f>
        <v>3478582.8000000003</v>
      </c>
      <c r="J362" s="403"/>
      <c r="K362" s="255">
        <f t="shared" si="14"/>
        <v>0</v>
      </c>
      <c r="L362" s="570">
        <v>0</v>
      </c>
      <c r="M362" s="540">
        <f t="shared" si="13"/>
        <v>3478582.8000000003</v>
      </c>
      <c r="N362" s="436">
        <v>4016</v>
      </c>
      <c r="O362" s="532">
        <f t="shared" si="12"/>
        <v>24920</v>
      </c>
      <c r="P362" s="257"/>
      <c r="Q362" s="9"/>
      <c r="R362" s="9"/>
    </row>
    <row r="363" spans="1:18">
      <c r="A363" s="260">
        <v>3001</v>
      </c>
      <c r="B363" s="252">
        <v>6263</v>
      </c>
      <c r="C363" s="253" t="s">
        <v>460</v>
      </c>
      <c r="D363" s="254" t="s">
        <v>511</v>
      </c>
      <c r="E363" s="255"/>
      <c r="F363" s="255"/>
      <c r="G363" s="255"/>
      <c r="H363" s="255"/>
      <c r="I363" s="255"/>
      <c r="J363" s="255"/>
      <c r="K363" s="255">
        <f t="shared" si="14"/>
        <v>0</v>
      </c>
      <c r="L363" s="570">
        <f t="shared" si="15"/>
        <v>0</v>
      </c>
      <c r="M363" s="255">
        <f t="shared" si="13"/>
        <v>0</v>
      </c>
      <c r="N363" s="256"/>
      <c r="O363" s="532">
        <f t="shared" si="12"/>
        <v>0</v>
      </c>
      <c r="P363" s="257"/>
      <c r="Q363" s="9"/>
      <c r="R363" s="9"/>
    </row>
    <row r="364" spans="1:18">
      <c r="A364" s="260">
        <v>3001</v>
      </c>
      <c r="B364" s="252">
        <v>62630</v>
      </c>
      <c r="C364" s="253" t="s">
        <v>461</v>
      </c>
      <c r="D364" s="254" t="s">
        <v>511</v>
      </c>
      <c r="E364" s="255"/>
      <c r="F364" s="255"/>
      <c r="G364" s="255"/>
      <c r="H364" s="255"/>
      <c r="I364" s="255"/>
      <c r="J364" s="255"/>
      <c r="K364" s="255">
        <f t="shared" si="14"/>
        <v>0</v>
      </c>
      <c r="L364" s="570">
        <f t="shared" si="15"/>
        <v>0</v>
      </c>
      <c r="M364" s="255">
        <f t="shared" si="13"/>
        <v>0</v>
      </c>
      <c r="N364" s="256"/>
      <c r="O364" s="532">
        <f t="shared" si="12"/>
        <v>0</v>
      </c>
      <c r="P364" s="257"/>
      <c r="Q364" s="9"/>
      <c r="R364" s="9"/>
    </row>
    <row r="365" spans="1:18">
      <c r="A365" s="260">
        <v>3001</v>
      </c>
      <c r="B365" s="252">
        <v>6264</v>
      </c>
      <c r="C365" s="253" t="s">
        <v>462</v>
      </c>
      <c r="D365" s="254" t="s">
        <v>511</v>
      </c>
      <c r="E365" s="255"/>
      <c r="F365" s="255"/>
      <c r="G365" s="255"/>
      <c r="H365" s="255"/>
      <c r="I365" s="255"/>
      <c r="J365" s="255"/>
      <c r="K365" s="255">
        <f t="shared" si="14"/>
        <v>0</v>
      </c>
      <c r="L365" s="570">
        <f t="shared" si="15"/>
        <v>0</v>
      </c>
      <c r="M365" s="255">
        <f t="shared" si="13"/>
        <v>0</v>
      </c>
      <c r="N365" s="256"/>
      <c r="O365" s="532">
        <f t="shared" ref="O365:O428" si="16">I365/139.59</f>
        <v>0</v>
      </c>
      <c r="P365" s="257"/>
      <c r="Q365" s="9"/>
      <c r="R365" s="9"/>
    </row>
    <row r="366" spans="1:18">
      <c r="A366" s="260">
        <v>3001</v>
      </c>
      <c r="B366" s="420">
        <v>627</v>
      </c>
      <c r="C366" s="421" t="s">
        <v>463</v>
      </c>
      <c r="D366" s="422" t="s">
        <v>511</v>
      </c>
      <c r="E366" s="255"/>
      <c r="F366" s="255"/>
      <c r="G366" s="255"/>
      <c r="H366" s="255"/>
      <c r="I366" s="531">
        <f>(11433.78-6709.93)*139.59</f>
        <v>659402.2215000001</v>
      </c>
      <c r="J366" s="403"/>
      <c r="K366" s="255">
        <f t="shared" si="14"/>
        <v>0</v>
      </c>
      <c r="L366" s="570">
        <f t="shared" si="15"/>
        <v>659402.2215000001</v>
      </c>
      <c r="M366" s="255">
        <f t="shared" si="13"/>
        <v>0</v>
      </c>
      <c r="N366" s="256">
        <v>4017</v>
      </c>
      <c r="O366" s="532">
        <f t="shared" si="16"/>
        <v>4723.8500000000004</v>
      </c>
      <c r="P366" s="257"/>
      <c r="Q366" s="9"/>
      <c r="R366" s="9"/>
    </row>
    <row r="367" spans="1:18">
      <c r="A367" s="260">
        <v>3001</v>
      </c>
      <c r="B367" s="252">
        <v>6271</v>
      </c>
      <c r="C367" s="253" t="s">
        <v>464</v>
      </c>
      <c r="D367" s="254" t="s">
        <v>511</v>
      </c>
      <c r="E367" s="255"/>
      <c r="F367" s="255"/>
      <c r="G367" s="255"/>
      <c r="H367" s="255"/>
      <c r="I367" s="255"/>
      <c r="J367" s="255"/>
      <c r="K367" s="255">
        <f t="shared" si="14"/>
        <v>0</v>
      </c>
      <c r="L367" s="570">
        <f t="shared" si="15"/>
        <v>0</v>
      </c>
      <c r="M367" s="255">
        <f t="shared" si="13"/>
        <v>0</v>
      </c>
      <c r="N367" s="256"/>
      <c r="O367" s="532">
        <f t="shared" si="16"/>
        <v>0</v>
      </c>
      <c r="P367" s="257"/>
      <c r="Q367" s="9"/>
      <c r="R367" s="9"/>
    </row>
    <row r="368" spans="1:18">
      <c r="A368" s="260">
        <v>3001</v>
      </c>
      <c r="B368" s="252">
        <v>6273</v>
      </c>
      <c r="C368" s="253" t="s">
        <v>465</v>
      </c>
      <c r="D368" s="254" t="s">
        <v>511</v>
      </c>
      <c r="E368" s="255"/>
      <c r="F368" s="255"/>
      <c r="G368" s="255"/>
      <c r="H368" s="255"/>
      <c r="I368" s="255"/>
      <c r="J368" s="255"/>
      <c r="K368" s="255">
        <f t="shared" si="14"/>
        <v>0</v>
      </c>
      <c r="L368" s="570">
        <f t="shared" si="15"/>
        <v>0</v>
      </c>
      <c r="M368" s="255">
        <f t="shared" si="13"/>
        <v>0</v>
      </c>
      <c r="N368" s="256"/>
      <c r="O368" s="532">
        <f t="shared" si="16"/>
        <v>0</v>
      </c>
      <c r="P368" s="257"/>
      <c r="Q368" s="9"/>
      <c r="R368" s="9"/>
    </row>
    <row r="369" spans="1:18">
      <c r="A369" s="260">
        <v>3001</v>
      </c>
      <c r="B369" s="252">
        <v>6276</v>
      </c>
      <c r="C369" s="253" t="s">
        <v>466</v>
      </c>
      <c r="D369" s="254" t="s">
        <v>511</v>
      </c>
      <c r="E369" s="255"/>
      <c r="F369" s="255"/>
      <c r="G369" s="255"/>
      <c r="H369" s="255"/>
      <c r="I369" s="255"/>
      <c r="J369" s="255"/>
      <c r="K369" s="255">
        <f t="shared" si="14"/>
        <v>0</v>
      </c>
      <c r="L369" s="570">
        <f t="shared" si="15"/>
        <v>0</v>
      </c>
      <c r="M369" s="255">
        <f t="shared" si="13"/>
        <v>0</v>
      </c>
      <c r="N369" s="256"/>
      <c r="O369" s="532">
        <f t="shared" si="16"/>
        <v>0</v>
      </c>
      <c r="P369" s="257"/>
      <c r="Q369" s="9"/>
      <c r="R369" s="9"/>
    </row>
    <row r="370" spans="1:18">
      <c r="A370" s="260">
        <v>3001</v>
      </c>
      <c r="B370" s="252">
        <v>628</v>
      </c>
      <c r="C370" s="253" t="s">
        <v>467</v>
      </c>
      <c r="D370" s="254" t="s">
        <v>511</v>
      </c>
      <c r="E370" s="255"/>
      <c r="F370" s="255"/>
      <c r="G370" s="255"/>
      <c r="H370" s="255"/>
      <c r="I370" s="255"/>
      <c r="J370" s="255"/>
      <c r="K370" s="255">
        <f t="shared" si="14"/>
        <v>0</v>
      </c>
      <c r="L370" s="570">
        <f t="shared" si="15"/>
        <v>0</v>
      </c>
      <c r="M370" s="255">
        <f t="shared" si="13"/>
        <v>0</v>
      </c>
      <c r="N370" s="256"/>
      <c r="O370" s="532">
        <f t="shared" si="16"/>
        <v>0</v>
      </c>
      <c r="P370" s="257"/>
      <c r="Q370" s="9"/>
      <c r="R370" s="9"/>
    </row>
    <row r="371" spans="1:18">
      <c r="A371" s="260">
        <v>3009</v>
      </c>
      <c r="B371" s="420">
        <v>6280</v>
      </c>
      <c r="C371" s="421" t="s">
        <v>468</v>
      </c>
      <c r="D371" s="422" t="s">
        <v>511</v>
      </c>
      <c r="E371" s="255"/>
      <c r="F371" s="255"/>
      <c r="G371" s="255"/>
      <c r="H371" s="255"/>
      <c r="I371" s="531">
        <f>140.41*139.59</f>
        <v>19599.831900000001</v>
      </c>
      <c r="J371" s="403"/>
      <c r="K371" s="255">
        <f t="shared" si="14"/>
        <v>0</v>
      </c>
      <c r="L371" s="403"/>
      <c r="M371" s="554">
        <f t="shared" si="13"/>
        <v>19599.831900000001</v>
      </c>
      <c r="N371" s="436">
        <v>4018</v>
      </c>
      <c r="O371" s="532">
        <f t="shared" si="16"/>
        <v>140.41</v>
      </c>
      <c r="P371" s="257"/>
      <c r="Q371" s="9"/>
      <c r="R371" s="9"/>
    </row>
    <row r="372" spans="1:18">
      <c r="A372" s="260">
        <v>3009</v>
      </c>
      <c r="B372" s="252">
        <v>632</v>
      </c>
      <c r="C372" s="253" t="s">
        <v>469</v>
      </c>
      <c r="D372" s="254" t="s">
        <v>511</v>
      </c>
      <c r="E372" s="255"/>
      <c r="F372" s="255"/>
      <c r="G372" s="255"/>
      <c r="H372" s="255"/>
      <c r="I372" s="255"/>
      <c r="J372" s="255"/>
      <c r="K372" s="255">
        <f t="shared" si="14"/>
        <v>0</v>
      </c>
      <c r="L372" s="403">
        <f t="shared" si="15"/>
        <v>0</v>
      </c>
      <c r="M372" s="255">
        <f t="shared" si="13"/>
        <v>0</v>
      </c>
      <c r="N372" s="256"/>
      <c r="O372" s="532">
        <f t="shared" si="16"/>
        <v>0</v>
      </c>
      <c r="P372" s="257"/>
      <c r="Q372" s="9"/>
      <c r="R372" s="9"/>
    </row>
    <row r="373" spans="1:18">
      <c r="A373" s="260">
        <v>3009</v>
      </c>
      <c r="B373" s="252">
        <v>633</v>
      </c>
      <c r="C373" s="253" t="s">
        <v>527</v>
      </c>
      <c r="D373" s="254" t="s">
        <v>511</v>
      </c>
      <c r="E373" s="255"/>
      <c r="F373" s="255"/>
      <c r="G373" s="255"/>
      <c r="H373" s="255"/>
      <c r="I373" s="255"/>
      <c r="J373" s="255"/>
      <c r="K373" s="255">
        <f t="shared" si="14"/>
        <v>0</v>
      </c>
      <c r="L373" s="403">
        <f t="shared" si="15"/>
        <v>0</v>
      </c>
      <c r="M373" s="255">
        <f t="shared" si="13"/>
        <v>0</v>
      </c>
      <c r="N373" s="256"/>
      <c r="O373" s="532">
        <f t="shared" si="16"/>
        <v>0</v>
      </c>
      <c r="P373" s="257"/>
      <c r="Q373" s="9"/>
      <c r="R373" s="9"/>
    </row>
    <row r="374" spans="1:18">
      <c r="A374" s="260">
        <v>3009</v>
      </c>
      <c r="B374" s="252">
        <v>6341</v>
      </c>
      <c r="C374" s="253" t="s">
        <v>470</v>
      </c>
      <c r="D374" s="254" t="s">
        <v>511</v>
      </c>
      <c r="E374" s="255"/>
      <c r="F374" s="255"/>
      <c r="G374" s="255"/>
      <c r="H374" s="255"/>
      <c r="I374" s="255"/>
      <c r="J374" s="255"/>
      <c r="K374" s="255">
        <f t="shared" si="14"/>
        <v>0</v>
      </c>
      <c r="L374" s="403">
        <f t="shared" si="15"/>
        <v>0</v>
      </c>
      <c r="M374" s="255">
        <f t="shared" si="13"/>
        <v>0</v>
      </c>
      <c r="N374" s="256"/>
      <c r="O374" s="532">
        <f t="shared" si="16"/>
        <v>0</v>
      </c>
      <c r="P374" s="257"/>
      <c r="Q374" s="9"/>
      <c r="R374" s="9"/>
    </row>
    <row r="375" spans="1:18">
      <c r="A375" s="260">
        <v>3009</v>
      </c>
      <c r="B375" s="252">
        <v>634</v>
      </c>
      <c r="C375" s="253" t="s">
        <v>470</v>
      </c>
      <c r="D375" s="254" t="s">
        <v>511</v>
      </c>
      <c r="E375" s="255"/>
      <c r="F375" s="255"/>
      <c r="G375" s="255"/>
      <c r="H375" s="255"/>
      <c r="I375" s="255"/>
      <c r="J375" s="255"/>
      <c r="K375" s="255">
        <f t="shared" si="14"/>
        <v>0</v>
      </c>
      <c r="L375" s="403">
        <f t="shared" si="15"/>
        <v>0</v>
      </c>
      <c r="M375" s="255">
        <f t="shared" si="13"/>
        <v>0</v>
      </c>
      <c r="N375" s="256"/>
      <c r="O375" s="532">
        <f t="shared" si="16"/>
        <v>0</v>
      </c>
      <c r="P375" s="257"/>
      <c r="Q375" s="9"/>
      <c r="R375" s="9"/>
    </row>
    <row r="376" spans="1:18">
      <c r="A376" s="260">
        <v>3009</v>
      </c>
      <c r="B376" s="252">
        <v>635</v>
      </c>
      <c r="C376" s="253" t="s">
        <v>471</v>
      </c>
      <c r="D376" s="254" t="s">
        <v>511</v>
      </c>
      <c r="E376" s="255"/>
      <c r="F376" s="255"/>
      <c r="G376" s="255"/>
      <c r="H376" s="255"/>
      <c r="I376" s="255"/>
      <c r="J376" s="255"/>
      <c r="K376" s="255">
        <f t="shared" si="14"/>
        <v>0</v>
      </c>
      <c r="L376" s="403">
        <f t="shared" si="15"/>
        <v>0</v>
      </c>
      <c r="M376" s="255">
        <f t="shared" si="13"/>
        <v>0</v>
      </c>
      <c r="N376" s="256"/>
      <c r="O376" s="532">
        <f t="shared" si="16"/>
        <v>0</v>
      </c>
      <c r="P376" s="257"/>
      <c r="Q376" s="9"/>
      <c r="R376" s="9"/>
    </row>
    <row r="377" spans="1:18">
      <c r="A377" s="260">
        <v>3009</v>
      </c>
      <c r="B377" s="252">
        <v>638</v>
      </c>
      <c r="C377" s="253" t="s">
        <v>472</v>
      </c>
      <c r="D377" s="254" t="s">
        <v>511</v>
      </c>
      <c r="E377" s="255"/>
      <c r="F377" s="255"/>
      <c r="G377" s="255"/>
      <c r="H377" s="255"/>
      <c r="I377" s="255"/>
      <c r="J377" s="255"/>
      <c r="K377" s="255">
        <f t="shared" si="14"/>
        <v>0</v>
      </c>
      <c r="L377" s="403">
        <f t="shared" si="15"/>
        <v>0</v>
      </c>
      <c r="M377" s="255">
        <f t="shared" si="13"/>
        <v>0</v>
      </c>
      <c r="N377" s="256"/>
      <c r="O377" s="532">
        <f t="shared" si="16"/>
        <v>0</v>
      </c>
      <c r="P377" s="257"/>
      <c r="Q377" s="9"/>
      <c r="R377" s="9"/>
    </row>
    <row r="378" spans="1:18">
      <c r="A378" s="260">
        <v>3009</v>
      </c>
      <c r="B378" s="252">
        <v>6380</v>
      </c>
      <c r="C378" s="253" t="s">
        <v>562</v>
      </c>
      <c r="D378" s="254" t="s">
        <v>511</v>
      </c>
      <c r="E378" s="255"/>
      <c r="F378" s="255"/>
      <c r="G378" s="255"/>
      <c r="H378" s="255"/>
      <c r="I378" s="255"/>
      <c r="J378" s="255"/>
      <c r="K378" s="255">
        <f t="shared" si="14"/>
        <v>0</v>
      </c>
      <c r="L378" s="403">
        <f t="shared" si="15"/>
        <v>0</v>
      </c>
      <c r="M378" s="255">
        <f t="shared" si="13"/>
        <v>0</v>
      </c>
      <c r="N378" s="256"/>
      <c r="O378" s="532">
        <f t="shared" si="16"/>
        <v>0</v>
      </c>
      <c r="P378" s="257"/>
      <c r="Q378" s="9"/>
      <c r="R378" s="9"/>
    </row>
    <row r="379" spans="1:18">
      <c r="A379" s="260">
        <v>3009</v>
      </c>
      <c r="B379" s="252">
        <v>6382</v>
      </c>
      <c r="C379" s="253" t="s">
        <v>473</v>
      </c>
      <c r="D379" s="254" t="s">
        <v>511</v>
      </c>
      <c r="E379" s="255"/>
      <c r="F379" s="255"/>
      <c r="G379" s="255"/>
      <c r="H379" s="255"/>
      <c r="I379" s="255"/>
      <c r="J379" s="255"/>
      <c r="K379" s="255">
        <f t="shared" si="14"/>
        <v>0</v>
      </c>
      <c r="L379" s="403">
        <f t="shared" si="15"/>
        <v>0</v>
      </c>
      <c r="M379" s="255">
        <f t="shared" si="13"/>
        <v>0</v>
      </c>
      <c r="N379" s="256"/>
      <c r="O379" s="532">
        <f t="shared" si="16"/>
        <v>0</v>
      </c>
      <c r="P379" s="257"/>
      <c r="Q379" s="9"/>
      <c r="R379" s="9"/>
    </row>
    <row r="380" spans="1:18">
      <c r="A380" s="260">
        <v>3001</v>
      </c>
      <c r="B380" s="420">
        <v>64101</v>
      </c>
      <c r="C380" s="421" t="s">
        <v>474</v>
      </c>
      <c r="D380" s="422" t="s">
        <v>511</v>
      </c>
      <c r="E380" s="255"/>
      <c r="F380" s="255"/>
      <c r="G380" s="255"/>
      <c r="H380" s="255"/>
      <c r="I380" s="531">
        <f>124736.92*139.59</f>
        <v>17412026.662799999</v>
      </c>
      <c r="J380" s="403"/>
      <c r="K380" s="255">
        <f t="shared" si="14"/>
        <v>0</v>
      </c>
      <c r="L380" s="570"/>
      <c r="M380" s="540">
        <f t="shared" si="13"/>
        <v>17412026.662799999</v>
      </c>
      <c r="N380" s="436">
        <v>4013</v>
      </c>
      <c r="O380" s="532">
        <f t="shared" si="16"/>
        <v>124736.91999999998</v>
      </c>
      <c r="P380" s="257"/>
      <c r="Q380" s="9"/>
      <c r="R380" s="9"/>
    </row>
    <row r="381" spans="1:18">
      <c r="A381" s="260">
        <v>3001</v>
      </c>
      <c r="B381" s="420">
        <v>64401</v>
      </c>
      <c r="C381" s="421" t="s">
        <v>475</v>
      </c>
      <c r="D381" s="422" t="s">
        <v>511</v>
      </c>
      <c r="E381" s="255"/>
      <c r="F381" s="255"/>
      <c r="G381" s="255"/>
      <c r="H381" s="255"/>
      <c r="I381" s="531">
        <f>5541.28*139.59</f>
        <v>773507.27520000003</v>
      </c>
      <c r="J381" s="403"/>
      <c r="K381" s="255">
        <f t="shared" si="14"/>
        <v>0</v>
      </c>
      <c r="L381" s="570"/>
      <c r="M381" s="540">
        <f t="shared" si="13"/>
        <v>773507.27520000003</v>
      </c>
      <c r="N381" s="436">
        <v>4013</v>
      </c>
      <c r="O381" s="532">
        <f t="shared" si="16"/>
        <v>5541.28</v>
      </c>
      <c r="P381" s="257"/>
      <c r="Q381" s="9"/>
      <c r="R381" s="9"/>
    </row>
    <row r="382" spans="1:18">
      <c r="A382" s="260">
        <v>3005</v>
      </c>
      <c r="B382" s="252">
        <v>648</v>
      </c>
      <c r="C382" s="253" t="s">
        <v>476</v>
      </c>
      <c r="D382" s="254" t="s">
        <v>511</v>
      </c>
      <c r="E382" s="255"/>
      <c r="F382" s="255"/>
      <c r="G382" s="255"/>
      <c r="H382" s="255"/>
      <c r="I382" s="255"/>
      <c r="J382" s="255"/>
      <c r="K382" s="255">
        <f t="shared" si="14"/>
        <v>0</v>
      </c>
      <c r="L382" s="403">
        <f t="shared" si="15"/>
        <v>0</v>
      </c>
      <c r="M382" s="255">
        <f t="shared" si="13"/>
        <v>0</v>
      </c>
      <c r="N382" s="256"/>
      <c r="O382" s="532">
        <f t="shared" si="16"/>
        <v>0</v>
      </c>
      <c r="P382" s="257"/>
      <c r="Q382" s="9"/>
      <c r="R382" s="9"/>
    </row>
    <row r="383" spans="1:18">
      <c r="A383" s="260">
        <v>3009</v>
      </c>
      <c r="B383" s="252">
        <v>6480</v>
      </c>
      <c r="C383" s="253" t="s">
        <v>474</v>
      </c>
      <c r="D383" s="254" t="s">
        <v>511</v>
      </c>
      <c r="E383" s="255"/>
      <c r="F383" s="255"/>
      <c r="G383" s="255"/>
      <c r="H383" s="255"/>
      <c r="I383" s="255"/>
      <c r="J383" s="255"/>
      <c r="K383" s="255">
        <f t="shared" si="14"/>
        <v>0</v>
      </c>
      <c r="L383" s="403"/>
      <c r="M383" s="255">
        <f t="shared" si="13"/>
        <v>0</v>
      </c>
      <c r="N383" s="436"/>
      <c r="O383" s="532">
        <f t="shared" si="16"/>
        <v>0</v>
      </c>
      <c r="P383" s="257"/>
      <c r="Q383" s="9"/>
      <c r="R383" s="9"/>
    </row>
    <row r="384" spans="1:18">
      <c r="A384" s="260">
        <v>3009</v>
      </c>
      <c r="B384" s="252">
        <v>6481</v>
      </c>
      <c r="C384" s="253" t="s">
        <v>478</v>
      </c>
      <c r="D384" s="254" t="s">
        <v>511</v>
      </c>
      <c r="E384" s="255"/>
      <c r="F384" s="255"/>
      <c r="G384" s="255"/>
      <c r="H384" s="255"/>
      <c r="I384" s="255"/>
      <c r="J384" s="255"/>
      <c r="K384" s="255">
        <f t="shared" si="14"/>
        <v>0</v>
      </c>
      <c r="L384" s="403">
        <f t="shared" si="15"/>
        <v>0</v>
      </c>
      <c r="M384" s="255">
        <f t="shared" si="13"/>
        <v>0</v>
      </c>
      <c r="N384" s="256"/>
      <c r="O384" s="532">
        <f t="shared" si="16"/>
        <v>0</v>
      </c>
      <c r="P384" s="257"/>
      <c r="Q384" s="9"/>
      <c r="R384" s="9"/>
    </row>
    <row r="385" spans="1:18">
      <c r="A385" s="260">
        <v>3009</v>
      </c>
      <c r="B385" s="252">
        <v>6482</v>
      </c>
      <c r="C385" s="253" t="s">
        <v>563</v>
      </c>
      <c r="D385" s="254" t="s">
        <v>511</v>
      </c>
      <c r="E385" s="255"/>
      <c r="F385" s="255"/>
      <c r="G385" s="255"/>
      <c r="H385" s="255"/>
      <c r="I385" s="255"/>
      <c r="J385" s="255"/>
      <c r="K385" s="255">
        <f t="shared" si="14"/>
        <v>0</v>
      </c>
      <c r="L385" s="403">
        <f t="shared" si="15"/>
        <v>0</v>
      </c>
      <c r="M385" s="255">
        <f t="shared" si="13"/>
        <v>0</v>
      </c>
      <c r="N385" s="256"/>
      <c r="O385" s="532">
        <f t="shared" si="16"/>
        <v>0</v>
      </c>
      <c r="P385" s="257"/>
      <c r="Q385" s="9"/>
      <c r="R385" s="9"/>
    </row>
    <row r="386" spans="1:18">
      <c r="A386" s="260">
        <v>3009</v>
      </c>
      <c r="B386" s="252">
        <v>654</v>
      </c>
      <c r="C386" s="253" t="s">
        <v>479</v>
      </c>
      <c r="D386" s="254" t="s">
        <v>511</v>
      </c>
      <c r="E386" s="255"/>
      <c r="F386" s="255"/>
      <c r="G386" s="255"/>
      <c r="H386" s="255"/>
      <c r="I386" s="434"/>
      <c r="J386" s="255"/>
      <c r="K386" s="255">
        <f t="shared" si="14"/>
        <v>0</v>
      </c>
      <c r="L386" s="403"/>
      <c r="M386" s="255">
        <f t="shared" si="13"/>
        <v>0</v>
      </c>
      <c r="N386" s="256"/>
      <c r="O386" s="532">
        <f t="shared" si="16"/>
        <v>0</v>
      </c>
      <c r="P386" s="257"/>
      <c r="Q386" s="9"/>
      <c r="R386" s="9"/>
    </row>
    <row r="387" spans="1:18">
      <c r="A387" s="260">
        <v>3009</v>
      </c>
      <c r="B387" s="252">
        <v>6541</v>
      </c>
      <c r="C387" s="253" t="s">
        <v>564</v>
      </c>
      <c r="D387" s="254" t="s">
        <v>511</v>
      </c>
      <c r="E387" s="255"/>
      <c r="F387" s="255"/>
      <c r="G387" s="255"/>
      <c r="H387" s="255"/>
      <c r="I387" s="255"/>
      <c r="J387" s="255"/>
      <c r="K387" s="255">
        <f t="shared" si="14"/>
        <v>0</v>
      </c>
      <c r="L387" s="403">
        <f t="shared" si="15"/>
        <v>0</v>
      </c>
      <c r="M387" s="255">
        <f t="shared" si="13"/>
        <v>0</v>
      </c>
      <c r="N387" s="256"/>
      <c r="O387" s="532">
        <f t="shared" si="16"/>
        <v>0</v>
      </c>
      <c r="P387" s="257"/>
      <c r="Q387" s="9"/>
      <c r="R387" s="9"/>
    </row>
    <row r="388" spans="1:18">
      <c r="A388" s="260">
        <v>3009</v>
      </c>
      <c r="B388" s="252">
        <v>6543</v>
      </c>
      <c r="C388" s="253" t="s">
        <v>565</v>
      </c>
      <c r="D388" s="254" t="s">
        <v>511</v>
      </c>
      <c r="E388" s="255"/>
      <c r="F388" s="255"/>
      <c r="G388" s="255"/>
      <c r="H388" s="255"/>
      <c r="I388" s="255"/>
      <c r="J388" s="255"/>
      <c r="K388" s="255">
        <f t="shared" si="14"/>
        <v>0</v>
      </c>
      <c r="L388" s="403">
        <f t="shared" si="15"/>
        <v>0</v>
      </c>
      <c r="M388" s="255">
        <f t="shared" si="13"/>
        <v>0</v>
      </c>
      <c r="N388" s="256"/>
      <c r="O388" s="532">
        <f t="shared" si="16"/>
        <v>0</v>
      </c>
      <c r="P388" s="257"/>
      <c r="Q388" s="9"/>
      <c r="R388" s="9"/>
    </row>
    <row r="389" spans="1:18">
      <c r="A389" s="260">
        <v>3009</v>
      </c>
      <c r="B389" s="252">
        <v>6540</v>
      </c>
      <c r="C389" s="253" t="s">
        <v>480</v>
      </c>
      <c r="D389" s="254" t="s">
        <v>511</v>
      </c>
      <c r="E389" s="255"/>
      <c r="F389" s="255"/>
      <c r="G389" s="255"/>
      <c r="H389" s="255"/>
      <c r="I389" s="255"/>
      <c r="J389" s="255"/>
      <c r="K389" s="255">
        <f t="shared" si="14"/>
        <v>0</v>
      </c>
      <c r="L389" s="403">
        <f t="shared" si="15"/>
        <v>0</v>
      </c>
      <c r="M389" s="255">
        <f t="shared" si="13"/>
        <v>0</v>
      </c>
      <c r="N389" s="256"/>
      <c r="O389" s="532">
        <f t="shared" si="16"/>
        <v>0</v>
      </c>
      <c r="P389" s="257"/>
      <c r="Q389" s="9"/>
      <c r="R389" s="9"/>
    </row>
    <row r="390" spans="1:18">
      <c r="A390" s="260">
        <v>3009</v>
      </c>
      <c r="B390" s="252">
        <v>657</v>
      </c>
      <c r="C390" s="253" t="s">
        <v>481</v>
      </c>
      <c r="D390" s="254" t="s">
        <v>511</v>
      </c>
      <c r="E390" s="255"/>
      <c r="F390" s="255"/>
      <c r="G390" s="255"/>
      <c r="H390" s="255"/>
      <c r="I390" s="255"/>
      <c r="J390" s="255"/>
      <c r="K390" s="255">
        <f t="shared" si="14"/>
        <v>0</v>
      </c>
      <c r="L390" s="403">
        <f t="shared" si="15"/>
        <v>0</v>
      </c>
      <c r="M390" s="255">
        <f t="shared" ref="M390:M435" si="17">(+I390-J390)+K390-L390</f>
        <v>0</v>
      </c>
      <c r="N390" s="256"/>
      <c r="O390" s="532">
        <f t="shared" si="16"/>
        <v>0</v>
      </c>
      <c r="P390" s="257"/>
      <c r="Q390" s="9"/>
      <c r="R390" s="9"/>
    </row>
    <row r="391" spans="1:18">
      <c r="A391" s="260">
        <v>3009</v>
      </c>
      <c r="B391" s="252">
        <v>6570</v>
      </c>
      <c r="C391" s="253" t="s">
        <v>566</v>
      </c>
      <c r="D391" s="254" t="s">
        <v>511</v>
      </c>
      <c r="E391" s="255"/>
      <c r="F391" s="255"/>
      <c r="G391" s="255"/>
      <c r="H391" s="255"/>
      <c r="I391" s="255"/>
      <c r="J391" s="255"/>
      <c r="K391" s="255">
        <f t="shared" si="14"/>
        <v>0</v>
      </c>
      <c r="L391" s="403">
        <f t="shared" si="15"/>
        <v>0</v>
      </c>
      <c r="M391" s="255">
        <f t="shared" si="17"/>
        <v>0</v>
      </c>
      <c r="N391" s="256"/>
      <c r="O391" s="532">
        <f t="shared" si="16"/>
        <v>0</v>
      </c>
      <c r="P391" s="257"/>
      <c r="Q391" s="9"/>
      <c r="R391" s="9"/>
    </row>
    <row r="392" spans="1:18">
      <c r="A392" s="260">
        <v>3007</v>
      </c>
      <c r="B392" s="252">
        <v>6601</v>
      </c>
      <c r="C392" s="253" t="s">
        <v>567</v>
      </c>
      <c r="D392" s="254" t="s">
        <v>511</v>
      </c>
      <c r="E392" s="255"/>
      <c r="F392" s="255"/>
      <c r="G392" s="255"/>
      <c r="H392" s="255"/>
      <c r="I392" s="255"/>
      <c r="J392" s="255"/>
      <c r="K392" s="255">
        <f t="shared" si="14"/>
        <v>0</v>
      </c>
      <c r="L392" s="403">
        <f t="shared" si="15"/>
        <v>0</v>
      </c>
      <c r="M392" s="255">
        <f t="shared" si="17"/>
        <v>0</v>
      </c>
      <c r="N392" s="256"/>
      <c r="O392" s="532">
        <f t="shared" si="16"/>
        <v>0</v>
      </c>
      <c r="P392" s="257"/>
      <c r="Q392" s="9"/>
      <c r="R392" s="9"/>
    </row>
    <row r="393" spans="1:18">
      <c r="A393" s="260">
        <v>3007</v>
      </c>
      <c r="B393" s="252">
        <v>6670</v>
      </c>
      <c r="C393" s="253" t="s">
        <v>568</v>
      </c>
      <c r="D393" s="254" t="s">
        <v>511</v>
      </c>
      <c r="E393" s="255"/>
      <c r="F393" s="255"/>
      <c r="G393" s="255"/>
      <c r="H393" s="255"/>
      <c r="I393" s="255"/>
      <c r="J393" s="255"/>
      <c r="K393" s="255">
        <f t="shared" si="14"/>
        <v>0</v>
      </c>
      <c r="L393" s="403">
        <f t="shared" si="15"/>
        <v>0</v>
      </c>
      <c r="M393" s="255">
        <f t="shared" si="17"/>
        <v>0</v>
      </c>
      <c r="N393" s="256"/>
      <c r="O393" s="532">
        <f t="shared" si="16"/>
        <v>0</v>
      </c>
      <c r="P393" s="257"/>
      <c r="Q393" s="9"/>
      <c r="R393" s="9"/>
    </row>
    <row r="394" spans="1:18">
      <c r="A394" s="260">
        <v>3009</v>
      </c>
      <c r="B394" s="252">
        <v>658</v>
      </c>
      <c r="C394" s="253" t="s">
        <v>482</v>
      </c>
      <c r="D394" s="254" t="s">
        <v>511</v>
      </c>
      <c r="E394" s="255"/>
      <c r="F394" s="255"/>
      <c r="G394" s="255"/>
      <c r="H394" s="255"/>
      <c r="I394" s="255"/>
      <c r="J394" s="255"/>
      <c r="K394" s="255">
        <f t="shared" si="14"/>
        <v>0</v>
      </c>
      <c r="L394" s="403">
        <f t="shared" si="15"/>
        <v>0</v>
      </c>
      <c r="M394" s="255">
        <f t="shared" si="17"/>
        <v>0</v>
      </c>
      <c r="N394" s="256"/>
      <c r="O394" s="532">
        <f t="shared" si="16"/>
        <v>0</v>
      </c>
      <c r="P394" s="257"/>
      <c r="Q394" s="9"/>
      <c r="R394" s="9"/>
    </row>
    <row r="395" spans="1:18">
      <c r="A395" s="260">
        <v>3007</v>
      </c>
      <c r="B395" s="252">
        <v>667</v>
      </c>
      <c r="C395" s="253" t="s">
        <v>121</v>
      </c>
      <c r="D395" s="254" t="s">
        <v>511</v>
      </c>
      <c r="E395" s="255"/>
      <c r="F395" s="255"/>
      <c r="G395" s="255"/>
      <c r="H395" s="255"/>
      <c r="I395" s="255"/>
      <c r="J395" s="255"/>
      <c r="K395" s="255">
        <f t="shared" si="14"/>
        <v>0</v>
      </c>
      <c r="L395" s="403">
        <f t="shared" si="15"/>
        <v>0</v>
      </c>
      <c r="M395" s="255">
        <f t="shared" si="17"/>
        <v>0</v>
      </c>
      <c r="N395" s="256"/>
      <c r="O395" s="532">
        <f t="shared" si="16"/>
        <v>0</v>
      </c>
      <c r="P395" s="257"/>
      <c r="Q395" s="9"/>
      <c r="R395" s="9"/>
    </row>
    <row r="396" spans="1:18">
      <c r="A396" s="260">
        <v>3007</v>
      </c>
      <c r="B396" s="252">
        <v>6672</v>
      </c>
      <c r="C396" s="253" t="s">
        <v>483</v>
      </c>
      <c r="D396" s="254" t="s">
        <v>512</v>
      </c>
      <c r="E396" s="255"/>
      <c r="F396" s="255"/>
      <c r="G396" s="255"/>
      <c r="H396" s="255"/>
      <c r="I396" s="255"/>
      <c r="J396" s="255"/>
      <c r="K396" s="255">
        <f t="shared" si="14"/>
        <v>0</v>
      </c>
      <c r="L396" s="403">
        <f t="shared" si="15"/>
        <v>0</v>
      </c>
      <c r="M396" s="255">
        <f t="shared" si="17"/>
        <v>0</v>
      </c>
      <c r="N396" s="256"/>
      <c r="O396" s="532">
        <f t="shared" si="16"/>
        <v>0</v>
      </c>
      <c r="P396" s="257"/>
      <c r="Q396" s="9"/>
      <c r="R396" s="9"/>
    </row>
    <row r="397" spans="1:18">
      <c r="A397" s="260">
        <v>3007</v>
      </c>
      <c r="B397" s="252">
        <v>6674</v>
      </c>
      <c r="C397" s="253" t="s">
        <v>484</v>
      </c>
      <c r="D397" s="254" t="s">
        <v>511</v>
      </c>
      <c r="E397" s="255"/>
      <c r="F397" s="255"/>
      <c r="G397" s="255"/>
      <c r="H397" s="255"/>
      <c r="I397" s="255"/>
      <c r="J397" s="255"/>
      <c r="K397" s="255">
        <f t="shared" si="14"/>
        <v>0</v>
      </c>
      <c r="L397" s="403">
        <f t="shared" si="15"/>
        <v>0</v>
      </c>
      <c r="M397" s="255">
        <f t="shared" si="17"/>
        <v>0</v>
      </c>
      <c r="N397" s="256"/>
      <c r="O397" s="532">
        <f t="shared" si="16"/>
        <v>0</v>
      </c>
      <c r="P397" s="257"/>
      <c r="Q397" s="9"/>
      <c r="R397" s="9"/>
    </row>
    <row r="398" spans="1:18">
      <c r="A398" s="260">
        <v>3007</v>
      </c>
      <c r="B398" s="252">
        <v>6675</v>
      </c>
      <c r="C398" s="253" t="s">
        <v>485</v>
      </c>
      <c r="D398" s="254" t="s">
        <v>512</v>
      </c>
      <c r="E398" s="255"/>
      <c r="F398" s="255"/>
      <c r="G398" s="255"/>
      <c r="H398" s="255"/>
      <c r="I398" s="255"/>
      <c r="J398" s="255"/>
      <c r="K398" s="255">
        <f t="shared" si="14"/>
        <v>0</v>
      </c>
      <c r="L398" s="403">
        <f t="shared" si="15"/>
        <v>0</v>
      </c>
      <c r="M398" s="255">
        <f t="shared" si="17"/>
        <v>0</v>
      </c>
      <c r="N398" s="256"/>
      <c r="O398" s="532">
        <f t="shared" si="16"/>
        <v>0</v>
      </c>
      <c r="P398" s="257"/>
      <c r="Q398" s="9"/>
      <c r="R398" s="9"/>
    </row>
    <row r="399" spans="1:18">
      <c r="A399" s="260">
        <v>3007</v>
      </c>
      <c r="B399" s="252">
        <v>6676</v>
      </c>
      <c r="C399" s="253" t="s">
        <v>486</v>
      </c>
      <c r="D399" s="254" t="s">
        <v>512</v>
      </c>
      <c r="E399" s="255"/>
      <c r="F399" s="255"/>
      <c r="G399" s="255"/>
      <c r="H399" s="255"/>
      <c r="I399" s="255"/>
      <c r="J399" s="255"/>
      <c r="K399" s="255">
        <f t="shared" si="14"/>
        <v>0</v>
      </c>
      <c r="L399" s="403">
        <f t="shared" si="15"/>
        <v>0</v>
      </c>
      <c r="M399" s="255">
        <f t="shared" si="17"/>
        <v>0</v>
      </c>
      <c r="N399" s="256"/>
      <c r="O399" s="532">
        <f t="shared" si="16"/>
        <v>0</v>
      </c>
      <c r="P399" s="257"/>
      <c r="Q399" s="9"/>
      <c r="R399" s="9"/>
    </row>
    <row r="400" spans="1:18">
      <c r="A400" s="260">
        <v>3007</v>
      </c>
      <c r="B400" s="252">
        <v>6677</v>
      </c>
      <c r="C400" s="253" t="s">
        <v>487</v>
      </c>
      <c r="D400" s="254" t="s">
        <v>512</v>
      </c>
      <c r="E400" s="255"/>
      <c r="F400" s="255"/>
      <c r="G400" s="255"/>
      <c r="H400" s="255"/>
      <c r="I400" s="255"/>
      <c r="J400" s="255"/>
      <c r="K400" s="255">
        <f t="shared" si="14"/>
        <v>0</v>
      </c>
      <c r="L400" s="403">
        <f t="shared" si="15"/>
        <v>0</v>
      </c>
      <c r="M400" s="255">
        <f t="shared" si="17"/>
        <v>0</v>
      </c>
      <c r="N400" s="256"/>
      <c r="O400" s="532">
        <f t="shared" si="16"/>
        <v>0</v>
      </c>
      <c r="P400" s="257"/>
      <c r="Q400" s="9"/>
      <c r="R400" s="9"/>
    </row>
    <row r="401" spans="1:18">
      <c r="A401" s="260">
        <v>3007</v>
      </c>
      <c r="B401" s="252">
        <v>668</v>
      </c>
      <c r="C401" s="253" t="s">
        <v>488</v>
      </c>
      <c r="D401" s="254" t="s">
        <v>511</v>
      </c>
      <c r="E401" s="255"/>
      <c r="F401" s="255"/>
      <c r="G401" s="255"/>
      <c r="H401" s="255"/>
      <c r="I401" s="255"/>
      <c r="J401" s="255"/>
      <c r="K401" s="255">
        <f t="shared" si="14"/>
        <v>0</v>
      </c>
      <c r="L401" s="403">
        <f t="shared" si="15"/>
        <v>0</v>
      </c>
      <c r="M401" s="255">
        <f t="shared" si="17"/>
        <v>0</v>
      </c>
      <c r="N401" s="256"/>
      <c r="O401" s="532">
        <f t="shared" si="16"/>
        <v>0</v>
      </c>
      <c r="P401" s="257"/>
      <c r="Q401" s="9"/>
      <c r="R401" s="9"/>
    </row>
    <row r="402" spans="1:18">
      <c r="A402" s="260">
        <v>4003</v>
      </c>
      <c r="B402" s="252">
        <v>6681</v>
      </c>
      <c r="C402" s="253" t="s">
        <v>491</v>
      </c>
      <c r="D402" s="254" t="s">
        <v>511</v>
      </c>
      <c r="E402" s="255"/>
      <c r="F402" s="255"/>
      <c r="G402" s="255"/>
      <c r="H402" s="255"/>
      <c r="I402" s="255"/>
      <c r="J402" s="255"/>
      <c r="K402" s="255">
        <f t="shared" ref="K402:K440" si="18">J402</f>
        <v>0</v>
      </c>
      <c r="L402" s="403">
        <f t="shared" ref="L402:L440" si="19">I402</f>
        <v>0</v>
      </c>
      <c r="M402" s="255">
        <f t="shared" si="17"/>
        <v>0</v>
      </c>
      <c r="N402" s="256"/>
      <c r="O402" s="532">
        <f t="shared" si="16"/>
        <v>0</v>
      </c>
      <c r="P402" s="257"/>
      <c r="Q402" s="9"/>
      <c r="R402" s="9"/>
    </row>
    <row r="403" spans="1:18">
      <c r="A403" s="260">
        <v>3008</v>
      </c>
      <c r="B403" s="252">
        <v>669</v>
      </c>
      <c r="C403" s="253" t="s">
        <v>489</v>
      </c>
      <c r="D403" s="254" t="s">
        <v>511</v>
      </c>
      <c r="E403" s="255"/>
      <c r="F403" s="255"/>
      <c r="G403" s="255"/>
      <c r="H403" s="255"/>
      <c r="I403" s="255"/>
      <c r="J403" s="255"/>
      <c r="K403" s="255">
        <f t="shared" si="18"/>
        <v>0</v>
      </c>
      <c r="L403" s="403">
        <f t="shared" si="19"/>
        <v>0</v>
      </c>
      <c r="M403" s="255">
        <f t="shared" si="17"/>
        <v>0</v>
      </c>
      <c r="N403" s="256"/>
      <c r="O403" s="532">
        <f t="shared" si="16"/>
        <v>0</v>
      </c>
      <c r="P403" s="257"/>
      <c r="Q403" s="9"/>
      <c r="R403" s="9"/>
    </row>
    <row r="404" spans="1:18">
      <c r="A404" s="260">
        <v>3008</v>
      </c>
      <c r="B404" s="252">
        <v>6690</v>
      </c>
      <c r="C404" s="253" t="s">
        <v>569</v>
      </c>
      <c r="D404" s="254" t="s">
        <v>511</v>
      </c>
      <c r="E404" s="255"/>
      <c r="F404" s="255"/>
      <c r="G404" s="255"/>
      <c r="H404" s="255"/>
      <c r="I404" s="255"/>
      <c r="J404" s="255"/>
      <c r="K404" s="255">
        <f t="shared" si="18"/>
        <v>0</v>
      </c>
      <c r="L404" s="403">
        <f t="shared" si="19"/>
        <v>0</v>
      </c>
      <c r="M404" s="255">
        <f t="shared" si="17"/>
        <v>0</v>
      </c>
      <c r="N404" s="256"/>
      <c r="O404" s="532">
        <f t="shared" si="16"/>
        <v>0</v>
      </c>
      <c r="P404" s="257"/>
      <c r="Q404" s="9"/>
      <c r="R404" s="9"/>
    </row>
    <row r="405" spans="1:18">
      <c r="A405" s="260">
        <v>3008</v>
      </c>
      <c r="B405" s="252">
        <v>66901</v>
      </c>
      <c r="C405" s="253" t="s">
        <v>490</v>
      </c>
      <c r="D405" s="254" t="s">
        <v>511</v>
      </c>
      <c r="E405" s="255"/>
      <c r="F405" s="255"/>
      <c r="G405" s="255"/>
      <c r="H405" s="255"/>
      <c r="I405" s="255"/>
      <c r="J405" s="255"/>
      <c r="K405" s="255">
        <f t="shared" si="18"/>
        <v>0</v>
      </c>
      <c r="L405" s="403">
        <f t="shared" si="19"/>
        <v>0</v>
      </c>
      <c r="M405" s="255">
        <f t="shared" si="17"/>
        <v>0</v>
      </c>
      <c r="N405" s="256"/>
      <c r="O405" s="532">
        <f t="shared" si="16"/>
        <v>0</v>
      </c>
      <c r="P405" s="257"/>
      <c r="Q405" s="9"/>
      <c r="R405" s="9"/>
    </row>
    <row r="406" spans="1:18">
      <c r="A406" s="260">
        <v>3001</v>
      </c>
      <c r="B406" s="252">
        <v>67000</v>
      </c>
      <c r="C406" s="253" t="s">
        <v>571</v>
      </c>
      <c r="D406" s="254" t="s">
        <v>511</v>
      </c>
      <c r="E406" s="255"/>
      <c r="F406" s="255"/>
      <c r="G406" s="255"/>
      <c r="H406" s="255"/>
      <c r="I406" s="255"/>
      <c r="J406" s="255"/>
      <c r="K406" s="255">
        <f t="shared" si="18"/>
        <v>0</v>
      </c>
      <c r="L406" s="570">
        <f t="shared" si="19"/>
        <v>0</v>
      </c>
      <c r="M406" s="255">
        <f t="shared" si="17"/>
        <v>0</v>
      </c>
      <c r="N406" s="256"/>
      <c r="O406" s="532">
        <f t="shared" si="16"/>
        <v>0</v>
      </c>
      <c r="P406" s="257"/>
      <c r="Q406" s="9"/>
      <c r="R406" s="9"/>
    </row>
    <row r="407" spans="1:18">
      <c r="A407" s="260">
        <v>3009</v>
      </c>
      <c r="B407" s="252">
        <v>6721330</v>
      </c>
      <c r="C407" s="253" t="s">
        <v>570</v>
      </c>
      <c r="D407" s="254" t="s">
        <v>511</v>
      </c>
      <c r="E407" s="255"/>
      <c r="F407" s="255"/>
      <c r="G407" s="255"/>
      <c r="H407" s="255"/>
      <c r="I407" s="255"/>
      <c r="J407" s="255"/>
      <c r="K407" s="255">
        <f t="shared" si="18"/>
        <v>0</v>
      </c>
      <c r="L407" s="403">
        <f t="shared" si="19"/>
        <v>0</v>
      </c>
      <c r="M407" s="255">
        <f t="shared" si="17"/>
        <v>0</v>
      </c>
      <c r="N407" s="256"/>
      <c r="O407" s="532">
        <f t="shared" si="16"/>
        <v>0</v>
      </c>
      <c r="P407" s="257"/>
      <c r="Q407" s="9"/>
      <c r="R407" s="9"/>
    </row>
    <row r="408" spans="1:18">
      <c r="A408" s="260">
        <v>3009</v>
      </c>
      <c r="B408" s="252">
        <v>6721820</v>
      </c>
      <c r="C408" s="253" t="s">
        <v>167</v>
      </c>
      <c r="D408" s="254" t="s">
        <v>511</v>
      </c>
      <c r="E408" s="255"/>
      <c r="F408" s="255"/>
      <c r="G408" s="255"/>
      <c r="H408" s="255"/>
      <c r="I408" s="255"/>
      <c r="J408" s="255"/>
      <c r="K408" s="255">
        <f t="shared" si="18"/>
        <v>0</v>
      </c>
      <c r="L408" s="403">
        <f t="shared" si="19"/>
        <v>0</v>
      </c>
      <c r="M408" s="255">
        <f t="shared" si="17"/>
        <v>0</v>
      </c>
      <c r="N408" s="256"/>
      <c r="O408" s="532">
        <f t="shared" si="16"/>
        <v>0</v>
      </c>
      <c r="P408" s="257"/>
      <c r="Q408" s="9"/>
      <c r="R408" s="9"/>
    </row>
    <row r="409" spans="1:18">
      <c r="A409" s="260">
        <v>3009</v>
      </c>
      <c r="B409" s="252">
        <v>678</v>
      </c>
      <c r="C409" s="253" t="s">
        <v>153</v>
      </c>
      <c r="D409" s="254" t="s">
        <v>511</v>
      </c>
      <c r="E409" s="255"/>
      <c r="F409" s="255"/>
      <c r="G409" s="255"/>
      <c r="H409" s="255"/>
      <c r="I409" s="255"/>
      <c r="J409" s="255"/>
      <c r="K409" s="255">
        <f t="shared" si="18"/>
        <v>0</v>
      </c>
      <c r="L409" s="403">
        <f t="shared" si="19"/>
        <v>0</v>
      </c>
      <c r="M409" s="255">
        <f t="shared" si="17"/>
        <v>0</v>
      </c>
      <c r="N409" s="256"/>
      <c r="O409" s="532">
        <f t="shared" si="16"/>
        <v>0</v>
      </c>
      <c r="P409" s="257"/>
      <c r="Q409" s="9"/>
      <c r="R409" s="9"/>
    </row>
    <row r="410" spans="1:18">
      <c r="A410" s="260">
        <v>3007</v>
      </c>
      <c r="B410" s="252">
        <v>6781</v>
      </c>
      <c r="C410" s="253" t="s">
        <v>491</v>
      </c>
      <c r="D410" s="254" t="s">
        <v>511</v>
      </c>
      <c r="E410" s="255"/>
      <c r="F410" s="255"/>
      <c r="G410" s="255"/>
      <c r="H410" s="255"/>
      <c r="I410" s="255"/>
      <c r="J410" s="255"/>
      <c r="K410" s="255">
        <f t="shared" si="18"/>
        <v>0</v>
      </c>
      <c r="L410" s="403">
        <f t="shared" si="19"/>
        <v>0</v>
      </c>
      <c r="M410" s="255">
        <f t="shared" si="17"/>
        <v>0</v>
      </c>
      <c r="N410" s="256"/>
      <c r="O410" s="532">
        <f t="shared" si="16"/>
        <v>0</v>
      </c>
      <c r="P410" s="257"/>
      <c r="Q410" s="9"/>
      <c r="R410" s="9"/>
    </row>
    <row r="411" spans="1:18">
      <c r="A411" s="260">
        <v>3009</v>
      </c>
      <c r="B411" s="420">
        <v>6811</v>
      </c>
      <c r="C411" s="421" t="s">
        <v>492</v>
      </c>
      <c r="D411" s="422" t="s">
        <v>511</v>
      </c>
      <c r="E411" s="255"/>
      <c r="F411" s="255"/>
      <c r="G411" s="255"/>
      <c r="H411" s="255"/>
      <c r="I411" s="531">
        <f>39837.75*139.59</f>
        <v>5560951.5225</v>
      </c>
      <c r="J411" s="403"/>
      <c r="K411" s="255">
        <f t="shared" si="18"/>
        <v>0</v>
      </c>
      <c r="L411" s="403"/>
      <c r="M411" s="554">
        <f t="shared" si="17"/>
        <v>5560951.5225</v>
      </c>
      <c r="N411" s="436">
        <v>5005</v>
      </c>
      <c r="O411" s="532">
        <f t="shared" si="16"/>
        <v>39837.75</v>
      </c>
      <c r="P411" s="257"/>
      <c r="Q411" s="9"/>
      <c r="R411" s="9"/>
    </row>
    <row r="412" spans="1:18">
      <c r="A412" s="260">
        <v>3006</v>
      </c>
      <c r="B412" s="252">
        <v>6816</v>
      </c>
      <c r="C412" s="253" t="s">
        <v>493</v>
      </c>
      <c r="D412" s="254" t="s">
        <v>511</v>
      </c>
      <c r="E412" s="255"/>
      <c r="F412" s="255"/>
      <c r="G412" s="255"/>
      <c r="H412" s="255"/>
      <c r="I412" s="255"/>
      <c r="J412" s="255"/>
      <c r="K412" s="255">
        <f t="shared" si="18"/>
        <v>0</v>
      </c>
      <c r="L412" s="403">
        <f t="shared" si="19"/>
        <v>0</v>
      </c>
      <c r="M412" s="255">
        <f t="shared" si="17"/>
        <v>0</v>
      </c>
      <c r="N412" s="256"/>
      <c r="O412" s="532">
        <f t="shared" si="16"/>
        <v>0</v>
      </c>
      <c r="P412" s="257"/>
      <c r="Q412" s="9"/>
      <c r="R412" s="9"/>
    </row>
    <row r="413" spans="1:18">
      <c r="A413" s="260">
        <v>3006</v>
      </c>
      <c r="B413" s="252">
        <v>681330</v>
      </c>
      <c r="C413" s="253" t="s">
        <v>492</v>
      </c>
      <c r="D413" s="254" t="s">
        <v>511</v>
      </c>
      <c r="E413" s="255"/>
      <c r="F413" s="255"/>
      <c r="G413" s="255"/>
      <c r="H413" s="255"/>
      <c r="I413" s="255"/>
      <c r="J413" s="255"/>
      <c r="K413" s="255">
        <f t="shared" si="18"/>
        <v>0</v>
      </c>
      <c r="L413" s="403">
        <f t="shared" si="19"/>
        <v>0</v>
      </c>
      <c r="M413" s="255">
        <f t="shared" si="17"/>
        <v>0</v>
      </c>
      <c r="N413" s="256"/>
      <c r="O413" s="532">
        <f t="shared" si="16"/>
        <v>0</v>
      </c>
      <c r="P413" s="257"/>
      <c r="Q413" s="9"/>
      <c r="R413" s="9"/>
    </row>
    <row r="414" spans="1:18">
      <c r="A414" s="260">
        <v>3006</v>
      </c>
      <c r="B414" s="252">
        <v>681820</v>
      </c>
      <c r="C414" s="253" t="s">
        <v>492</v>
      </c>
      <c r="D414" s="254" t="s">
        <v>511</v>
      </c>
      <c r="E414" s="255"/>
      <c r="F414" s="255"/>
      <c r="G414" s="255"/>
      <c r="H414" s="255"/>
      <c r="I414" s="255"/>
      <c r="J414" s="255"/>
      <c r="K414" s="255">
        <f t="shared" si="18"/>
        <v>0</v>
      </c>
      <c r="L414" s="403">
        <f t="shared" si="19"/>
        <v>0</v>
      </c>
      <c r="M414" s="255">
        <f t="shared" si="17"/>
        <v>0</v>
      </c>
      <c r="N414" s="256"/>
      <c r="O414" s="532">
        <f t="shared" si="16"/>
        <v>0</v>
      </c>
      <c r="P414" s="257"/>
      <c r="Q414" s="9"/>
      <c r="R414" s="9"/>
    </row>
    <row r="415" spans="1:18">
      <c r="A415" s="260">
        <v>5010</v>
      </c>
      <c r="B415" s="420">
        <v>694</v>
      </c>
      <c r="C415" s="421" t="s">
        <v>578</v>
      </c>
      <c r="D415" s="422"/>
      <c r="E415" s="255"/>
      <c r="F415" s="255"/>
      <c r="G415" s="255"/>
      <c r="H415" s="255"/>
      <c r="I415" s="531">
        <f>150*139.59</f>
        <v>20938.5</v>
      </c>
      <c r="J415" s="403"/>
      <c r="K415" s="255">
        <f t="shared" si="18"/>
        <v>0</v>
      </c>
      <c r="L415" s="570">
        <f t="shared" si="19"/>
        <v>20938.5</v>
      </c>
      <c r="M415" s="255">
        <f t="shared" si="17"/>
        <v>0</v>
      </c>
      <c r="N415" s="256"/>
      <c r="O415" s="532">
        <f t="shared" si="16"/>
        <v>150</v>
      </c>
      <c r="P415" s="257"/>
      <c r="Q415" s="9"/>
      <c r="R415" s="9"/>
    </row>
    <row r="416" spans="1:18">
      <c r="A416" s="260">
        <v>4001</v>
      </c>
      <c r="B416" s="252">
        <v>7044</v>
      </c>
      <c r="C416" s="253" t="s">
        <v>494</v>
      </c>
      <c r="D416" s="254" t="s">
        <v>511</v>
      </c>
      <c r="E416" s="255"/>
      <c r="F416" s="255"/>
      <c r="G416" s="255"/>
      <c r="H416" s="255"/>
      <c r="I416" s="255"/>
      <c r="J416" s="255"/>
      <c r="K416" s="255">
        <f t="shared" si="18"/>
        <v>0</v>
      </c>
      <c r="L416" s="403">
        <f t="shared" si="19"/>
        <v>0</v>
      </c>
      <c r="M416" s="255">
        <f t="shared" si="17"/>
        <v>0</v>
      </c>
      <c r="N416" s="256"/>
      <c r="O416" s="532">
        <f t="shared" si="16"/>
        <v>0</v>
      </c>
      <c r="P416" s="257"/>
      <c r="Q416" s="9"/>
      <c r="R416" s="9"/>
    </row>
    <row r="417" spans="1:18">
      <c r="A417" s="260">
        <v>4001</v>
      </c>
      <c r="B417" s="252">
        <v>70441</v>
      </c>
      <c r="C417" s="253" t="s">
        <v>495</v>
      </c>
      <c r="D417" s="254" t="s">
        <v>511</v>
      </c>
      <c r="E417" s="255"/>
      <c r="F417" s="255"/>
      <c r="G417" s="255"/>
      <c r="H417" s="255"/>
      <c r="I417" s="255"/>
      <c r="J417" s="255"/>
      <c r="K417" s="255">
        <f t="shared" si="18"/>
        <v>0</v>
      </c>
      <c r="L417" s="403">
        <f t="shared" si="19"/>
        <v>0</v>
      </c>
      <c r="M417" s="255">
        <f t="shared" si="17"/>
        <v>0</v>
      </c>
      <c r="N417" s="256"/>
      <c r="O417" s="532">
        <f t="shared" si="16"/>
        <v>0</v>
      </c>
      <c r="P417" s="257"/>
      <c r="Q417" s="9"/>
      <c r="R417" s="9"/>
    </row>
    <row r="418" spans="1:18">
      <c r="A418" s="260">
        <v>4001</v>
      </c>
      <c r="B418" s="252">
        <v>70442</v>
      </c>
      <c r="C418" s="253" t="s">
        <v>496</v>
      </c>
      <c r="D418" s="254" t="s">
        <v>511</v>
      </c>
      <c r="E418" s="255"/>
      <c r="F418" s="255"/>
      <c r="G418" s="255"/>
      <c r="H418" s="255"/>
      <c r="I418" s="255"/>
      <c r="J418" s="255"/>
      <c r="K418" s="255">
        <f t="shared" si="18"/>
        <v>0</v>
      </c>
      <c r="L418" s="403">
        <f t="shared" si="19"/>
        <v>0</v>
      </c>
      <c r="M418" s="255">
        <f t="shared" si="17"/>
        <v>0</v>
      </c>
      <c r="N418" s="256"/>
      <c r="O418" s="532">
        <f t="shared" si="16"/>
        <v>0</v>
      </c>
      <c r="P418" s="257"/>
      <c r="Q418" s="9"/>
      <c r="R418" s="9"/>
    </row>
    <row r="419" spans="1:18">
      <c r="A419" s="273"/>
      <c r="B419" s="252">
        <v>70443</v>
      </c>
      <c r="C419" s="253" t="s">
        <v>573</v>
      </c>
      <c r="D419" s="254" t="s">
        <v>511</v>
      </c>
      <c r="E419" s="255"/>
      <c r="F419" s="255"/>
      <c r="G419" s="255"/>
      <c r="H419" s="255"/>
      <c r="I419" s="255"/>
      <c r="J419" s="255"/>
      <c r="K419" s="255">
        <f t="shared" si="18"/>
        <v>0</v>
      </c>
      <c r="L419" s="403">
        <f t="shared" si="19"/>
        <v>0</v>
      </c>
      <c r="M419" s="255">
        <f t="shared" si="17"/>
        <v>0</v>
      </c>
      <c r="N419" s="256"/>
      <c r="O419" s="532">
        <f t="shared" si="16"/>
        <v>0</v>
      </c>
      <c r="P419" s="257"/>
      <c r="Q419" s="9"/>
      <c r="R419" s="9"/>
    </row>
    <row r="420" spans="1:18">
      <c r="A420" s="260">
        <v>4001</v>
      </c>
      <c r="B420" s="252">
        <v>7045</v>
      </c>
      <c r="C420" s="253" t="s">
        <v>572</v>
      </c>
      <c r="D420" s="254" t="s">
        <v>511</v>
      </c>
      <c r="E420" s="255"/>
      <c r="F420" s="255"/>
      <c r="G420" s="255"/>
      <c r="H420" s="255"/>
      <c r="I420" s="255"/>
      <c r="J420" s="255"/>
      <c r="K420" s="255">
        <f t="shared" si="18"/>
        <v>0</v>
      </c>
      <c r="L420" s="403">
        <f t="shared" si="19"/>
        <v>0</v>
      </c>
      <c r="M420" s="255">
        <f t="shared" si="17"/>
        <v>0</v>
      </c>
      <c r="N420" s="256"/>
      <c r="O420" s="532">
        <f t="shared" si="16"/>
        <v>0</v>
      </c>
      <c r="P420" s="257"/>
      <c r="Q420" s="9"/>
      <c r="R420" s="9"/>
    </row>
    <row r="421" spans="1:18">
      <c r="A421" s="260">
        <v>4001</v>
      </c>
      <c r="B421" s="252">
        <v>7047</v>
      </c>
      <c r="C421" s="253" t="s">
        <v>497</v>
      </c>
      <c r="D421" s="254" t="s">
        <v>511</v>
      </c>
      <c r="E421" s="255"/>
      <c r="F421" s="255"/>
      <c r="G421" s="255"/>
      <c r="H421" s="255"/>
      <c r="I421" s="255"/>
      <c r="J421" s="255"/>
      <c r="K421" s="255">
        <f t="shared" si="18"/>
        <v>0</v>
      </c>
      <c r="L421" s="255">
        <f t="shared" si="19"/>
        <v>0</v>
      </c>
      <c r="M421" s="255">
        <f t="shared" si="17"/>
        <v>0</v>
      </c>
      <c r="N421" s="256"/>
      <c r="O421" s="532">
        <f t="shared" si="16"/>
        <v>0</v>
      </c>
      <c r="P421" s="257"/>
      <c r="Q421" s="9"/>
      <c r="R421" s="9"/>
    </row>
    <row r="422" spans="1:18">
      <c r="A422" s="260">
        <v>4001</v>
      </c>
      <c r="B422" s="252">
        <v>7048</v>
      </c>
      <c r="C422" s="253" t="s">
        <v>498</v>
      </c>
      <c r="D422" s="254" t="s">
        <v>511</v>
      </c>
      <c r="E422" s="255"/>
      <c r="F422" s="255"/>
      <c r="G422" s="255"/>
      <c r="H422" s="255"/>
      <c r="I422" s="255"/>
      <c r="J422" s="255"/>
      <c r="K422" s="255">
        <f t="shared" si="18"/>
        <v>0</v>
      </c>
      <c r="L422" s="255">
        <f t="shared" si="19"/>
        <v>0</v>
      </c>
      <c r="M422" s="255">
        <f t="shared" si="17"/>
        <v>0</v>
      </c>
      <c r="N422" s="256"/>
      <c r="O422" s="532">
        <f t="shared" si="16"/>
        <v>0</v>
      </c>
      <c r="P422" s="257"/>
      <c r="Q422" s="9"/>
      <c r="R422" s="9"/>
    </row>
    <row r="423" spans="1:18">
      <c r="A423" s="260">
        <v>4001</v>
      </c>
      <c r="B423" s="252">
        <v>7049</v>
      </c>
      <c r="C423" s="253" t="s">
        <v>499</v>
      </c>
      <c r="D423" s="254" t="s">
        <v>511</v>
      </c>
      <c r="E423" s="255"/>
      <c r="F423" s="255"/>
      <c r="G423" s="255"/>
      <c r="H423" s="255"/>
      <c r="I423" s="255"/>
      <c r="J423" s="255"/>
      <c r="K423" s="255">
        <f t="shared" si="18"/>
        <v>0</v>
      </c>
      <c r="L423" s="255">
        <f t="shared" si="19"/>
        <v>0</v>
      </c>
      <c r="M423" s="255">
        <f t="shared" si="17"/>
        <v>0</v>
      </c>
      <c r="N423" s="256"/>
      <c r="O423" s="532">
        <f t="shared" si="16"/>
        <v>0</v>
      </c>
      <c r="P423" s="257"/>
      <c r="Q423" s="9"/>
      <c r="R423" s="9"/>
    </row>
    <row r="424" spans="1:18">
      <c r="A424" s="260">
        <v>4001</v>
      </c>
      <c r="B424" s="252">
        <v>705</v>
      </c>
      <c r="C424" s="253" t="s">
        <v>500</v>
      </c>
      <c r="D424" s="254" t="s">
        <v>511</v>
      </c>
      <c r="E424" s="255"/>
      <c r="F424" s="255"/>
      <c r="G424" s="255"/>
      <c r="H424" s="255"/>
      <c r="I424" s="255"/>
      <c r="J424" s="255"/>
      <c r="K424" s="255">
        <f t="shared" si="18"/>
        <v>0</v>
      </c>
      <c r="L424" s="255">
        <f t="shared" si="19"/>
        <v>0</v>
      </c>
      <c r="M424" s="255">
        <f t="shared" si="17"/>
        <v>0</v>
      </c>
      <c r="N424" s="256"/>
      <c r="O424" s="532">
        <f t="shared" si="16"/>
        <v>0</v>
      </c>
      <c r="P424" s="257"/>
      <c r="Q424" s="9"/>
      <c r="R424" s="9"/>
    </row>
    <row r="425" spans="1:18">
      <c r="A425" s="260">
        <v>4001</v>
      </c>
      <c r="B425" s="252">
        <v>7051</v>
      </c>
      <c r="C425" s="253" t="s">
        <v>574</v>
      </c>
      <c r="D425" s="254" t="s">
        <v>511</v>
      </c>
      <c r="E425" s="255"/>
      <c r="F425" s="255"/>
      <c r="G425" s="255"/>
      <c r="H425" s="255"/>
      <c r="I425" s="255"/>
      <c r="J425" s="255"/>
      <c r="K425" s="255">
        <f t="shared" si="18"/>
        <v>0</v>
      </c>
      <c r="L425" s="255">
        <f t="shared" si="19"/>
        <v>0</v>
      </c>
      <c r="M425" s="255">
        <f t="shared" si="17"/>
        <v>0</v>
      </c>
      <c r="N425" s="256"/>
      <c r="O425" s="532">
        <f t="shared" si="16"/>
        <v>0</v>
      </c>
      <c r="P425" s="257"/>
      <c r="Q425" s="9"/>
      <c r="R425" s="9"/>
    </row>
    <row r="426" spans="1:18">
      <c r="A426" s="260">
        <v>4001</v>
      </c>
      <c r="B426" s="252">
        <v>708</v>
      </c>
      <c r="C426" s="253" t="s">
        <v>501</v>
      </c>
      <c r="D426" s="254" t="s">
        <v>511</v>
      </c>
      <c r="E426" s="255"/>
      <c r="F426" s="255"/>
      <c r="G426" s="255"/>
      <c r="H426" s="255"/>
      <c r="I426" s="255"/>
      <c r="J426" s="255"/>
      <c r="K426" s="255">
        <f t="shared" si="18"/>
        <v>0</v>
      </c>
      <c r="L426" s="255">
        <f t="shared" si="19"/>
        <v>0</v>
      </c>
      <c r="M426" s="255">
        <f t="shared" si="17"/>
        <v>0</v>
      </c>
      <c r="N426" s="256"/>
      <c r="O426" s="532">
        <f t="shared" si="16"/>
        <v>0</v>
      </c>
      <c r="P426" s="257"/>
      <c r="Q426" s="9"/>
      <c r="R426" s="9"/>
    </row>
    <row r="427" spans="1:18">
      <c r="A427" s="260">
        <v>4001</v>
      </c>
      <c r="B427" s="252">
        <v>722</v>
      </c>
      <c r="C427" s="253" t="s">
        <v>502</v>
      </c>
      <c r="D427" s="254" t="s">
        <v>511</v>
      </c>
      <c r="E427" s="255"/>
      <c r="F427" s="255"/>
      <c r="G427" s="255"/>
      <c r="H427" s="255"/>
      <c r="I427" s="255"/>
      <c r="J427" s="255"/>
      <c r="K427" s="255">
        <f t="shared" si="18"/>
        <v>0</v>
      </c>
      <c r="L427" s="255">
        <f t="shared" si="19"/>
        <v>0</v>
      </c>
      <c r="M427" s="255">
        <f t="shared" si="17"/>
        <v>0</v>
      </c>
      <c r="N427" s="256"/>
      <c r="O427" s="532">
        <f t="shared" si="16"/>
        <v>0</v>
      </c>
      <c r="P427" s="257"/>
      <c r="Q427" s="9"/>
      <c r="R427" s="9"/>
    </row>
    <row r="428" spans="1:18">
      <c r="A428" s="260">
        <v>3006</v>
      </c>
      <c r="B428" s="252">
        <v>73</v>
      </c>
      <c r="C428" s="253" t="s">
        <v>503</v>
      </c>
      <c r="D428" s="254" t="s">
        <v>511</v>
      </c>
      <c r="E428" s="255"/>
      <c r="F428" s="255"/>
      <c r="G428" s="255"/>
      <c r="H428" s="255"/>
      <c r="I428" s="255"/>
      <c r="J428" s="255"/>
      <c r="K428" s="255">
        <f t="shared" si="18"/>
        <v>0</v>
      </c>
      <c r="L428" s="255">
        <f t="shared" si="19"/>
        <v>0</v>
      </c>
      <c r="M428" s="255">
        <f t="shared" si="17"/>
        <v>0</v>
      </c>
      <c r="N428" s="256"/>
      <c r="O428" s="532">
        <f t="shared" si="16"/>
        <v>0</v>
      </c>
      <c r="P428" s="257"/>
      <c r="Q428" s="9"/>
      <c r="R428" s="9"/>
    </row>
    <row r="429" spans="1:18">
      <c r="A429" s="260">
        <v>4003</v>
      </c>
      <c r="B429" s="252">
        <v>758</v>
      </c>
      <c r="C429" s="253" t="s">
        <v>504</v>
      </c>
      <c r="D429" s="254" t="s">
        <v>511</v>
      </c>
      <c r="E429" s="255"/>
      <c r="F429" s="255"/>
      <c r="G429" s="255"/>
      <c r="H429" s="255"/>
      <c r="I429" s="255"/>
      <c r="J429" s="255"/>
      <c r="K429" s="255">
        <f t="shared" si="18"/>
        <v>0</v>
      </c>
      <c r="L429" s="255">
        <f t="shared" si="19"/>
        <v>0</v>
      </c>
      <c r="M429" s="255">
        <f t="shared" si="17"/>
        <v>0</v>
      </c>
      <c r="N429" s="256"/>
      <c r="O429" s="532">
        <f t="shared" ref="O429:O440" si="20">I429/139.59</f>
        <v>0</v>
      </c>
      <c r="P429" s="257"/>
      <c r="Q429" s="9"/>
      <c r="R429" s="9"/>
    </row>
    <row r="430" spans="1:18">
      <c r="A430" s="260">
        <v>3007</v>
      </c>
      <c r="B430" s="252">
        <v>767</v>
      </c>
      <c r="C430" s="253" t="s">
        <v>505</v>
      </c>
      <c r="D430" s="254" t="s">
        <v>511</v>
      </c>
      <c r="E430" s="255"/>
      <c r="F430" s="255"/>
      <c r="G430" s="255"/>
      <c r="H430" s="255"/>
      <c r="I430" s="255"/>
      <c r="J430" s="255"/>
      <c r="K430" s="255">
        <f t="shared" si="18"/>
        <v>0</v>
      </c>
      <c r="L430" s="255">
        <f t="shared" si="19"/>
        <v>0</v>
      </c>
      <c r="M430" s="255">
        <f t="shared" si="17"/>
        <v>0</v>
      </c>
      <c r="N430" s="256"/>
      <c r="O430" s="532">
        <f t="shared" si="20"/>
        <v>0</v>
      </c>
      <c r="P430" s="257"/>
      <c r="Q430" s="9"/>
      <c r="R430" s="9"/>
    </row>
    <row r="431" spans="1:18">
      <c r="A431" s="260">
        <v>3007</v>
      </c>
      <c r="B431" s="252">
        <v>7670</v>
      </c>
      <c r="C431" s="253" t="s">
        <v>40</v>
      </c>
      <c r="D431" s="254" t="s">
        <v>511</v>
      </c>
      <c r="E431" s="255"/>
      <c r="F431" s="255"/>
      <c r="G431" s="255"/>
      <c r="H431" s="255"/>
      <c r="I431" s="255"/>
      <c r="J431" s="255"/>
      <c r="K431" s="255">
        <f t="shared" si="18"/>
        <v>0</v>
      </c>
      <c r="L431" s="255">
        <f t="shared" si="19"/>
        <v>0</v>
      </c>
      <c r="M431" s="255">
        <f t="shared" si="17"/>
        <v>0</v>
      </c>
      <c r="N431" s="256"/>
      <c r="O431" s="532">
        <f t="shared" si="20"/>
        <v>0</v>
      </c>
      <c r="P431" s="257"/>
      <c r="Q431" s="9"/>
      <c r="R431" s="9"/>
    </row>
    <row r="432" spans="1:18">
      <c r="A432" s="260">
        <v>4003</v>
      </c>
      <c r="B432" s="252">
        <v>7671</v>
      </c>
      <c r="C432" s="253" t="s">
        <v>575</v>
      </c>
      <c r="D432" s="254" t="s">
        <v>511</v>
      </c>
      <c r="E432" s="255"/>
      <c r="F432" s="255"/>
      <c r="G432" s="255"/>
      <c r="H432" s="255"/>
      <c r="I432" s="255"/>
      <c r="J432" s="255"/>
      <c r="K432" s="255">
        <f t="shared" si="18"/>
        <v>0</v>
      </c>
      <c r="L432" s="255">
        <f t="shared" si="19"/>
        <v>0</v>
      </c>
      <c r="M432" s="255">
        <f t="shared" si="17"/>
        <v>0</v>
      </c>
      <c r="N432" s="256"/>
      <c r="O432" s="532">
        <f t="shared" si="20"/>
        <v>0</v>
      </c>
      <c r="P432" s="257"/>
      <c r="Q432" s="9"/>
      <c r="R432" s="9"/>
    </row>
    <row r="433" spans="1:18">
      <c r="A433" s="260">
        <v>4003</v>
      </c>
      <c r="B433" s="252">
        <v>768</v>
      </c>
      <c r="C433" s="253" t="s">
        <v>506</v>
      </c>
      <c r="D433" s="254" t="s">
        <v>511</v>
      </c>
      <c r="E433" s="255"/>
      <c r="F433" s="255"/>
      <c r="G433" s="255"/>
      <c r="H433" s="255"/>
      <c r="I433" s="255"/>
      <c r="J433" s="255"/>
      <c r="K433" s="255">
        <f t="shared" si="18"/>
        <v>0</v>
      </c>
      <c r="L433" s="255">
        <f t="shared" si="19"/>
        <v>0</v>
      </c>
      <c r="M433" s="255">
        <f t="shared" si="17"/>
        <v>0</v>
      </c>
      <c r="N433" s="256"/>
      <c r="O433" s="532">
        <f t="shared" si="20"/>
        <v>0</v>
      </c>
      <c r="P433" s="257"/>
      <c r="Q433" s="9"/>
      <c r="R433" s="9"/>
    </row>
    <row r="434" spans="1:18">
      <c r="A434" s="260">
        <v>4002</v>
      </c>
      <c r="B434" s="252">
        <v>7680</v>
      </c>
      <c r="C434" s="253" t="s">
        <v>507</v>
      </c>
      <c r="D434" s="254" t="s">
        <v>511</v>
      </c>
      <c r="E434" s="255"/>
      <c r="F434" s="255"/>
      <c r="G434" s="255"/>
      <c r="H434" s="255"/>
      <c r="I434" s="255"/>
      <c r="J434" s="255"/>
      <c r="K434" s="255">
        <f t="shared" si="18"/>
        <v>0</v>
      </c>
      <c r="L434" s="255">
        <f t="shared" si="19"/>
        <v>0</v>
      </c>
      <c r="M434" s="255">
        <f t="shared" si="17"/>
        <v>0</v>
      </c>
      <c r="N434" s="256"/>
      <c r="O434" s="532">
        <f t="shared" si="20"/>
        <v>0</v>
      </c>
      <c r="P434" s="257"/>
      <c r="Q434" s="9"/>
      <c r="R434" s="9"/>
    </row>
    <row r="435" spans="1:18">
      <c r="A435" s="260">
        <v>3008</v>
      </c>
      <c r="B435" s="252">
        <v>769</v>
      </c>
      <c r="C435" s="253" t="s">
        <v>508</v>
      </c>
      <c r="D435" s="254" t="s">
        <v>511</v>
      </c>
      <c r="E435" s="255"/>
      <c r="F435" s="255"/>
      <c r="G435" s="255"/>
      <c r="H435" s="255"/>
      <c r="I435" s="255"/>
      <c r="J435" s="255"/>
      <c r="K435" s="255">
        <f t="shared" si="18"/>
        <v>0</v>
      </c>
      <c r="L435" s="255">
        <f t="shared" si="19"/>
        <v>0</v>
      </c>
      <c r="M435" s="255">
        <f t="shared" si="17"/>
        <v>0</v>
      </c>
      <c r="N435" s="256"/>
      <c r="O435" s="532">
        <f t="shared" si="20"/>
        <v>0</v>
      </c>
      <c r="P435" s="257"/>
      <c r="Q435" s="9"/>
      <c r="R435" s="9"/>
    </row>
    <row r="436" spans="1:18">
      <c r="A436" s="260">
        <v>3008</v>
      </c>
      <c r="B436" s="252">
        <v>7690</v>
      </c>
      <c r="C436" s="253" t="s">
        <v>576</v>
      </c>
      <c r="D436" s="254" t="s">
        <v>511</v>
      </c>
      <c r="E436" s="255"/>
      <c r="F436" s="255"/>
      <c r="G436" s="255"/>
      <c r="H436" s="255"/>
      <c r="I436" s="255"/>
      <c r="J436" s="255"/>
      <c r="K436" s="255">
        <f t="shared" si="18"/>
        <v>0</v>
      </c>
      <c r="L436" s="255">
        <f t="shared" si="19"/>
        <v>0</v>
      </c>
      <c r="M436" s="255">
        <f>(+I436-J436)+K436-L436</f>
        <v>0</v>
      </c>
      <c r="N436" s="256"/>
      <c r="O436" s="532">
        <f t="shared" si="20"/>
        <v>0</v>
      </c>
      <c r="P436" s="257"/>
      <c r="Q436" s="9"/>
      <c r="R436" s="9"/>
    </row>
    <row r="437" spans="1:18">
      <c r="A437" s="260">
        <v>3008</v>
      </c>
      <c r="B437" s="252">
        <v>76901</v>
      </c>
      <c r="C437" s="253" t="s">
        <v>509</v>
      </c>
      <c r="D437" s="254" t="s">
        <v>511</v>
      </c>
      <c r="E437" s="255"/>
      <c r="F437" s="255"/>
      <c r="G437" s="255"/>
      <c r="H437" s="255"/>
      <c r="I437" s="255"/>
      <c r="J437" s="255"/>
      <c r="K437" s="255">
        <f t="shared" si="18"/>
        <v>0</v>
      </c>
      <c r="L437" s="255">
        <f t="shared" si="19"/>
        <v>0</v>
      </c>
      <c r="M437" s="255">
        <f>(+I437-J437)+K437-L437</f>
        <v>0</v>
      </c>
      <c r="N437" s="256"/>
      <c r="O437" s="532">
        <f t="shared" si="20"/>
        <v>0</v>
      </c>
      <c r="P437" s="257"/>
      <c r="Q437" s="9"/>
      <c r="R437" s="9"/>
    </row>
    <row r="438" spans="1:18">
      <c r="A438" s="260">
        <v>3009</v>
      </c>
      <c r="B438" s="252">
        <v>7721330</v>
      </c>
      <c r="C438" s="253" t="s">
        <v>517</v>
      </c>
      <c r="D438" s="254" t="s">
        <v>511</v>
      </c>
      <c r="E438" s="255"/>
      <c r="F438" s="255"/>
      <c r="G438" s="255"/>
      <c r="H438" s="255"/>
      <c r="I438" s="255"/>
      <c r="J438" s="255"/>
      <c r="K438" s="255">
        <f t="shared" si="18"/>
        <v>0</v>
      </c>
      <c r="L438" s="255">
        <f t="shared" si="19"/>
        <v>0</v>
      </c>
      <c r="M438" s="255">
        <f>(+I438-J438)+K438-L438</f>
        <v>0</v>
      </c>
      <c r="N438" s="256"/>
      <c r="O438" s="532">
        <f t="shared" si="20"/>
        <v>0</v>
      </c>
      <c r="P438" s="257"/>
      <c r="Q438" s="9"/>
      <c r="R438" s="9"/>
    </row>
    <row r="439" spans="1:18">
      <c r="A439" s="260">
        <v>3009</v>
      </c>
      <c r="B439" s="252">
        <v>778</v>
      </c>
      <c r="C439" s="253" t="s">
        <v>577</v>
      </c>
      <c r="D439" s="254" t="s">
        <v>511</v>
      </c>
      <c r="E439" s="255"/>
      <c r="F439" s="255"/>
      <c r="G439" s="255"/>
      <c r="H439" s="255"/>
      <c r="I439" s="255"/>
      <c r="J439" s="255"/>
      <c r="K439" s="255">
        <f t="shared" si="18"/>
        <v>0</v>
      </c>
      <c r="L439" s="255">
        <f t="shared" si="19"/>
        <v>0</v>
      </c>
      <c r="M439" s="255">
        <f>(+I439-J439)+K439-L439</f>
        <v>0</v>
      </c>
      <c r="N439" s="256"/>
      <c r="O439" s="532">
        <f t="shared" si="20"/>
        <v>0</v>
      </c>
      <c r="P439" s="257"/>
      <c r="Q439" s="9"/>
      <c r="R439" s="9"/>
    </row>
    <row r="440" spans="1:18">
      <c r="A440" s="260"/>
      <c r="B440" s="252">
        <v>890</v>
      </c>
      <c r="C440" s="253" t="s">
        <v>510</v>
      </c>
      <c r="D440" s="254" t="s">
        <v>511</v>
      </c>
      <c r="E440" s="255"/>
      <c r="F440" s="255"/>
      <c r="G440" s="255"/>
      <c r="H440" s="255"/>
      <c r="I440" s="255"/>
      <c r="J440" s="255"/>
      <c r="K440" s="255">
        <f t="shared" si="18"/>
        <v>0</v>
      </c>
      <c r="L440" s="255">
        <f t="shared" si="19"/>
        <v>0</v>
      </c>
      <c r="M440" s="255">
        <f>(+I440-J440)+K440-L440</f>
        <v>0</v>
      </c>
      <c r="N440" s="256"/>
      <c r="O440" s="532">
        <f t="shared" si="20"/>
        <v>0</v>
      </c>
      <c r="P440" s="257"/>
      <c r="Q440" s="9"/>
      <c r="R440" s="9"/>
    </row>
    <row r="441" spans="1:18">
      <c r="A441" s="274"/>
      <c r="B441" s="275"/>
      <c r="C441" s="276"/>
      <c r="D441" s="276"/>
      <c r="E441" s="276"/>
      <c r="F441" s="276"/>
      <c r="G441" s="276"/>
      <c r="H441" s="275"/>
      <c r="I441" s="275"/>
      <c r="J441" s="275"/>
      <c r="K441" s="275"/>
      <c r="L441" s="275"/>
      <c r="M441" s="279">
        <f>SUM(M5:M440)</f>
        <v>-6.5192580223083496E-9</v>
      </c>
      <c r="N441" s="280" t="s">
        <v>664</v>
      </c>
    </row>
    <row r="442" spans="1:18">
      <c r="A442" s="274"/>
      <c r="B442" s="275"/>
      <c r="C442" s="276"/>
      <c r="D442" s="276"/>
      <c r="E442" s="276"/>
      <c r="F442" s="276"/>
      <c r="G442" s="276"/>
      <c r="H442" s="275"/>
      <c r="I442" s="275"/>
      <c r="J442" s="275"/>
      <c r="K442" s="275"/>
      <c r="L442" s="275"/>
      <c r="M442" s="419">
        <f>M441/139.59</f>
        <v>-4.6702901513778563E-11</v>
      </c>
      <c r="N442" s="275"/>
    </row>
    <row r="443" spans="1:18">
      <c r="A443" s="274"/>
      <c r="B443" s="275"/>
      <c r="C443" s="276"/>
      <c r="D443" s="276"/>
      <c r="E443" s="276"/>
      <c r="F443" s="276"/>
      <c r="G443" s="276"/>
      <c r="H443" s="275"/>
      <c r="I443" s="275"/>
      <c r="J443" s="275"/>
      <c r="K443" s="275"/>
      <c r="L443" s="275"/>
      <c r="M443" s="418"/>
      <c r="N443" s="275"/>
    </row>
    <row r="444" spans="1:18">
      <c r="A444" s="274"/>
      <c r="B444" s="275"/>
      <c r="C444" s="276"/>
      <c r="D444" s="276"/>
      <c r="E444" s="276"/>
      <c r="F444" s="276"/>
      <c r="G444" s="276"/>
      <c r="H444" s="275"/>
      <c r="I444" s="275"/>
      <c r="J444" s="275"/>
      <c r="K444" s="275"/>
      <c r="L444" s="281" t="s">
        <v>665</v>
      </c>
      <c r="M444" s="282">
        <f>SUM(M299:M440)</f>
        <v>38013116.694300003</v>
      </c>
      <c r="N444" s="275"/>
    </row>
    <row r="445" spans="1:18">
      <c r="A445" s="274"/>
      <c r="B445" s="275"/>
      <c r="C445" s="276"/>
      <c r="D445" s="276"/>
      <c r="E445" s="276"/>
      <c r="F445" s="276"/>
      <c r="G445" s="276"/>
      <c r="H445" s="275"/>
      <c r="I445" s="275"/>
      <c r="J445" s="275"/>
      <c r="K445" s="275"/>
      <c r="L445" s="275" t="s">
        <v>881</v>
      </c>
      <c r="M445" s="425">
        <f>272319.77*139.59</f>
        <v>38013116.694300003</v>
      </c>
      <c r="N445" s="275"/>
    </row>
    <row r="446" spans="1:18">
      <c r="A446" s="274"/>
      <c r="B446" s="275"/>
      <c r="C446" s="276"/>
      <c r="D446" s="276"/>
      <c r="E446" s="276"/>
      <c r="F446" s="276"/>
      <c r="G446" s="276"/>
      <c r="H446" s="275"/>
      <c r="I446" s="275"/>
      <c r="J446" s="275"/>
      <c r="K446" s="275"/>
      <c r="L446" s="275"/>
      <c r="M446" s="279">
        <f>M444-M445</f>
        <v>0</v>
      </c>
      <c r="N446" s="280" t="s">
        <v>882</v>
      </c>
    </row>
    <row r="447" spans="1:18">
      <c r="A447" s="274"/>
      <c r="B447" s="275"/>
      <c r="C447" s="276"/>
      <c r="D447" s="276"/>
      <c r="E447" s="276"/>
      <c r="F447" s="276"/>
      <c r="G447" s="276"/>
      <c r="H447" s="275"/>
      <c r="I447" s="275"/>
      <c r="J447" s="275"/>
      <c r="K447" s="275"/>
      <c r="L447" s="275"/>
      <c r="M447" s="275"/>
      <c r="N447" s="275"/>
    </row>
    <row r="448" spans="1:18">
      <c r="A448" s="274"/>
      <c r="B448" s="275"/>
      <c r="C448" s="276"/>
      <c r="D448" s="276"/>
      <c r="E448" s="276"/>
      <c r="F448" s="276"/>
      <c r="G448" s="276"/>
      <c r="H448" s="275"/>
      <c r="I448" s="275"/>
      <c r="J448" s="275"/>
      <c r="K448" s="275"/>
      <c r="L448" s="275"/>
      <c r="M448" s="419"/>
      <c r="N448" s="275"/>
    </row>
    <row r="449" spans="1:14">
      <c r="A449" s="274"/>
      <c r="B449" s="275"/>
      <c r="C449" s="276"/>
      <c r="D449" s="276"/>
      <c r="E449" s="276"/>
      <c r="F449" s="276"/>
      <c r="G449" s="276"/>
      <c r="H449" s="275"/>
      <c r="I449" s="275"/>
      <c r="J449" s="275"/>
      <c r="K449" s="275"/>
      <c r="L449" s="275"/>
      <c r="M449" s="275"/>
      <c r="N449" s="275"/>
    </row>
    <row r="450" spans="1:14">
      <c r="A450" s="274"/>
      <c r="B450" s="275"/>
      <c r="C450" s="276"/>
      <c r="D450" s="276"/>
      <c r="E450" s="276"/>
      <c r="F450" s="276"/>
      <c r="G450" s="276"/>
      <c r="H450" s="275"/>
      <c r="I450" s="275"/>
      <c r="J450" s="275"/>
      <c r="K450" s="275"/>
      <c r="L450" s="275"/>
      <c r="M450" s="275"/>
      <c r="N450" s="275"/>
    </row>
    <row r="451" spans="1:14">
      <c r="A451" s="274"/>
      <c r="B451" s="275"/>
      <c r="C451" s="276"/>
      <c r="D451" s="276"/>
      <c r="E451" s="276"/>
      <c r="F451" s="276"/>
      <c r="G451" s="276"/>
      <c r="H451" s="275"/>
      <c r="I451" s="275"/>
      <c r="J451" s="275"/>
      <c r="K451" s="275"/>
      <c r="L451" s="275"/>
      <c r="M451" s="275"/>
      <c r="N451" s="275"/>
    </row>
    <row r="452" spans="1:14">
      <c r="A452" s="274"/>
      <c r="B452" s="275"/>
      <c r="C452" s="276"/>
      <c r="D452" s="276"/>
      <c r="E452" s="276"/>
      <c r="F452" s="276"/>
      <c r="G452" s="276"/>
      <c r="H452" s="275"/>
      <c r="I452" s="275"/>
      <c r="J452" s="275"/>
      <c r="K452" s="275"/>
      <c r="L452" s="275"/>
      <c r="M452" s="275"/>
      <c r="N452" s="275"/>
    </row>
    <row r="453" spans="1:14">
      <c r="A453" s="274"/>
      <c r="B453" s="275"/>
      <c r="C453" s="276"/>
      <c r="D453" s="276"/>
      <c r="E453" s="276"/>
      <c r="F453" s="276"/>
      <c r="G453" s="276"/>
      <c r="H453" s="275"/>
      <c r="I453" s="275"/>
      <c r="J453" s="275"/>
      <c r="K453" s="275"/>
      <c r="L453" s="275"/>
      <c r="M453" s="275"/>
      <c r="N453" s="275"/>
    </row>
    <row r="454" spans="1:14">
      <c r="A454" s="274"/>
      <c r="B454" s="275"/>
      <c r="C454" s="276"/>
      <c r="D454" s="276"/>
      <c r="E454" s="276"/>
      <c r="F454" s="276"/>
      <c r="G454" s="276"/>
      <c r="H454" s="275"/>
      <c r="I454" s="275"/>
      <c r="J454" s="275"/>
      <c r="K454" s="275"/>
      <c r="L454" s="275"/>
      <c r="M454" s="275"/>
      <c r="N454" s="275"/>
    </row>
    <row r="455" spans="1:14">
      <c r="A455" s="274"/>
      <c r="B455" s="275"/>
      <c r="C455" s="276"/>
      <c r="D455" s="276"/>
      <c r="E455" s="276"/>
      <c r="F455" s="276"/>
      <c r="G455" s="276"/>
      <c r="H455" s="275"/>
      <c r="I455" s="275"/>
      <c r="J455" s="275"/>
      <c r="K455" s="275"/>
      <c r="L455" s="275"/>
      <c r="M455" s="275"/>
      <c r="N455" s="275"/>
    </row>
    <row r="456" spans="1:14">
      <c r="A456" s="274"/>
      <c r="B456" s="275"/>
      <c r="C456" s="276"/>
      <c r="D456" s="276"/>
      <c r="E456" s="276"/>
      <c r="F456" s="276"/>
      <c r="G456" s="276"/>
      <c r="H456" s="275"/>
      <c r="I456" s="275"/>
      <c r="J456" s="275"/>
      <c r="K456" s="275"/>
      <c r="L456" s="275"/>
      <c r="M456" s="275"/>
      <c r="N456" s="275"/>
    </row>
    <row r="457" spans="1:14">
      <c r="A457" s="274"/>
      <c r="B457" s="275"/>
      <c r="C457" s="276"/>
      <c r="D457" s="276"/>
      <c r="E457" s="276"/>
      <c r="F457" s="276"/>
      <c r="G457" s="276"/>
      <c r="H457" s="275"/>
      <c r="I457" s="275"/>
      <c r="J457" s="275"/>
      <c r="K457" s="275"/>
      <c r="L457" s="275"/>
      <c r="M457" s="275"/>
      <c r="N457" s="275"/>
    </row>
    <row r="458" spans="1:14">
      <c r="A458" s="274"/>
      <c r="B458" s="275"/>
      <c r="C458" s="276"/>
      <c r="D458" s="276"/>
      <c r="E458" s="276"/>
      <c r="F458" s="276"/>
      <c r="G458" s="276"/>
      <c r="H458" s="275"/>
      <c r="I458" s="275"/>
      <c r="J458" s="275"/>
      <c r="K458" s="275"/>
      <c r="L458" s="275"/>
      <c r="M458" s="275"/>
      <c r="N458" s="275"/>
    </row>
    <row r="459" spans="1:14">
      <c r="A459" s="274"/>
      <c r="B459" s="275"/>
      <c r="C459" s="276"/>
      <c r="D459" s="276"/>
      <c r="E459" s="276"/>
      <c r="F459" s="276"/>
      <c r="G459" s="276"/>
      <c r="H459" s="275"/>
      <c r="I459" s="275"/>
      <c r="J459" s="275"/>
      <c r="K459" s="275"/>
      <c r="L459" s="275"/>
      <c r="M459" s="275"/>
      <c r="N459" s="275"/>
    </row>
    <row r="460" spans="1:14">
      <c r="A460" s="274"/>
      <c r="B460" s="275"/>
      <c r="C460" s="276"/>
      <c r="D460" s="276"/>
      <c r="E460" s="276"/>
      <c r="F460" s="276"/>
      <c r="G460" s="276"/>
      <c r="H460" s="275"/>
      <c r="I460" s="275"/>
      <c r="J460" s="275"/>
      <c r="K460" s="275"/>
      <c r="L460" s="275"/>
      <c r="M460" s="275"/>
      <c r="N460" s="275"/>
    </row>
    <row r="461" spans="1:14">
      <c r="A461" s="274"/>
      <c r="B461" s="275"/>
      <c r="C461" s="276"/>
      <c r="D461" s="276"/>
      <c r="E461" s="276"/>
      <c r="F461" s="276"/>
      <c r="G461" s="276"/>
      <c r="H461" s="275"/>
      <c r="I461" s="275"/>
      <c r="J461" s="275"/>
      <c r="K461" s="275"/>
      <c r="L461" s="275"/>
      <c r="M461" s="275"/>
      <c r="N461" s="275"/>
    </row>
    <row r="462" spans="1:14">
      <c r="A462" s="274"/>
      <c r="B462" s="275"/>
      <c r="C462" s="276"/>
      <c r="D462" s="276"/>
      <c r="E462" s="276"/>
      <c r="F462" s="276"/>
      <c r="G462" s="276"/>
      <c r="H462" s="275"/>
      <c r="I462" s="275"/>
      <c r="J462" s="275"/>
      <c r="K462" s="275"/>
      <c r="L462" s="275"/>
      <c r="M462" s="275"/>
      <c r="N462" s="275"/>
    </row>
    <row r="463" spans="1:14">
      <c r="A463" s="274"/>
      <c r="B463" s="275"/>
      <c r="C463" s="276"/>
      <c r="D463" s="276"/>
      <c r="E463" s="276"/>
      <c r="F463" s="276"/>
      <c r="G463" s="276"/>
      <c r="H463" s="275"/>
      <c r="I463" s="275"/>
      <c r="J463" s="275"/>
      <c r="K463" s="275"/>
      <c r="L463" s="275"/>
      <c r="M463" s="275"/>
      <c r="N463" s="275"/>
    </row>
    <row r="464" spans="1:14">
      <c r="A464" s="274"/>
      <c r="B464" s="275"/>
      <c r="C464" s="276"/>
      <c r="D464" s="276"/>
      <c r="E464" s="276"/>
      <c r="F464" s="276"/>
      <c r="G464" s="276"/>
      <c r="H464" s="275"/>
      <c r="I464" s="275"/>
      <c r="J464" s="275"/>
      <c r="K464" s="275"/>
      <c r="L464" s="275"/>
      <c r="M464" s="275"/>
      <c r="N464" s="275"/>
    </row>
    <row r="465" spans="1:14">
      <c r="A465" s="274"/>
      <c r="B465" s="275"/>
      <c r="C465" s="276"/>
      <c r="D465" s="276"/>
      <c r="E465" s="276"/>
      <c r="F465" s="276"/>
      <c r="G465" s="276"/>
      <c r="H465" s="275"/>
      <c r="I465" s="275"/>
      <c r="J465" s="275"/>
      <c r="K465" s="275"/>
      <c r="L465" s="275"/>
      <c r="M465" s="275"/>
      <c r="N465" s="275"/>
    </row>
    <row r="466" spans="1:14">
      <c r="A466" s="274"/>
      <c r="B466" s="275"/>
      <c r="C466" s="276"/>
      <c r="D466" s="276"/>
      <c r="E466" s="276"/>
      <c r="F466" s="276"/>
      <c r="G466" s="276"/>
      <c r="H466" s="275"/>
      <c r="I466" s="275"/>
      <c r="J466" s="275"/>
      <c r="K466" s="275"/>
      <c r="L466" s="275"/>
      <c r="M466" s="275"/>
      <c r="N466" s="275"/>
    </row>
    <row r="467" spans="1:14">
      <c r="A467" s="274"/>
      <c r="B467" s="275"/>
      <c r="C467" s="276"/>
      <c r="D467" s="276"/>
      <c r="E467" s="276"/>
      <c r="F467" s="276"/>
      <c r="G467" s="276"/>
      <c r="H467" s="275"/>
      <c r="I467" s="275"/>
      <c r="J467" s="275"/>
      <c r="K467" s="275"/>
      <c r="L467" s="275"/>
      <c r="M467" s="275"/>
      <c r="N467" s="275"/>
    </row>
    <row r="468" spans="1:14">
      <c r="A468" s="274"/>
      <c r="B468" s="275"/>
      <c r="C468" s="276"/>
      <c r="D468" s="276"/>
      <c r="E468" s="276"/>
      <c r="F468" s="276"/>
      <c r="G468" s="276"/>
      <c r="H468" s="275"/>
      <c r="I468" s="275"/>
      <c r="J468" s="275"/>
      <c r="K468" s="275"/>
      <c r="L468" s="275"/>
      <c r="M468" s="275"/>
      <c r="N468" s="275"/>
    </row>
    <row r="469" spans="1:14">
      <c r="A469" s="274"/>
      <c r="B469" s="275"/>
      <c r="C469" s="276"/>
      <c r="D469" s="276"/>
      <c r="E469" s="276"/>
      <c r="F469" s="276"/>
      <c r="G469" s="276"/>
      <c r="H469" s="275"/>
      <c r="I469" s="275"/>
      <c r="J469" s="275"/>
      <c r="K469" s="275"/>
      <c r="L469" s="275"/>
      <c r="M469" s="275"/>
      <c r="N469" s="275"/>
    </row>
    <row r="470" spans="1:14">
      <c r="A470" s="274"/>
      <c r="B470" s="275"/>
      <c r="C470" s="276"/>
      <c r="D470" s="276"/>
      <c r="E470" s="276"/>
      <c r="F470" s="276"/>
      <c r="G470" s="276"/>
      <c r="H470" s="275"/>
      <c r="I470" s="275"/>
      <c r="J470" s="275"/>
      <c r="K470" s="275"/>
      <c r="L470" s="275"/>
      <c r="M470" s="275"/>
      <c r="N470" s="275"/>
    </row>
    <row r="471" spans="1:14">
      <c r="A471" s="274"/>
      <c r="B471" s="275"/>
      <c r="C471" s="276"/>
      <c r="D471" s="276"/>
      <c r="E471" s="276"/>
      <c r="F471" s="276"/>
      <c r="G471" s="276"/>
      <c r="H471" s="275"/>
      <c r="I471" s="275"/>
      <c r="J471" s="275"/>
      <c r="K471" s="275"/>
      <c r="L471" s="275"/>
      <c r="M471" s="275"/>
      <c r="N471" s="275"/>
    </row>
    <row r="472" spans="1:14">
      <c r="A472" s="274"/>
      <c r="B472" s="275"/>
      <c r="C472" s="276"/>
      <c r="D472" s="276"/>
      <c r="E472" s="276"/>
      <c r="F472" s="276"/>
      <c r="G472" s="276"/>
      <c r="H472" s="275"/>
      <c r="I472" s="275"/>
      <c r="J472" s="275"/>
      <c r="K472" s="275"/>
      <c r="L472" s="275"/>
      <c r="M472" s="275"/>
      <c r="N472" s="275"/>
    </row>
    <row r="473" spans="1:14">
      <c r="A473" s="274"/>
      <c r="B473" s="275"/>
      <c r="C473" s="276"/>
      <c r="D473" s="276"/>
      <c r="E473" s="276"/>
      <c r="F473" s="276"/>
      <c r="G473" s="276"/>
      <c r="H473" s="275"/>
      <c r="I473" s="275"/>
      <c r="J473" s="275"/>
      <c r="K473" s="275"/>
      <c r="L473" s="275"/>
      <c r="M473" s="275"/>
      <c r="N473" s="275"/>
    </row>
    <row r="474" spans="1:14">
      <c r="A474" s="274"/>
      <c r="B474" s="275"/>
      <c r="C474" s="276"/>
      <c r="D474" s="276"/>
      <c r="E474" s="276"/>
      <c r="F474" s="276"/>
      <c r="G474" s="276"/>
      <c r="H474" s="275"/>
      <c r="I474" s="275"/>
      <c r="J474" s="275"/>
      <c r="K474" s="275"/>
      <c r="L474" s="275"/>
      <c r="M474" s="275"/>
      <c r="N474" s="275"/>
    </row>
    <row r="475" spans="1:14">
      <c r="A475" s="274"/>
      <c r="B475" s="275"/>
      <c r="C475" s="276"/>
      <c r="D475" s="276"/>
      <c r="E475" s="276"/>
      <c r="F475" s="276"/>
      <c r="G475" s="276"/>
      <c r="H475" s="275"/>
      <c r="I475" s="275"/>
      <c r="J475" s="275"/>
      <c r="K475" s="275"/>
      <c r="L475" s="275"/>
      <c r="M475" s="275"/>
      <c r="N475" s="275"/>
    </row>
    <row r="476" spans="1:14">
      <c r="A476" s="274"/>
      <c r="B476" s="275"/>
      <c r="C476" s="276"/>
      <c r="D476" s="276"/>
      <c r="E476" s="276"/>
      <c r="F476" s="276"/>
      <c r="G476" s="276"/>
      <c r="H476" s="275"/>
      <c r="I476" s="275"/>
      <c r="J476" s="275"/>
      <c r="K476" s="275"/>
      <c r="L476" s="275"/>
      <c r="M476" s="275"/>
      <c r="N476" s="275"/>
    </row>
    <row r="477" spans="1:14">
      <c r="A477" s="274"/>
      <c r="B477" s="275"/>
      <c r="C477" s="276"/>
      <c r="D477" s="276"/>
      <c r="E477" s="276"/>
      <c r="F477" s="276"/>
      <c r="G477" s="276"/>
      <c r="H477" s="275"/>
      <c r="I477" s="275"/>
      <c r="J477" s="275"/>
      <c r="K477" s="275"/>
      <c r="L477" s="275"/>
      <c r="M477" s="275"/>
      <c r="N477" s="275"/>
    </row>
    <row r="478" spans="1:14">
      <c r="A478" s="274"/>
      <c r="B478" s="275"/>
      <c r="C478" s="276"/>
      <c r="D478" s="276"/>
      <c r="E478" s="276"/>
      <c r="F478" s="276"/>
      <c r="G478" s="276"/>
      <c r="H478" s="275"/>
      <c r="I478" s="275"/>
      <c r="J478" s="275"/>
      <c r="K478" s="275"/>
      <c r="L478" s="275"/>
      <c r="M478" s="275"/>
      <c r="N478" s="275"/>
    </row>
    <row r="479" spans="1:14">
      <c r="A479" s="274"/>
      <c r="B479" s="275"/>
      <c r="C479" s="276"/>
      <c r="D479" s="276"/>
      <c r="E479" s="276"/>
      <c r="F479" s="276"/>
      <c r="G479" s="276"/>
      <c r="H479" s="275"/>
      <c r="I479" s="275"/>
      <c r="J479" s="275"/>
      <c r="K479" s="275"/>
      <c r="L479" s="275"/>
      <c r="M479" s="275"/>
      <c r="N479" s="275"/>
    </row>
    <row r="480" spans="1:14">
      <c r="A480" s="274"/>
      <c r="B480" s="275"/>
      <c r="C480" s="276"/>
      <c r="D480" s="276"/>
      <c r="E480" s="276"/>
      <c r="F480" s="276"/>
      <c r="G480" s="276"/>
      <c r="H480" s="275"/>
      <c r="I480" s="275"/>
      <c r="J480" s="275"/>
      <c r="K480" s="275"/>
      <c r="L480" s="275"/>
      <c r="M480" s="275"/>
      <c r="N480" s="275"/>
    </row>
    <row r="481" spans="1:14">
      <c r="A481" s="274"/>
      <c r="B481" s="275"/>
      <c r="C481" s="276"/>
      <c r="D481" s="276"/>
      <c r="E481" s="276"/>
      <c r="F481" s="276"/>
      <c r="G481" s="276"/>
      <c r="H481" s="275"/>
      <c r="I481" s="275"/>
      <c r="J481" s="275"/>
      <c r="K481" s="275"/>
      <c r="L481" s="275"/>
      <c r="M481" s="275"/>
      <c r="N481" s="275"/>
    </row>
    <row r="482" spans="1:14">
      <c r="A482" s="274"/>
      <c r="B482" s="275"/>
      <c r="C482" s="276"/>
      <c r="D482" s="276"/>
      <c r="E482" s="276"/>
      <c r="F482" s="276"/>
      <c r="G482" s="276"/>
      <c r="H482" s="275"/>
      <c r="I482" s="275"/>
      <c r="J482" s="275"/>
      <c r="K482" s="275"/>
      <c r="L482" s="275"/>
      <c r="M482" s="275"/>
      <c r="N482" s="275"/>
    </row>
    <row r="483" spans="1:14">
      <c r="A483" s="274"/>
      <c r="B483" s="275"/>
      <c r="C483" s="276"/>
      <c r="D483" s="276"/>
      <c r="E483" s="276"/>
      <c r="F483" s="276"/>
      <c r="G483" s="276"/>
      <c r="H483" s="275"/>
      <c r="I483" s="275"/>
      <c r="J483" s="275"/>
      <c r="K483" s="275"/>
      <c r="L483" s="275"/>
      <c r="M483" s="275"/>
      <c r="N483" s="275"/>
    </row>
    <row r="484" spans="1:14">
      <c r="A484" s="274"/>
      <c r="B484" s="275"/>
      <c r="C484" s="276"/>
      <c r="D484" s="276"/>
      <c r="E484" s="276"/>
      <c r="F484" s="276"/>
      <c r="G484" s="276"/>
      <c r="H484" s="275"/>
      <c r="I484" s="275"/>
      <c r="J484" s="275"/>
      <c r="K484" s="275"/>
      <c r="L484" s="275"/>
      <c r="M484" s="275"/>
      <c r="N484" s="275"/>
    </row>
    <row r="485" spans="1:14">
      <c r="A485" s="274"/>
      <c r="B485" s="275"/>
      <c r="C485" s="276"/>
      <c r="D485" s="276"/>
      <c r="E485" s="276"/>
      <c r="F485" s="276"/>
      <c r="G485" s="276"/>
      <c r="H485" s="275"/>
      <c r="I485" s="275"/>
      <c r="J485" s="275"/>
      <c r="K485" s="275"/>
      <c r="L485" s="275"/>
      <c r="M485" s="275"/>
      <c r="N485" s="275"/>
    </row>
    <row r="486" spans="1:14">
      <c r="A486" s="274"/>
      <c r="B486" s="275"/>
      <c r="C486" s="276"/>
      <c r="D486" s="276"/>
      <c r="E486" s="276"/>
      <c r="F486" s="276"/>
      <c r="G486" s="276"/>
      <c r="H486" s="275"/>
      <c r="I486" s="275"/>
      <c r="J486" s="275"/>
      <c r="K486" s="275"/>
      <c r="L486" s="275"/>
      <c r="M486" s="275"/>
      <c r="N486" s="275"/>
    </row>
    <row r="487" spans="1:14">
      <c r="A487" s="274"/>
      <c r="B487" s="275"/>
      <c r="C487" s="276"/>
      <c r="D487" s="276"/>
      <c r="E487" s="276"/>
      <c r="F487" s="276"/>
      <c r="G487" s="276"/>
      <c r="H487" s="275"/>
      <c r="I487" s="275"/>
      <c r="J487" s="275"/>
      <c r="K487" s="275"/>
      <c r="L487" s="275"/>
      <c r="M487" s="275"/>
      <c r="N487" s="275"/>
    </row>
    <row r="488" spans="1:14">
      <c r="A488" s="274"/>
      <c r="B488" s="275"/>
      <c r="C488" s="276"/>
      <c r="D488" s="276"/>
      <c r="E488" s="276"/>
      <c r="F488" s="276"/>
      <c r="G488" s="276"/>
      <c r="H488" s="275"/>
      <c r="I488" s="275"/>
      <c r="J488" s="275"/>
      <c r="K488" s="275"/>
      <c r="L488" s="275"/>
      <c r="M488" s="275"/>
      <c r="N488" s="275"/>
    </row>
    <row r="489" spans="1:14">
      <c r="A489" s="274"/>
      <c r="B489" s="275"/>
      <c r="C489" s="276"/>
      <c r="D489" s="276"/>
      <c r="E489" s="276"/>
      <c r="F489" s="276"/>
      <c r="G489" s="276"/>
      <c r="H489" s="275"/>
      <c r="I489" s="275"/>
      <c r="J489" s="275"/>
      <c r="K489" s="275"/>
      <c r="L489" s="275"/>
      <c r="M489" s="275"/>
      <c r="N489" s="275"/>
    </row>
    <row r="490" spans="1:14">
      <c r="A490" s="274"/>
      <c r="B490" s="275"/>
      <c r="C490" s="276"/>
      <c r="D490" s="276"/>
      <c r="E490" s="276"/>
      <c r="F490" s="276"/>
      <c r="G490" s="276"/>
      <c r="H490" s="275"/>
      <c r="I490" s="275"/>
      <c r="J490" s="275"/>
      <c r="K490" s="275"/>
      <c r="L490" s="275"/>
      <c r="M490" s="275"/>
      <c r="N490" s="275"/>
    </row>
    <row r="491" spans="1:14">
      <c r="A491" s="274"/>
      <c r="B491" s="275"/>
      <c r="C491" s="276"/>
      <c r="D491" s="276"/>
      <c r="E491" s="276"/>
      <c r="F491" s="276"/>
      <c r="G491" s="276"/>
      <c r="H491" s="275"/>
      <c r="I491" s="275"/>
      <c r="J491" s="275"/>
      <c r="K491" s="275"/>
      <c r="L491" s="275"/>
      <c r="M491" s="275"/>
      <c r="N491" s="275"/>
    </row>
    <row r="492" spans="1:14">
      <c r="A492" s="274"/>
      <c r="B492" s="275"/>
      <c r="C492" s="276"/>
      <c r="D492" s="276"/>
      <c r="E492" s="276"/>
      <c r="F492" s="276"/>
      <c r="G492" s="276"/>
      <c r="H492" s="275"/>
      <c r="I492" s="275"/>
      <c r="J492" s="275"/>
      <c r="K492" s="275"/>
      <c r="L492" s="275"/>
      <c r="M492" s="275"/>
      <c r="N492" s="275"/>
    </row>
    <row r="493" spans="1:14">
      <c r="A493" s="274"/>
      <c r="B493" s="275"/>
      <c r="C493" s="276"/>
      <c r="D493" s="276"/>
      <c r="E493" s="276"/>
      <c r="F493" s="276"/>
      <c r="G493" s="276"/>
      <c r="H493" s="275"/>
      <c r="I493" s="275"/>
      <c r="J493" s="275"/>
      <c r="K493" s="275"/>
      <c r="L493" s="275"/>
      <c r="M493" s="275"/>
      <c r="N493" s="275"/>
    </row>
    <row r="494" spans="1:14">
      <c r="A494" s="274"/>
      <c r="B494" s="275"/>
      <c r="C494" s="276"/>
      <c r="D494" s="276"/>
      <c r="E494" s="276"/>
      <c r="F494" s="276"/>
      <c r="G494" s="276"/>
      <c r="H494" s="275"/>
      <c r="I494" s="275"/>
      <c r="J494" s="275"/>
      <c r="K494" s="275"/>
      <c r="L494" s="275"/>
      <c r="M494" s="275"/>
      <c r="N494" s="275"/>
    </row>
    <row r="495" spans="1:14">
      <c r="A495" s="274"/>
      <c r="B495" s="275"/>
      <c r="C495" s="276"/>
      <c r="D495" s="276"/>
      <c r="E495" s="276"/>
      <c r="F495" s="276"/>
      <c r="G495" s="276"/>
      <c r="H495" s="275"/>
      <c r="I495" s="275"/>
      <c r="J495" s="275"/>
      <c r="K495" s="275"/>
      <c r="L495" s="275"/>
      <c r="M495" s="275"/>
      <c r="N495" s="275"/>
    </row>
    <row r="496" spans="1:14">
      <c r="A496" s="274"/>
      <c r="B496" s="275"/>
      <c r="C496" s="276"/>
      <c r="D496" s="276"/>
      <c r="E496" s="276"/>
      <c r="F496" s="276"/>
      <c r="G496" s="276"/>
      <c r="H496" s="275"/>
      <c r="I496" s="275"/>
      <c r="J496" s="275"/>
      <c r="K496" s="275"/>
      <c r="L496" s="275"/>
      <c r="M496" s="275"/>
      <c r="N496" s="275"/>
    </row>
    <row r="497" spans="1:14">
      <c r="A497" s="274"/>
      <c r="B497" s="275"/>
      <c r="C497" s="276"/>
      <c r="D497" s="276"/>
      <c r="E497" s="276"/>
      <c r="F497" s="276"/>
      <c r="G497" s="276"/>
      <c r="H497" s="275"/>
      <c r="I497" s="275"/>
      <c r="J497" s="275"/>
      <c r="K497" s="275"/>
      <c r="L497" s="275"/>
      <c r="M497" s="275"/>
      <c r="N497" s="275"/>
    </row>
    <row r="498" spans="1:14">
      <c r="A498" s="274"/>
      <c r="B498" s="275"/>
      <c r="C498" s="276"/>
      <c r="D498" s="276"/>
      <c r="E498" s="276"/>
      <c r="F498" s="276"/>
      <c r="G498" s="276"/>
      <c r="H498" s="275"/>
      <c r="I498" s="275"/>
      <c r="J498" s="275"/>
      <c r="K498" s="275"/>
      <c r="L498" s="275"/>
      <c r="M498" s="275"/>
      <c r="N498" s="275"/>
    </row>
    <row r="499" spans="1:14">
      <c r="A499" s="274"/>
      <c r="B499" s="275"/>
      <c r="C499" s="276"/>
      <c r="D499" s="276"/>
      <c r="E499" s="276"/>
      <c r="F499" s="276"/>
      <c r="G499" s="276"/>
      <c r="H499" s="275"/>
      <c r="I499" s="275"/>
      <c r="J499" s="275"/>
      <c r="K499" s="275"/>
      <c r="L499" s="275"/>
      <c r="M499" s="275"/>
      <c r="N499" s="275"/>
    </row>
    <row r="500" spans="1:14">
      <c r="A500" s="274"/>
      <c r="B500" s="275"/>
      <c r="C500" s="276"/>
      <c r="D500" s="276"/>
      <c r="E500" s="276"/>
      <c r="F500" s="276"/>
      <c r="G500" s="276"/>
      <c r="H500" s="275"/>
      <c r="I500" s="275"/>
      <c r="J500" s="275"/>
      <c r="K500" s="275"/>
      <c r="L500" s="275"/>
      <c r="M500" s="275"/>
      <c r="N500" s="275"/>
    </row>
    <row r="501" spans="1:14">
      <c r="A501" s="274"/>
      <c r="B501" s="275"/>
      <c r="C501" s="276"/>
      <c r="D501" s="276"/>
      <c r="E501" s="276"/>
      <c r="F501" s="276"/>
      <c r="G501" s="276"/>
      <c r="H501" s="275"/>
      <c r="I501" s="275"/>
      <c r="J501" s="275"/>
      <c r="K501" s="275"/>
      <c r="L501" s="275"/>
      <c r="M501" s="275"/>
      <c r="N501" s="275"/>
    </row>
    <row r="502" spans="1:14">
      <c r="A502" s="274"/>
      <c r="B502" s="275"/>
      <c r="C502" s="276"/>
      <c r="D502" s="276"/>
      <c r="E502" s="276"/>
      <c r="F502" s="276"/>
      <c r="G502" s="276"/>
      <c r="H502" s="275"/>
      <c r="I502" s="275"/>
      <c r="J502" s="275"/>
      <c r="K502" s="275"/>
      <c r="L502" s="275"/>
      <c r="M502" s="275"/>
      <c r="N502" s="275"/>
    </row>
    <row r="503" spans="1:14">
      <c r="A503" s="274"/>
      <c r="B503" s="275"/>
      <c r="C503" s="276"/>
      <c r="D503" s="276"/>
      <c r="E503" s="276"/>
      <c r="F503" s="276"/>
      <c r="G503" s="276"/>
      <c r="H503" s="275"/>
      <c r="I503" s="275"/>
      <c r="J503" s="275"/>
      <c r="K503" s="275"/>
      <c r="L503" s="275"/>
      <c r="M503" s="275"/>
      <c r="N503" s="275"/>
    </row>
    <row r="504" spans="1:14">
      <c r="A504" s="274"/>
      <c r="B504" s="275"/>
      <c r="C504" s="276"/>
      <c r="D504" s="276"/>
      <c r="E504" s="276"/>
      <c r="F504" s="276"/>
      <c r="G504" s="276"/>
      <c r="H504" s="275"/>
      <c r="I504" s="275"/>
      <c r="J504" s="275"/>
      <c r="K504" s="275"/>
      <c r="L504" s="275"/>
      <c r="M504" s="275"/>
      <c r="N504" s="275"/>
    </row>
    <row r="505" spans="1:14">
      <c r="A505" s="274"/>
      <c r="B505" s="275"/>
      <c r="C505" s="276"/>
      <c r="D505" s="276"/>
      <c r="E505" s="276"/>
      <c r="F505" s="276"/>
      <c r="G505" s="276"/>
      <c r="H505" s="275"/>
      <c r="I505" s="275"/>
      <c r="J505" s="275"/>
      <c r="K505" s="275"/>
      <c r="L505" s="275"/>
      <c r="M505" s="275"/>
      <c r="N505" s="275"/>
    </row>
    <row r="506" spans="1:14">
      <c r="A506" s="274"/>
      <c r="B506" s="275"/>
      <c r="C506" s="276"/>
      <c r="D506" s="276"/>
      <c r="E506" s="276"/>
      <c r="F506" s="276"/>
      <c r="G506" s="276"/>
      <c r="H506" s="275"/>
      <c r="I506" s="275"/>
      <c r="J506" s="275"/>
      <c r="K506" s="275"/>
      <c r="L506" s="275"/>
      <c r="M506" s="275"/>
      <c r="N506" s="275"/>
    </row>
    <row r="507" spans="1:14">
      <c r="A507" s="274"/>
      <c r="B507" s="275"/>
      <c r="C507" s="276"/>
      <c r="D507" s="276"/>
      <c r="E507" s="276"/>
      <c r="F507" s="276"/>
      <c r="G507" s="276"/>
      <c r="H507" s="275"/>
      <c r="I507" s="275"/>
      <c r="J507" s="275"/>
      <c r="K507" s="275"/>
      <c r="L507" s="275"/>
      <c r="M507" s="275"/>
      <c r="N507" s="275"/>
    </row>
    <row r="508" spans="1:14">
      <c r="A508" s="274"/>
      <c r="B508" s="275"/>
      <c r="C508" s="276"/>
      <c r="D508" s="276"/>
      <c r="E508" s="276"/>
      <c r="F508" s="276"/>
      <c r="G508" s="276"/>
      <c r="H508" s="275"/>
      <c r="I508" s="275"/>
      <c r="J508" s="275"/>
      <c r="K508" s="275"/>
      <c r="L508" s="275"/>
      <c r="M508" s="275"/>
      <c r="N508" s="275"/>
    </row>
    <row r="509" spans="1:14">
      <c r="A509" s="274"/>
      <c r="B509" s="275"/>
      <c r="C509" s="276"/>
      <c r="D509" s="276"/>
      <c r="E509" s="276"/>
      <c r="F509" s="276"/>
      <c r="G509" s="276"/>
      <c r="H509" s="275"/>
      <c r="I509" s="275"/>
      <c r="J509" s="275"/>
      <c r="K509" s="275"/>
      <c r="L509" s="275"/>
      <c r="M509" s="275"/>
      <c r="N509" s="275"/>
    </row>
    <row r="510" spans="1:14">
      <c r="A510" s="274"/>
      <c r="B510" s="275"/>
      <c r="C510" s="276"/>
      <c r="D510" s="276"/>
      <c r="E510" s="276"/>
      <c r="F510" s="276"/>
      <c r="G510" s="276"/>
      <c r="H510" s="275"/>
      <c r="I510" s="275"/>
      <c r="J510" s="275"/>
      <c r="K510" s="275"/>
      <c r="L510" s="275"/>
      <c r="M510" s="275"/>
      <c r="N510" s="275"/>
    </row>
    <row r="511" spans="1:14">
      <c r="A511" s="274"/>
      <c r="B511" s="275"/>
      <c r="C511" s="276"/>
      <c r="D511" s="276"/>
      <c r="E511" s="276"/>
      <c r="F511" s="276"/>
      <c r="G511" s="276"/>
      <c r="H511" s="275"/>
      <c r="I511" s="275"/>
      <c r="J511" s="275"/>
      <c r="K511" s="275"/>
      <c r="L511" s="275"/>
      <c r="M511" s="275"/>
      <c r="N511" s="275"/>
    </row>
    <row r="512" spans="1:14">
      <c r="A512" s="274"/>
      <c r="B512" s="275"/>
      <c r="C512" s="276"/>
      <c r="D512" s="276"/>
      <c r="E512" s="276"/>
      <c r="F512" s="276"/>
      <c r="G512" s="276"/>
      <c r="H512" s="275"/>
      <c r="I512" s="275"/>
      <c r="J512" s="275"/>
      <c r="K512" s="275"/>
      <c r="L512" s="275"/>
      <c r="M512" s="275"/>
      <c r="N512" s="275"/>
    </row>
    <row r="513" spans="1:14">
      <c r="A513" s="274"/>
      <c r="B513" s="275"/>
      <c r="C513" s="276"/>
      <c r="D513" s="276"/>
      <c r="E513" s="276"/>
      <c r="F513" s="276"/>
      <c r="G513" s="276"/>
      <c r="H513" s="275"/>
      <c r="I513" s="275"/>
      <c r="J513" s="275"/>
      <c r="K513" s="275"/>
      <c r="L513" s="275"/>
      <c r="M513" s="275"/>
      <c r="N513" s="275"/>
    </row>
    <row r="514" spans="1:14">
      <c r="A514" s="274"/>
      <c r="B514" s="275"/>
      <c r="C514" s="276"/>
      <c r="D514" s="276"/>
      <c r="E514" s="276"/>
      <c r="F514" s="276"/>
      <c r="G514" s="276"/>
      <c r="H514" s="275"/>
      <c r="I514" s="275"/>
      <c r="J514" s="275"/>
      <c r="K514" s="275"/>
      <c r="L514" s="275"/>
      <c r="M514" s="275"/>
      <c r="N514" s="275"/>
    </row>
    <row r="515" spans="1:14">
      <c r="A515" s="274"/>
      <c r="B515" s="275"/>
      <c r="C515" s="276"/>
      <c r="D515" s="276"/>
      <c r="E515" s="276"/>
      <c r="F515" s="276"/>
      <c r="G515" s="276"/>
      <c r="H515" s="275"/>
      <c r="I515" s="275"/>
      <c r="J515" s="275"/>
      <c r="K515" s="275"/>
      <c r="L515" s="275"/>
      <c r="M515" s="275"/>
      <c r="N515" s="275"/>
    </row>
    <row r="516" spans="1:14">
      <c r="A516" s="274"/>
      <c r="B516" s="275"/>
      <c r="C516" s="276"/>
      <c r="D516" s="276"/>
      <c r="E516" s="276"/>
      <c r="F516" s="276"/>
      <c r="G516" s="276"/>
      <c r="H516" s="275"/>
      <c r="I516" s="275"/>
      <c r="J516" s="275"/>
      <c r="K516" s="275"/>
      <c r="L516" s="275"/>
      <c r="M516" s="275"/>
      <c r="N516" s="275"/>
    </row>
    <row r="517" spans="1:14">
      <c r="A517" s="274"/>
      <c r="B517" s="275"/>
      <c r="C517" s="276"/>
      <c r="D517" s="276"/>
      <c r="E517" s="276"/>
      <c r="F517" s="276"/>
      <c r="G517" s="276"/>
      <c r="H517" s="275"/>
      <c r="I517" s="275"/>
      <c r="J517" s="275"/>
      <c r="K517" s="275"/>
      <c r="L517" s="275"/>
      <c r="M517" s="275"/>
      <c r="N517" s="275"/>
    </row>
    <row r="518" spans="1:14">
      <c r="A518" s="274"/>
      <c r="B518" s="275"/>
      <c r="C518" s="276"/>
      <c r="D518" s="276"/>
      <c r="E518" s="276"/>
      <c r="F518" s="276"/>
      <c r="G518" s="276"/>
      <c r="H518" s="275"/>
      <c r="I518" s="275"/>
      <c r="J518" s="275"/>
      <c r="K518" s="275"/>
      <c r="L518" s="275"/>
      <c r="M518" s="275"/>
      <c r="N518" s="275"/>
    </row>
    <row r="519" spans="1:14">
      <c r="A519" s="274"/>
      <c r="B519" s="275"/>
      <c r="C519" s="276"/>
      <c r="D519" s="276"/>
      <c r="E519" s="276"/>
      <c r="F519" s="276"/>
      <c r="G519" s="276"/>
      <c r="H519" s="275"/>
      <c r="I519" s="275"/>
      <c r="J519" s="275"/>
      <c r="K519" s="275"/>
      <c r="L519" s="275"/>
      <c r="M519" s="275"/>
      <c r="N519" s="275"/>
    </row>
    <row r="520" spans="1:14">
      <c r="A520" s="274"/>
      <c r="B520" s="275"/>
      <c r="C520" s="276"/>
      <c r="D520" s="276"/>
      <c r="E520" s="276"/>
      <c r="F520" s="276"/>
      <c r="G520" s="276"/>
      <c r="H520" s="275"/>
      <c r="I520" s="275"/>
      <c r="J520" s="275"/>
      <c r="K520" s="275"/>
      <c r="L520" s="275"/>
      <c r="M520" s="275"/>
      <c r="N520" s="275"/>
    </row>
    <row r="521" spans="1:14">
      <c r="A521" s="274"/>
      <c r="B521" s="275"/>
      <c r="C521" s="276"/>
      <c r="D521" s="276"/>
      <c r="E521" s="276"/>
      <c r="F521" s="276"/>
      <c r="G521" s="276"/>
      <c r="H521" s="275"/>
      <c r="I521" s="275"/>
      <c r="J521" s="275"/>
      <c r="K521" s="275"/>
      <c r="L521" s="275"/>
      <c r="M521" s="275"/>
      <c r="N521" s="275"/>
    </row>
    <row r="522" spans="1:14">
      <c r="A522" s="274"/>
      <c r="B522" s="275"/>
      <c r="C522" s="276"/>
      <c r="D522" s="276"/>
      <c r="E522" s="276"/>
      <c r="F522" s="276"/>
      <c r="G522" s="276"/>
      <c r="H522" s="275"/>
      <c r="I522" s="275"/>
      <c r="J522" s="275"/>
      <c r="K522" s="275"/>
      <c r="L522" s="275"/>
      <c r="M522" s="275"/>
      <c r="N522" s="275"/>
    </row>
    <row r="523" spans="1:14">
      <c r="A523" s="274"/>
      <c r="B523" s="275"/>
      <c r="C523" s="276"/>
      <c r="D523" s="276"/>
      <c r="E523" s="276"/>
      <c r="F523" s="276"/>
      <c r="G523" s="276"/>
      <c r="H523" s="275"/>
      <c r="I523" s="275"/>
      <c r="J523" s="275"/>
      <c r="K523" s="275"/>
      <c r="L523" s="275"/>
      <c r="M523" s="275"/>
      <c r="N523" s="275"/>
    </row>
    <row r="524" spans="1:14">
      <c r="A524" s="274"/>
      <c r="B524" s="275"/>
      <c r="C524" s="276"/>
      <c r="D524" s="276"/>
      <c r="E524" s="276"/>
      <c r="F524" s="276"/>
      <c r="G524" s="276"/>
      <c r="H524" s="275"/>
      <c r="I524" s="275"/>
      <c r="J524" s="275"/>
      <c r="K524" s="275"/>
      <c r="L524" s="275"/>
      <c r="M524" s="275"/>
      <c r="N524" s="275"/>
    </row>
    <row r="525" spans="1:14">
      <c r="A525" s="274"/>
      <c r="B525" s="275"/>
      <c r="C525" s="276"/>
      <c r="D525" s="276"/>
      <c r="E525" s="276"/>
      <c r="F525" s="276"/>
      <c r="G525" s="276"/>
      <c r="H525" s="275"/>
      <c r="I525" s="275"/>
      <c r="J525" s="275"/>
      <c r="K525" s="275"/>
      <c r="L525" s="275"/>
      <c r="M525" s="275"/>
      <c r="N525" s="275"/>
    </row>
    <row r="526" spans="1:14">
      <c r="A526" s="274"/>
      <c r="B526" s="275"/>
      <c r="C526" s="276"/>
      <c r="D526" s="276"/>
      <c r="E526" s="276"/>
      <c r="F526" s="276"/>
      <c r="G526" s="276"/>
      <c r="H526" s="275"/>
      <c r="I526" s="275"/>
      <c r="J526" s="275"/>
      <c r="K526" s="275"/>
      <c r="L526" s="275"/>
      <c r="M526" s="275"/>
      <c r="N526" s="275"/>
    </row>
    <row r="527" spans="1:14">
      <c r="A527" s="274"/>
      <c r="B527" s="275"/>
      <c r="C527" s="276"/>
      <c r="D527" s="276"/>
      <c r="E527" s="276"/>
      <c r="F527" s="276"/>
      <c r="G527" s="276"/>
      <c r="H527" s="275"/>
      <c r="I527" s="275"/>
      <c r="J527" s="275"/>
      <c r="K527" s="275"/>
      <c r="L527" s="275"/>
      <c r="M527" s="275"/>
      <c r="N527" s="275"/>
    </row>
    <row r="528" spans="1:14">
      <c r="A528" s="274"/>
      <c r="B528" s="275"/>
      <c r="C528" s="276"/>
      <c r="D528" s="276"/>
      <c r="E528" s="276"/>
      <c r="F528" s="276"/>
      <c r="G528" s="276"/>
      <c r="H528" s="275"/>
      <c r="I528" s="275"/>
      <c r="J528" s="275"/>
      <c r="K528" s="275"/>
      <c r="L528" s="275"/>
      <c r="M528" s="275"/>
      <c r="N528" s="275"/>
    </row>
    <row r="529" spans="1:14">
      <c r="A529" s="274"/>
      <c r="B529" s="275"/>
      <c r="C529" s="276"/>
      <c r="D529" s="276"/>
      <c r="E529" s="276"/>
      <c r="F529" s="276"/>
      <c r="G529" s="276"/>
      <c r="H529" s="275"/>
      <c r="I529" s="275"/>
      <c r="J529" s="275"/>
      <c r="K529" s="275"/>
      <c r="L529" s="275"/>
      <c r="M529" s="275"/>
      <c r="N529" s="275"/>
    </row>
    <row r="530" spans="1:14">
      <c r="A530" s="274"/>
      <c r="B530" s="275"/>
      <c r="C530" s="276"/>
      <c r="D530" s="276"/>
      <c r="E530" s="276"/>
      <c r="F530" s="276"/>
      <c r="G530" s="276"/>
      <c r="H530" s="275"/>
      <c r="I530" s="275"/>
      <c r="J530" s="275"/>
      <c r="K530" s="275"/>
      <c r="L530" s="275"/>
      <c r="M530" s="275"/>
      <c r="N530" s="275"/>
    </row>
    <row r="531" spans="1:14">
      <c r="A531" s="274"/>
      <c r="B531" s="275"/>
      <c r="C531" s="276"/>
      <c r="D531" s="276"/>
      <c r="E531" s="276"/>
      <c r="F531" s="276"/>
      <c r="G531" s="276"/>
      <c r="H531" s="275"/>
      <c r="I531" s="275"/>
      <c r="J531" s="275"/>
      <c r="K531" s="275"/>
      <c r="L531" s="275"/>
      <c r="M531" s="275"/>
      <c r="N531" s="275"/>
    </row>
    <row r="532" spans="1:14">
      <c r="A532" s="274"/>
      <c r="B532" s="275"/>
      <c r="C532" s="276"/>
      <c r="D532" s="276"/>
      <c r="E532" s="276"/>
      <c r="F532" s="276"/>
      <c r="G532" s="276"/>
      <c r="H532" s="275"/>
      <c r="I532" s="275"/>
      <c r="J532" s="275"/>
      <c r="K532" s="275"/>
      <c r="L532" s="275"/>
      <c r="M532" s="275"/>
      <c r="N532" s="275"/>
    </row>
    <row r="533" spans="1:14">
      <c r="A533" s="274"/>
      <c r="B533" s="275"/>
      <c r="C533" s="276"/>
      <c r="D533" s="276"/>
      <c r="E533" s="276"/>
      <c r="F533" s="276"/>
      <c r="G533" s="276"/>
      <c r="H533" s="275"/>
      <c r="I533" s="275"/>
      <c r="J533" s="275"/>
      <c r="K533" s="275"/>
      <c r="L533" s="275"/>
      <c r="M533" s="275"/>
      <c r="N533" s="275"/>
    </row>
    <row r="534" spans="1:14">
      <c r="A534" s="274"/>
      <c r="B534" s="275"/>
      <c r="C534" s="276"/>
      <c r="D534" s="276"/>
      <c r="E534" s="276"/>
      <c r="F534" s="276"/>
      <c r="G534" s="276"/>
      <c r="H534" s="275"/>
      <c r="I534" s="275"/>
      <c r="J534" s="275"/>
      <c r="K534" s="275"/>
      <c r="L534" s="275"/>
      <c r="M534" s="275"/>
      <c r="N534" s="275"/>
    </row>
    <row r="535" spans="1:14">
      <c r="A535" s="274"/>
      <c r="B535" s="275"/>
      <c r="C535" s="276"/>
      <c r="D535" s="276"/>
      <c r="E535" s="276"/>
      <c r="F535" s="276"/>
      <c r="G535" s="276"/>
      <c r="H535" s="275"/>
      <c r="I535" s="275"/>
      <c r="J535" s="275"/>
      <c r="K535" s="275"/>
      <c r="L535" s="275"/>
      <c r="M535" s="275"/>
      <c r="N535" s="275"/>
    </row>
    <row r="536" spans="1:14">
      <c r="A536" s="274"/>
      <c r="B536" s="275"/>
      <c r="C536" s="276"/>
      <c r="D536" s="276"/>
      <c r="E536" s="276"/>
      <c r="F536" s="276"/>
      <c r="G536" s="276"/>
      <c r="H536" s="275"/>
      <c r="I536" s="275"/>
      <c r="J536" s="275"/>
      <c r="K536" s="275"/>
      <c r="L536" s="275"/>
      <c r="M536" s="275"/>
      <c r="N536" s="275"/>
    </row>
    <row r="537" spans="1:14">
      <c r="A537" s="274"/>
      <c r="B537" s="275"/>
      <c r="C537" s="276"/>
      <c r="D537" s="276"/>
      <c r="E537" s="276"/>
      <c r="F537" s="276"/>
      <c r="G537" s="276"/>
      <c r="H537" s="275"/>
      <c r="I537" s="275"/>
      <c r="J537" s="275"/>
      <c r="K537" s="275"/>
      <c r="L537" s="275"/>
      <c r="M537" s="275"/>
      <c r="N537" s="275"/>
    </row>
    <row r="538" spans="1:14">
      <c r="A538" s="274"/>
      <c r="B538" s="275"/>
      <c r="C538" s="276"/>
      <c r="D538" s="276"/>
      <c r="E538" s="276"/>
      <c r="F538" s="276"/>
      <c r="G538" s="276"/>
      <c r="H538" s="275"/>
      <c r="I538" s="275"/>
      <c r="J538" s="275"/>
      <c r="K538" s="275"/>
      <c r="L538" s="275"/>
      <c r="M538" s="275"/>
      <c r="N538" s="275"/>
    </row>
    <row r="539" spans="1:14">
      <c r="A539" s="274"/>
      <c r="B539" s="275"/>
      <c r="C539" s="276"/>
      <c r="D539" s="276"/>
      <c r="E539" s="276"/>
      <c r="F539" s="276"/>
      <c r="G539" s="276"/>
      <c r="H539" s="275"/>
      <c r="I539" s="275"/>
      <c r="J539" s="275"/>
      <c r="K539" s="275"/>
      <c r="L539" s="275"/>
      <c r="M539" s="275"/>
      <c r="N539" s="275"/>
    </row>
    <row r="540" spans="1:14">
      <c r="A540" s="274"/>
      <c r="B540" s="275"/>
      <c r="C540" s="276"/>
      <c r="D540" s="276"/>
      <c r="E540" s="276"/>
      <c r="F540" s="276"/>
      <c r="G540" s="276"/>
      <c r="H540" s="275"/>
      <c r="I540" s="275"/>
      <c r="J540" s="275"/>
      <c r="K540" s="275"/>
      <c r="L540" s="275"/>
      <c r="M540" s="275"/>
      <c r="N540" s="275"/>
    </row>
    <row r="541" spans="1:14">
      <c r="A541" s="274"/>
      <c r="B541" s="275"/>
      <c r="C541" s="276"/>
      <c r="D541" s="276"/>
      <c r="E541" s="276"/>
      <c r="F541" s="276"/>
      <c r="G541" s="276"/>
      <c r="H541" s="275"/>
      <c r="I541" s="275"/>
      <c r="J541" s="275"/>
      <c r="K541" s="275"/>
      <c r="L541" s="275"/>
      <c r="M541" s="275"/>
      <c r="N541" s="275"/>
    </row>
    <row r="542" spans="1:14">
      <c r="A542" s="274"/>
      <c r="B542" s="275"/>
      <c r="C542" s="276"/>
      <c r="D542" s="276"/>
      <c r="E542" s="276"/>
      <c r="F542" s="276"/>
      <c r="G542" s="276"/>
      <c r="H542" s="275"/>
      <c r="I542" s="275"/>
      <c r="J542" s="275"/>
      <c r="K542" s="275"/>
      <c r="L542" s="275"/>
      <c r="M542" s="275"/>
      <c r="N542" s="275"/>
    </row>
    <row r="543" spans="1:14">
      <c r="A543" s="274"/>
      <c r="B543" s="275"/>
      <c r="C543" s="276"/>
      <c r="D543" s="276"/>
      <c r="E543" s="276"/>
      <c r="F543" s="276"/>
      <c r="G543" s="276"/>
      <c r="H543" s="275"/>
      <c r="I543" s="275"/>
      <c r="J543" s="275"/>
      <c r="K543" s="275"/>
      <c r="L543" s="275"/>
      <c r="M543" s="275"/>
      <c r="N543" s="275"/>
    </row>
    <row r="544" spans="1:14">
      <c r="A544" s="274"/>
      <c r="B544" s="275"/>
      <c r="C544" s="276"/>
      <c r="D544" s="276"/>
      <c r="E544" s="276"/>
      <c r="F544" s="276"/>
      <c r="G544" s="276"/>
      <c r="H544" s="275"/>
      <c r="I544" s="275"/>
      <c r="J544" s="275"/>
      <c r="K544" s="275"/>
      <c r="L544" s="275"/>
      <c r="M544" s="275"/>
      <c r="N544" s="275"/>
    </row>
    <row r="545" spans="1:14">
      <c r="A545" s="274"/>
      <c r="B545" s="275"/>
      <c r="C545" s="276"/>
      <c r="D545" s="276"/>
      <c r="E545" s="276"/>
      <c r="F545" s="277"/>
      <c r="G545" s="276"/>
      <c r="H545" s="275"/>
      <c r="I545" s="275"/>
      <c r="J545" s="275"/>
      <c r="K545" s="275"/>
      <c r="L545" s="275"/>
      <c r="M545" s="275"/>
      <c r="N545" s="275"/>
    </row>
    <row r="546" spans="1:14">
      <c r="A546" s="274"/>
      <c r="B546" s="275"/>
      <c r="C546" s="276"/>
      <c r="D546" s="276"/>
      <c r="E546" s="276"/>
      <c r="F546" s="276"/>
      <c r="G546" s="276"/>
      <c r="H546" s="275"/>
      <c r="I546" s="275"/>
      <c r="J546" s="275"/>
      <c r="K546" s="275"/>
      <c r="L546" s="275"/>
      <c r="M546" s="275"/>
      <c r="N546" s="275"/>
    </row>
    <row r="547" spans="1:14">
      <c r="A547" s="274"/>
      <c r="B547" s="275"/>
      <c r="C547" s="276"/>
      <c r="D547" s="276"/>
      <c r="E547" s="276"/>
      <c r="F547" s="276"/>
      <c r="G547" s="276"/>
      <c r="H547" s="275"/>
      <c r="I547" s="275"/>
      <c r="J547" s="275"/>
      <c r="K547" s="275"/>
      <c r="L547" s="275"/>
      <c r="M547" s="275"/>
      <c r="N547" s="275"/>
    </row>
    <row r="548" spans="1:14">
      <c r="A548" s="274"/>
      <c r="B548" s="275"/>
      <c r="C548" s="276"/>
      <c r="D548" s="276"/>
      <c r="E548" s="276"/>
      <c r="F548" s="276"/>
      <c r="G548" s="276"/>
      <c r="H548" s="275"/>
      <c r="I548" s="275"/>
      <c r="J548" s="275"/>
      <c r="K548" s="275"/>
      <c r="L548" s="275"/>
      <c r="M548" s="275"/>
      <c r="N548" s="275"/>
    </row>
    <row r="549" spans="1:14">
      <c r="A549" s="274"/>
      <c r="B549" s="275"/>
      <c r="C549" s="276"/>
      <c r="D549" s="276"/>
      <c r="E549" s="276"/>
      <c r="F549" s="276"/>
      <c r="G549" s="276"/>
      <c r="H549" s="275"/>
      <c r="I549" s="275"/>
      <c r="J549" s="275"/>
      <c r="K549" s="275"/>
      <c r="L549" s="275"/>
      <c r="M549" s="275"/>
      <c r="N549" s="275"/>
    </row>
    <row r="550" spans="1:14">
      <c r="A550" s="274"/>
      <c r="B550" s="275"/>
      <c r="C550" s="276"/>
      <c r="D550" s="276"/>
      <c r="E550" s="276"/>
      <c r="F550" s="276"/>
      <c r="G550" s="276"/>
      <c r="H550" s="275"/>
      <c r="I550" s="275"/>
      <c r="J550" s="275"/>
      <c r="K550" s="275"/>
      <c r="L550" s="275"/>
      <c r="M550" s="275"/>
      <c r="N550" s="275"/>
    </row>
    <row r="551" spans="1:14">
      <c r="A551" s="274"/>
      <c r="B551" s="275"/>
      <c r="C551" s="276"/>
      <c r="D551" s="276"/>
      <c r="E551" s="276"/>
      <c r="F551" s="276"/>
      <c r="G551" s="276"/>
      <c r="H551" s="275"/>
      <c r="I551" s="275"/>
      <c r="J551" s="275"/>
      <c r="K551" s="275"/>
      <c r="L551" s="275"/>
      <c r="M551" s="275"/>
      <c r="N551" s="275"/>
    </row>
    <row r="552" spans="1:14">
      <c r="A552" s="274"/>
      <c r="B552" s="275"/>
      <c r="C552" s="276"/>
      <c r="D552" s="276"/>
      <c r="E552" s="276"/>
      <c r="F552" s="276"/>
      <c r="G552" s="276"/>
      <c r="H552" s="275"/>
      <c r="I552" s="275"/>
      <c r="J552" s="275"/>
      <c r="K552" s="275"/>
      <c r="L552" s="275"/>
      <c r="M552" s="275"/>
      <c r="N552" s="275"/>
    </row>
    <row r="553" spans="1:14">
      <c r="A553" s="274"/>
      <c r="B553" s="275"/>
      <c r="C553" s="276"/>
      <c r="D553" s="276"/>
      <c r="E553" s="276"/>
      <c r="F553" s="277"/>
      <c r="G553" s="276"/>
      <c r="H553" s="275"/>
      <c r="I553" s="275"/>
      <c r="J553" s="275"/>
      <c r="K553" s="275"/>
      <c r="L553" s="275"/>
      <c r="M553" s="275"/>
      <c r="N553" s="275"/>
    </row>
    <row r="554" spans="1:14">
      <c r="A554" s="274"/>
      <c r="B554" s="275"/>
      <c r="C554" s="276"/>
      <c r="D554" s="276"/>
      <c r="E554" s="276"/>
      <c r="F554" s="263"/>
      <c r="G554" s="276"/>
      <c r="H554" s="275"/>
      <c r="I554" s="275"/>
      <c r="J554" s="275"/>
      <c r="K554" s="275"/>
      <c r="L554" s="275"/>
      <c r="M554" s="275"/>
      <c r="N554" s="275"/>
    </row>
    <row r="555" spans="1:14">
      <c r="A555" s="274"/>
      <c r="B555" s="275"/>
      <c r="C555" s="276"/>
      <c r="D555" s="276"/>
      <c r="E555" s="276"/>
      <c r="F555" s="277"/>
      <c r="G555" s="276"/>
      <c r="H555" s="275"/>
      <c r="I555" s="275"/>
      <c r="J555" s="275"/>
      <c r="K555" s="275"/>
      <c r="L555" s="275"/>
      <c r="M555" s="275"/>
      <c r="N555" s="275"/>
    </row>
    <row r="556" spans="1:14">
      <c r="A556" s="274"/>
      <c r="B556" s="275"/>
      <c r="C556" s="276"/>
      <c r="D556" s="276"/>
      <c r="E556" s="276"/>
      <c r="F556" s="277"/>
      <c r="G556" s="276"/>
      <c r="H556" s="275"/>
      <c r="I556" s="275"/>
      <c r="J556" s="275"/>
      <c r="K556" s="275"/>
      <c r="L556" s="275"/>
      <c r="M556" s="275"/>
      <c r="N556" s="275"/>
    </row>
    <row r="557" spans="1:14">
      <c r="A557" s="274"/>
      <c r="B557" s="275"/>
      <c r="C557" s="276"/>
      <c r="D557" s="276"/>
      <c r="E557" s="276"/>
      <c r="F557" s="277"/>
      <c r="G557" s="276"/>
      <c r="H557" s="275"/>
      <c r="I557" s="275"/>
      <c r="J557" s="275"/>
      <c r="K557" s="275"/>
      <c r="L557" s="275"/>
      <c r="M557" s="275"/>
      <c r="N557" s="275"/>
    </row>
    <row r="558" spans="1:14">
      <c r="A558" s="274"/>
      <c r="B558" s="275"/>
      <c r="C558" s="276"/>
      <c r="D558" s="276"/>
      <c r="E558" s="276"/>
      <c r="F558" s="277"/>
      <c r="G558" s="276"/>
      <c r="H558" s="275"/>
      <c r="I558" s="275"/>
      <c r="J558" s="275"/>
      <c r="K558" s="275"/>
      <c r="L558" s="275"/>
      <c r="M558" s="275"/>
      <c r="N558" s="275"/>
    </row>
    <row r="559" spans="1:14">
      <c r="A559" s="274"/>
      <c r="B559" s="275"/>
      <c r="C559" s="276"/>
      <c r="D559" s="276"/>
      <c r="E559" s="276"/>
      <c r="F559" s="277"/>
      <c r="G559" s="276"/>
      <c r="H559" s="275"/>
      <c r="I559" s="275"/>
      <c r="J559" s="275"/>
      <c r="K559" s="275"/>
      <c r="L559" s="275"/>
      <c r="M559" s="275"/>
      <c r="N559" s="275"/>
    </row>
    <row r="560" spans="1:14">
      <c r="A560" s="274"/>
      <c r="B560" s="275"/>
      <c r="C560" s="276"/>
      <c r="D560" s="276"/>
      <c r="E560" s="276"/>
      <c r="F560" s="263"/>
      <c r="G560" s="276"/>
      <c r="H560" s="275"/>
      <c r="I560" s="275"/>
      <c r="J560" s="275"/>
      <c r="K560" s="275"/>
      <c r="L560" s="275"/>
      <c r="M560" s="275"/>
      <c r="N560" s="275"/>
    </row>
    <row r="561" spans="1:14">
      <c r="A561" s="274"/>
      <c r="B561" s="275"/>
      <c r="C561" s="276"/>
      <c r="D561" s="276"/>
      <c r="E561" s="276"/>
      <c r="F561" s="263"/>
      <c r="G561" s="276"/>
      <c r="H561" s="275"/>
      <c r="I561" s="275"/>
      <c r="J561" s="275"/>
      <c r="K561" s="275"/>
      <c r="L561" s="275"/>
      <c r="M561" s="275"/>
      <c r="N561" s="275"/>
    </row>
    <row r="562" spans="1:14">
      <c r="A562" s="274"/>
      <c r="B562" s="275"/>
      <c r="C562" s="276"/>
      <c r="D562" s="276"/>
      <c r="E562" s="276"/>
      <c r="F562" s="263"/>
      <c r="G562" s="276"/>
      <c r="H562" s="275"/>
      <c r="I562" s="275"/>
      <c r="J562" s="275"/>
      <c r="K562" s="275"/>
      <c r="L562" s="275"/>
      <c r="M562" s="275"/>
      <c r="N562" s="275"/>
    </row>
    <row r="563" spans="1:14">
      <c r="A563" s="274"/>
      <c r="B563" s="275"/>
      <c r="C563" s="276"/>
      <c r="D563" s="276"/>
      <c r="E563" s="276"/>
      <c r="F563" s="277"/>
      <c r="G563" s="276"/>
      <c r="H563" s="275"/>
      <c r="I563" s="275"/>
      <c r="J563" s="275"/>
      <c r="K563" s="275"/>
      <c r="L563" s="275"/>
      <c r="M563" s="275"/>
      <c r="N563" s="275"/>
    </row>
    <row r="564" spans="1:14">
      <c r="A564" s="274"/>
      <c r="B564" s="275"/>
      <c r="C564" s="276"/>
      <c r="D564" s="276"/>
      <c r="E564" s="276"/>
      <c r="F564" s="276"/>
      <c r="G564" s="276"/>
      <c r="H564" s="275"/>
      <c r="I564" s="275"/>
      <c r="J564" s="275"/>
      <c r="K564" s="275"/>
      <c r="L564" s="275"/>
      <c r="M564" s="275"/>
      <c r="N564" s="275"/>
    </row>
    <row r="565" spans="1:14">
      <c r="A565" s="274"/>
      <c r="B565" s="275"/>
      <c r="C565" s="276"/>
      <c r="D565" s="276"/>
      <c r="E565" s="276"/>
      <c r="F565" s="276"/>
      <c r="G565" s="276"/>
      <c r="H565" s="275"/>
      <c r="I565" s="275"/>
      <c r="J565" s="275"/>
      <c r="K565" s="275"/>
      <c r="L565" s="275"/>
      <c r="M565" s="275"/>
      <c r="N565" s="275"/>
    </row>
    <row r="566" spans="1:14">
      <c r="A566" s="274"/>
      <c r="B566" s="275"/>
      <c r="C566" s="276"/>
      <c r="D566" s="276"/>
      <c r="E566" s="276"/>
      <c r="F566" s="276"/>
      <c r="G566" s="276"/>
      <c r="H566" s="275"/>
      <c r="I566" s="275"/>
      <c r="J566" s="275"/>
      <c r="K566" s="275"/>
      <c r="L566" s="275"/>
      <c r="M566" s="275"/>
      <c r="N566" s="275"/>
    </row>
    <row r="567" spans="1:14">
      <c r="A567" s="274"/>
      <c r="B567" s="275"/>
      <c r="C567" s="276"/>
      <c r="D567" s="276"/>
      <c r="E567" s="276"/>
      <c r="F567" s="276"/>
      <c r="G567" s="276"/>
      <c r="H567" s="275"/>
      <c r="I567" s="275"/>
      <c r="J567" s="275"/>
      <c r="K567" s="275"/>
      <c r="L567" s="275"/>
      <c r="M567" s="275"/>
      <c r="N567" s="275"/>
    </row>
    <row r="568" spans="1:14">
      <c r="A568" s="274"/>
      <c r="B568" s="275"/>
      <c r="C568" s="276"/>
      <c r="D568" s="276"/>
      <c r="E568" s="276"/>
      <c r="F568" s="276"/>
      <c r="G568" s="276"/>
      <c r="H568" s="275"/>
      <c r="I568" s="275"/>
      <c r="J568" s="275"/>
      <c r="K568" s="275"/>
      <c r="L568" s="275"/>
      <c r="M568" s="275"/>
      <c r="N568" s="275"/>
    </row>
    <row r="569" spans="1:14">
      <c r="A569" s="274"/>
      <c r="B569" s="275"/>
      <c r="C569" s="276"/>
      <c r="D569" s="276"/>
      <c r="E569" s="276"/>
      <c r="F569" s="276"/>
      <c r="G569" s="276"/>
      <c r="H569" s="275"/>
      <c r="I569" s="275"/>
      <c r="J569" s="275"/>
      <c r="K569" s="275"/>
      <c r="L569" s="275"/>
      <c r="M569" s="275"/>
      <c r="N569" s="275"/>
    </row>
    <row r="570" spans="1:14">
      <c r="A570" s="274"/>
      <c r="B570" s="275"/>
      <c r="C570" s="276"/>
      <c r="D570" s="276"/>
      <c r="E570" s="276"/>
      <c r="F570" s="276"/>
      <c r="G570" s="276"/>
      <c r="H570" s="275"/>
      <c r="I570" s="275"/>
      <c r="J570" s="275"/>
      <c r="K570" s="275"/>
      <c r="L570" s="275"/>
      <c r="M570" s="275"/>
      <c r="N570" s="275"/>
    </row>
    <row r="571" spans="1:14">
      <c r="A571" s="274"/>
      <c r="B571" s="275"/>
      <c r="C571" s="276"/>
      <c r="D571" s="276"/>
      <c r="E571" s="276"/>
      <c r="F571" s="276"/>
      <c r="G571" s="276"/>
      <c r="H571" s="275"/>
      <c r="I571" s="275"/>
      <c r="J571" s="275"/>
      <c r="K571" s="275"/>
      <c r="L571" s="275"/>
      <c r="M571" s="275"/>
      <c r="N571" s="275"/>
    </row>
    <row r="572" spans="1:14">
      <c r="A572" s="274"/>
      <c r="B572" s="275"/>
      <c r="C572" s="276"/>
      <c r="D572" s="276"/>
      <c r="E572" s="276"/>
      <c r="F572" s="276"/>
      <c r="G572" s="276"/>
      <c r="H572" s="275"/>
      <c r="I572" s="275"/>
      <c r="J572" s="275"/>
      <c r="K572" s="275"/>
      <c r="L572" s="275"/>
      <c r="M572" s="275"/>
      <c r="N572" s="275"/>
    </row>
    <row r="573" spans="1:14">
      <c r="A573" s="274"/>
      <c r="B573" s="275"/>
      <c r="C573" s="276"/>
      <c r="D573" s="276"/>
      <c r="E573" s="276"/>
      <c r="F573" s="276"/>
      <c r="G573" s="276"/>
      <c r="H573" s="275"/>
      <c r="I573" s="275"/>
      <c r="J573" s="275"/>
      <c r="K573" s="275"/>
      <c r="L573" s="275"/>
      <c r="M573" s="275"/>
      <c r="N573" s="275"/>
    </row>
    <row r="574" spans="1:14">
      <c r="A574" s="274"/>
      <c r="B574" s="275"/>
      <c r="C574" s="276"/>
      <c r="D574" s="276"/>
      <c r="E574" s="276"/>
      <c r="F574" s="276"/>
      <c r="G574" s="276"/>
      <c r="H574" s="275"/>
      <c r="I574" s="275"/>
      <c r="J574" s="275"/>
      <c r="K574" s="275"/>
      <c r="L574" s="275"/>
      <c r="M574" s="275"/>
      <c r="N574" s="275"/>
    </row>
    <row r="575" spans="1:14">
      <c r="A575" s="274"/>
      <c r="B575" s="275"/>
      <c r="C575" s="276"/>
      <c r="D575" s="276"/>
      <c r="E575" s="276"/>
      <c r="F575" s="276"/>
      <c r="G575" s="276"/>
      <c r="H575" s="275"/>
      <c r="I575" s="275"/>
      <c r="J575" s="275"/>
      <c r="K575" s="275"/>
      <c r="L575" s="275"/>
      <c r="M575" s="275"/>
      <c r="N575" s="275"/>
    </row>
    <row r="576" spans="1:14">
      <c r="A576" s="274"/>
      <c r="B576" s="275"/>
      <c r="C576" s="276"/>
      <c r="D576" s="276"/>
      <c r="E576" s="276"/>
      <c r="F576" s="276"/>
      <c r="G576" s="276"/>
      <c r="H576" s="275"/>
      <c r="I576" s="275"/>
      <c r="J576" s="275"/>
      <c r="K576" s="275"/>
      <c r="L576" s="275"/>
      <c r="M576" s="275"/>
      <c r="N576" s="275"/>
    </row>
    <row r="577" spans="1:14">
      <c r="A577" s="274"/>
      <c r="B577" s="275"/>
      <c r="C577" s="276"/>
      <c r="D577" s="276"/>
      <c r="E577" s="276"/>
      <c r="F577" s="276"/>
      <c r="G577" s="276"/>
      <c r="H577" s="275"/>
      <c r="I577" s="275"/>
      <c r="J577" s="275"/>
      <c r="K577" s="275"/>
      <c r="L577" s="275"/>
      <c r="M577" s="275"/>
      <c r="N577" s="275"/>
    </row>
    <row r="578" spans="1:14">
      <c r="A578" s="274"/>
      <c r="B578" s="275"/>
      <c r="C578" s="276"/>
      <c r="D578" s="276"/>
      <c r="E578" s="276"/>
      <c r="F578" s="276"/>
      <c r="G578" s="276"/>
      <c r="H578" s="275"/>
      <c r="I578" s="275"/>
      <c r="J578" s="275"/>
      <c r="K578" s="275"/>
      <c r="L578" s="275"/>
      <c r="M578" s="275"/>
      <c r="N578" s="275"/>
    </row>
    <row r="579" spans="1:14">
      <c r="A579" s="274"/>
      <c r="B579" s="275"/>
      <c r="C579" s="276"/>
      <c r="D579" s="276"/>
      <c r="E579" s="276"/>
      <c r="F579" s="277"/>
      <c r="G579" s="276"/>
      <c r="H579" s="275"/>
      <c r="I579" s="275"/>
      <c r="J579" s="275"/>
      <c r="K579" s="275"/>
      <c r="L579" s="275"/>
      <c r="M579" s="275"/>
      <c r="N579" s="275"/>
    </row>
    <row r="580" spans="1:14">
      <c r="A580" s="274"/>
      <c r="B580" s="275"/>
      <c r="C580" s="276"/>
      <c r="D580" s="276"/>
      <c r="E580" s="276"/>
      <c r="F580" s="277"/>
      <c r="G580" s="276"/>
      <c r="H580" s="275"/>
      <c r="I580" s="275"/>
      <c r="J580" s="275"/>
      <c r="K580" s="275"/>
      <c r="L580" s="275"/>
      <c r="M580" s="275"/>
      <c r="N580" s="275"/>
    </row>
    <row r="581" spans="1:14">
      <c r="A581" s="274"/>
      <c r="B581" s="275"/>
      <c r="C581" s="276"/>
      <c r="D581" s="276"/>
      <c r="E581" s="276"/>
      <c r="F581" s="276"/>
      <c r="G581" s="276"/>
      <c r="H581" s="275"/>
      <c r="I581" s="275"/>
      <c r="J581" s="275"/>
      <c r="K581" s="275"/>
      <c r="L581" s="275"/>
      <c r="M581" s="275"/>
      <c r="N581" s="275"/>
    </row>
    <row r="582" spans="1:14">
      <c r="A582" s="274"/>
      <c r="B582" s="275"/>
      <c r="C582" s="276"/>
      <c r="D582" s="276"/>
      <c r="E582" s="276"/>
      <c r="F582" s="276"/>
      <c r="G582" s="276"/>
      <c r="H582" s="275"/>
      <c r="I582" s="275"/>
      <c r="J582" s="275"/>
      <c r="K582" s="275"/>
      <c r="L582" s="275"/>
      <c r="M582" s="275"/>
      <c r="N582" s="275"/>
    </row>
    <row r="583" spans="1:14">
      <c r="A583" s="274"/>
      <c r="B583" s="275"/>
      <c r="C583" s="276"/>
      <c r="D583" s="276"/>
      <c r="E583" s="276"/>
      <c r="F583" s="276"/>
      <c r="G583" s="276"/>
      <c r="H583" s="275"/>
      <c r="I583" s="275"/>
      <c r="J583" s="275"/>
      <c r="K583" s="275"/>
      <c r="L583" s="275"/>
      <c r="M583" s="275"/>
      <c r="N583" s="275"/>
    </row>
    <row r="584" spans="1:14">
      <c r="A584" s="274"/>
      <c r="B584" s="275"/>
      <c r="C584" s="276"/>
      <c r="D584" s="276"/>
      <c r="E584" s="276"/>
      <c r="F584" s="276"/>
      <c r="G584" s="276"/>
      <c r="H584" s="275"/>
      <c r="I584" s="275"/>
      <c r="J584" s="275"/>
      <c r="K584" s="275"/>
      <c r="L584" s="275"/>
      <c r="M584" s="275"/>
      <c r="N584" s="275"/>
    </row>
    <row r="585" spans="1:14">
      <c r="A585" s="274"/>
      <c r="B585" s="275"/>
      <c r="C585" s="276"/>
      <c r="D585" s="276"/>
      <c r="E585" s="276"/>
      <c r="F585" s="276"/>
      <c r="G585" s="276"/>
      <c r="H585" s="275"/>
      <c r="I585" s="275"/>
      <c r="J585" s="275"/>
      <c r="K585" s="275"/>
      <c r="L585" s="275"/>
      <c r="M585" s="275"/>
      <c r="N585" s="275"/>
    </row>
    <row r="586" spans="1:14">
      <c r="A586" s="274"/>
      <c r="B586" s="275"/>
      <c r="C586" s="276"/>
      <c r="D586" s="276"/>
      <c r="E586" s="276"/>
      <c r="F586" s="276"/>
      <c r="G586" s="276"/>
      <c r="H586" s="275"/>
      <c r="I586" s="275"/>
      <c r="J586" s="275"/>
      <c r="K586" s="275"/>
      <c r="L586" s="275"/>
      <c r="M586" s="275"/>
      <c r="N586" s="275"/>
    </row>
    <row r="587" spans="1:14">
      <c r="A587" s="274"/>
      <c r="B587" s="275"/>
      <c r="C587" s="276"/>
      <c r="D587" s="276"/>
      <c r="E587" s="276"/>
      <c r="F587" s="276"/>
      <c r="G587" s="276"/>
      <c r="H587" s="275"/>
      <c r="I587" s="275"/>
      <c r="J587" s="275"/>
      <c r="K587" s="275"/>
      <c r="L587" s="275"/>
      <c r="M587" s="275"/>
      <c r="N587" s="275"/>
    </row>
    <row r="588" spans="1:14">
      <c r="A588" s="274"/>
      <c r="B588" s="275"/>
      <c r="C588" s="276"/>
      <c r="D588" s="276"/>
      <c r="E588" s="276"/>
      <c r="F588" s="277"/>
      <c r="G588" s="276"/>
      <c r="H588" s="275"/>
      <c r="I588" s="275"/>
      <c r="J588" s="275"/>
      <c r="K588" s="275"/>
      <c r="L588" s="275"/>
      <c r="M588" s="275"/>
      <c r="N588" s="275"/>
    </row>
    <row r="589" spans="1:14">
      <c r="A589" s="274"/>
      <c r="B589" s="275"/>
      <c r="C589" s="276"/>
      <c r="D589" s="276"/>
      <c r="E589" s="276"/>
      <c r="F589" s="276"/>
      <c r="G589" s="276"/>
      <c r="H589" s="275"/>
      <c r="I589" s="275"/>
      <c r="J589" s="275"/>
      <c r="K589" s="275"/>
      <c r="L589" s="275"/>
      <c r="M589" s="275"/>
      <c r="N589" s="275"/>
    </row>
    <row r="590" spans="1:14">
      <c r="A590" s="274"/>
      <c r="B590" s="275"/>
      <c r="C590" s="276"/>
      <c r="D590" s="276"/>
      <c r="E590" s="276"/>
      <c r="F590" s="276"/>
      <c r="G590" s="276"/>
      <c r="H590" s="275"/>
      <c r="I590" s="275"/>
      <c r="J590" s="275"/>
      <c r="K590" s="275"/>
      <c r="L590" s="275"/>
      <c r="M590" s="275"/>
      <c r="N590" s="275"/>
    </row>
    <row r="591" spans="1:14">
      <c r="A591" s="274"/>
      <c r="B591" s="275"/>
      <c r="C591" s="276"/>
      <c r="D591" s="276"/>
      <c r="E591" s="276"/>
      <c r="F591" s="276"/>
      <c r="G591" s="276"/>
      <c r="H591" s="275"/>
      <c r="I591" s="275"/>
      <c r="J591" s="275"/>
      <c r="K591" s="275"/>
      <c r="L591" s="275"/>
      <c r="M591" s="275"/>
      <c r="N591" s="275"/>
    </row>
    <row r="592" spans="1:14">
      <c r="A592" s="274"/>
      <c r="B592" s="275"/>
      <c r="C592" s="276"/>
      <c r="D592" s="276"/>
      <c r="E592" s="276"/>
      <c r="F592" s="276"/>
      <c r="G592" s="276"/>
      <c r="H592" s="275"/>
      <c r="I592" s="275"/>
      <c r="J592" s="275"/>
      <c r="K592" s="275"/>
      <c r="L592" s="275"/>
      <c r="M592" s="275"/>
      <c r="N592" s="275"/>
    </row>
    <row r="593" spans="1:14">
      <c r="A593" s="274"/>
      <c r="B593" s="275"/>
      <c r="C593" s="276"/>
      <c r="D593" s="276"/>
      <c r="E593" s="276"/>
      <c r="F593" s="276"/>
      <c r="G593" s="276"/>
      <c r="H593" s="275"/>
      <c r="I593" s="275"/>
      <c r="J593" s="275"/>
      <c r="K593" s="275"/>
      <c r="L593" s="275"/>
      <c r="M593" s="275"/>
      <c r="N593" s="275"/>
    </row>
    <row r="594" spans="1:14">
      <c r="A594" s="274"/>
      <c r="B594" s="275"/>
      <c r="C594" s="276"/>
      <c r="D594" s="276"/>
      <c r="E594" s="276"/>
      <c r="F594" s="277"/>
      <c r="G594" s="276"/>
      <c r="H594" s="275"/>
      <c r="I594" s="275"/>
      <c r="J594" s="275"/>
      <c r="K594" s="275"/>
      <c r="L594" s="275"/>
      <c r="M594" s="275"/>
      <c r="N594" s="275"/>
    </row>
    <row r="595" spans="1:14">
      <c r="A595" s="274"/>
      <c r="B595" s="275"/>
      <c r="C595" s="276"/>
      <c r="D595" s="276"/>
      <c r="E595" s="276"/>
      <c r="F595" s="277"/>
      <c r="G595" s="276"/>
      <c r="H595" s="275"/>
      <c r="I595" s="275"/>
      <c r="J595" s="275"/>
      <c r="K595" s="275"/>
      <c r="L595" s="275"/>
      <c r="M595" s="275"/>
      <c r="N595" s="275"/>
    </row>
    <row r="596" spans="1:14">
      <c r="A596" s="274"/>
      <c r="B596" s="275"/>
      <c r="C596" s="276"/>
      <c r="D596" s="276"/>
      <c r="E596" s="276"/>
      <c r="F596" s="276"/>
      <c r="G596" s="276"/>
      <c r="H596" s="275"/>
      <c r="I596" s="275"/>
      <c r="J596" s="275"/>
      <c r="K596" s="275"/>
      <c r="L596" s="275"/>
      <c r="M596" s="275"/>
      <c r="N596" s="275"/>
    </row>
    <row r="597" spans="1:14">
      <c r="A597" s="274"/>
      <c r="B597" s="275"/>
      <c r="C597" s="276"/>
      <c r="D597" s="276"/>
      <c r="E597" s="276"/>
      <c r="F597" s="276"/>
      <c r="G597" s="276"/>
      <c r="H597" s="275"/>
      <c r="I597" s="275"/>
      <c r="J597" s="275"/>
      <c r="K597" s="275"/>
      <c r="L597" s="275"/>
      <c r="M597" s="275"/>
      <c r="N597" s="275"/>
    </row>
    <row r="598" spans="1:14">
      <c r="A598" s="274"/>
      <c r="B598" s="275"/>
      <c r="C598" s="276"/>
      <c r="D598" s="276"/>
      <c r="E598" s="276"/>
      <c r="F598" s="276"/>
      <c r="G598" s="276"/>
      <c r="H598" s="275"/>
      <c r="I598" s="275"/>
      <c r="J598" s="275"/>
      <c r="K598" s="275"/>
      <c r="L598" s="275"/>
      <c r="M598" s="275"/>
      <c r="N598" s="275"/>
    </row>
    <row r="599" spans="1:14">
      <c r="A599" s="274"/>
      <c r="B599" s="275"/>
      <c r="C599" s="276"/>
      <c r="D599" s="276"/>
      <c r="E599" s="276"/>
      <c r="F599" s="276"/>
      <c r="G599" s="276"/>
      <c r="H599" s="275"/>
      <c r="I599" s="275"/>
      <c r="J599" s="275"/>
      <c r="K599" s="275"/>
      <c r="L599" s="275"/>
      <c r="M599" s="275"/>
      <c r="N599" s="275"/>
    </row>
    <row r="600" spans="1:14">
      <c r="A600" s="274"/>
      <c r="B600" s="275"/>
      <c r="C600" s="276"/>
      <c r="D600" s="276"/>
      <c r="E600" s="276"/>
      <c r="F600" s="276"/>
      <c r="G600" s="276"/>
      <c r="H600" s="275"/>
      <c r="I600" s="275"/>
      <c r="J600" s="275"/>
      <c r="K600" s="275"/>
      <c r="L600" s="275"/>
      <c r="M600" s="275"/>
      <c r="N600" s="275"/>
    </row>
    <row r="601" spans="1:14">
      <c r="A601" s="274"/>
      <c r="B601" s="275"/>
      <c r="C601" s="276"/>
      <c r="D601" s="276"/>
      <c r="E601" s="276"/>
      <c r="F601" s="276"/>
      <c r="G601" s="276"/>
      <c r="H601" s="275"/>
      <c r="I601" s="275"/>
      <c r="J601" s="275"/>
      <c r="K601" s="275"/>
      <c r="L601" s="275"/>
      <c r="M601" s="275"/>
      <c r="N601" s="275"/>
    </row>
    <row r="602" spans="1:14">
      <c r="A602" s="274"/>
      <c r="B602" s="275"/>
      <c r="C602" s="276"/>
      <c r="D602" s="276"/>
      <c r="E602" s="276"/>
      <c r="F602" s="276"/>
      <c r="G602" s="276"/>
      <c r="H602" s="275"/>
      <c r="I602" s="275"/>
      <c r="J602" s="275"/>
      <c r="K602" s="275"/>
      <c r="L602" s="275"/>
      <c r="M602" s="275"/>
      <c r="N602" s="275"/>
    </row>
    <row r="603" spans="1:14">
      <c r="A603" s="274"/>
      <c r="B603" s="275"/>
      <c r="C603" s="276"/>
      <c r="D603" s="276"/>
      <c r="E603" s="276"/>
      <c r="F603" s="276"/>
      <c r="G603" s="276"/>
      <c r="H603" s="275"/>
      <c r="I603" s="275"/>
      <c r="J603" s="275"/>
      <c r="K603" s="275"/>
      <c r="L603" s="275"/>
      <c r="M603" s="275"/>
      <c r="N603" s="275"/>
    </row>
    <row r="604" spans="1:14">
      <c r="A604" s="274"/>
      <c r="B604" s="275"/>
      <c r="C604" s="276"/>
      <c r="D604" s="276"/>
      <c r="E604" s="276"/>
      <c r="F604" s="276"/>
      <c r="G604" s="276"/>
      <c r="H604" s="275"/>
      <c r="I604" s="275"/>
      <c r="J604" s="275"/>
      <c r="K604" s="275"/>
      <c r="L604" s="275"/>
      <c r="M604" s="275"/>
      <c r="N604" s="275"/>
    </row>
    <row r="605" spans="1:14">
      <c r="A605" s="274"/>
      <c r="B605" s="275"/>
      <c r="C605" s="276"/>
      <c r="D605" s="276"/>
      <c r="E605" s="276"/>
      <c r="F605" s="276"/>
      <c r="G605" s="276"/>
      <c r="H605" s="275"/>
      <c r="I605" s="275"/>
      <c r="J605" s="275"/>
      <c r="K605" s="275"/>
      <c r="L605" s="275"/>
      <c r="M605" s="275"/>
      <c r="N605" s="275"/>
    </row>
    <row r="606" spans="1:14">
      <c r="A606" s="274"/>
      <c r="B606" s="275"/>
      <c r="C606" s="276"/>
      <c r="D606" s="276"/>
      <c r="E606" s="276"/>
      <c r="F606" s="276"/>
      <c r="G606" s="276"/>
      <c r="H606" s="275"/>
      <c r="I606" s="275"/>
      <c r="J606" s="275"/>
      <c r="K606" s="275"/>
      <c r="L606" s="275"/>
      <c r="M606" s="275"/>
      <c r="N606" s="275"/>
    </row>
    <row r="607" spans="1:14">
      <c r="A607" s="274"/>
      <c r="B607" s="275"/>
      <c r="C607" s="276"/>
      <c r="D607" s="276"/>
      <c r="E607" s="276"/>
      <c r="F607" s="277"/>
      <c r="G607" s="276"/>
      <c r="H607" s="275"/>
      <c r="I607" s="275"/>
      <c r="J607" s="275"/>
      <c r="K607" s="275"/>
      <c r="L607" s="275"/>
      <c r="M607" s="275"/>
      <c r="N607" s="275"/>
    </row>
    <row r="608" spans="1:14">
      <c r="A608" s="274"/>
      <c r="B608" s="275"/>
      <c r="C608" s="276"/>
      <c r="D608" s="276"/>
      <c r="E608" s="276"/>
      <c r="F608" s="276"/>
      <c r="G608" s="276"/>
      <c r="H608" s="275"/>
      <c r="I608" s="275"/>
      <c r="J608" s="275"/>
      <c r="K608" s="275"/>
      <c r="L608" s="275"/>
      <c r="M608" s="275"/>
      <c r="N608" s="275"/>
    </row>
    <row r="609" spans="1:14">
      <c r="A609" s="274"/>
      <c r="B609" s="275"/>
      <c r="C609" s="276"/>
      <c r="D609" s="276"/>
      <c r="E609" s="276"/>
      <c r="F609" s="276"/>
      <c r="G609" s="276"/>
      <c r="H609" s="275"/>
      <c r="I609" s="275"/>
      <c r="J609" s="275"/>
      <c r="K609" s="275"/>
      <c r="L609" s="275"/>
      <c r="M609" s="275"/>
      <c r="N609" s="275"/>
    </row>
    <row r="610" spans="1:14">
      <c r="A610" s="274"/>
      <c r="B610" s="275"/>
      <c r="C610" s="276"/>
      <c r="D610" s="276"/>
      <c r="E610" s="276"/>
      <c r="F610" s="276"/>
      <c r="G610" s="276"/>
      <c r="H610" s="275"/>
      <c r="I610" s="275"/>
      <c r="J610" s="275"/>
      <c r="K610" s="275"/>
      <c r="L610" s="275"/>
      <c r="M610" s="275"/>
      <c r="N610" s="275"/>
    </row>
    <row r="611" spans="1:14">
      <c r="A611" s="274"/>
      <c r="B611" s="275"/>
      <c r="C611" s="276"/>
      <c r="D611" s="276"/>
      <c r="E611" s="276"/>
      <c r="F611" s="276"/>
      <c r="G611" s="276"/>
      <c r="H611" s="275"/>
      <c r="I611" s="275"/>
      <c r="J611" s="275"/>
      <c r="K611" s="275"/>
      <c r="L611" s="275"/>
      <c r="M611" s="275"/>
      <c r="N611" s="275"/>
    </row>
    <row r="612" spans="1:14">
      <c r="A612" s="274"/>
      <c r="B612" s="275"/>
      <c r="C612" s="276"/>
      <c r="D612" s="276"/>
      <c r="E612" s="276"/>
      <c r="F612" s="276"/>
      <c r="G612" s="276"/>
      <c r="H612" s="275"/>
      <c r="I612" s="275"/>
      <c r="J612" s="275"/>
      <c r="K612" s="275"/>
      <c r="L612" s="275"/>
      <c r="M612" s="275"/>
      <c r="N612" s="275"/>
    </row>
    <row r="613" spans="1:14">
      <c r="A613" s="274"/>
      <c r="B613" s="275"/>
      <c r="C613" s="276"/>
      <c r="D613" s="276"/>
      <c r="E613" s="276"/>
      <c r="F613" s="276"/>
      <c r="G613" s="276"/>
      <c r="H613" s="275"/>
      <c r="I613" s="275"/>
      <c r="J613" s="275"/>
      <c r="K613" s="275"/>
      <c r="L613" s="275"/>
      <c r="M613" s="275"/>
      <c r="N613" s="275"/>
    </row>
    <row r="614" spans="1:14">
      <c r="A614" s="274"/>
      <c r="B614" s="275"/>
      <c r="C614" s="276"/>
      <c r="D614" s="276"/>
      <c r="E614" s="276"/>
      <c r="F614" s="276"/>
      <c r="G614" s="276"/>
      <c r="H614" s="275"/>
      <c r="I614" s="275"/>
      <c r="J614" s="275"/>
      <c r="K614" s="275"/>
      <c r="L614" s="275"/>
      <c r="M614" s="275"/>
      <c r="N614" s="275"/>
    </row>
    <row r="615" spans="1:14">
      <c r="A615" s="274"/>
      <c r="B615" s="275"/>
      <c r="C615" s="276"/>
      <c r="D615" s="276"/>
      <c r="E615" s="276"/>
      <c r="F615" s="276"/>
      <c r="G615" s="276"/>
      <c r="H615" s="275"/>
      <c r="I615" s="275"/>
      <c r="J615" s="275"/>
      <c r="K615" s="275"/>
      <c r="L615" s="275"/>
      <c r="M615" s="275"/>
      <c r="N615" s="275"/>
    </row>
    <row r="616" spans="1:14">
      <c r="A616" s="274"/>
      <c r="B616" s="275"/>
      <c r="C616" s="276"/>
      <c r="D616" s="276"/>
      <c r="E616" s="276"/>
      <c r="F616" s="276"/>
      <c r="G616" s="276"/>
      <c r="H616" s="275"/>
      <c r="I616" s="275"/>
      <c r="J616" s="275"/>
      <c r="K616" s="275"/>
      <c r="L616" s="275"/>
      <c r="M616" s="275"/>
      <c r="N616" s="275"/>
    </row>
    <row r="617" spans="1:14">
      <c r="A617" s="274"/>
      <c r="B617" s="275"/>
      <c r="C617" s="276"/>
      <c r="D617" s="276"/>
      <c r="E617" s="276"/>
      <c r="F617" s="276"/>
      <c r="G617" s="276"/>
      <c r="H617" s="275"/>
      <c r="I617" s="275"/>
      <c r="J617" s="275"/>
      <c r="K617" s="275"/>
      <c r="L617" s="275"/>
      <c r="M617" s="275"/>
      <c r="N617" s="275"/>
    </row>
    <row r="618" spans="1:14">
      <c r="A618" s="274"/>
      <c r="B618" s="275"/>
      <c r="C618" s="276"/>
      <c r="D618" s="276"/>
      <c r="E618" s="276"/>
      <c r="F618" s="276"/>
      <c r="G618" s="276"/>
      <c r="H618" s="275"/>
      <c r="I618" s="275"/>
      <c r="J618" s="275"/>
      <c r="K618" s="275"/>
      <c r="L618" s="275"/>
      <c r="M618" s="275"/>
      <c r="N618" s="275"/>
    </row>
    <row r="619" spans="1:14">
      <c r="A619" s="274"/>
      <c r="B619" s="275"/>
      <c r="C619" s="276"/>
      <c r="D619" s="276"/>
      <c r="E619" s="276"/>
      <c r="F619" s="276"/>
      <c r="G619" s="276"/>
      <c r="H619" s="275"/>
      <c r="I619" s="275"/>
      <c r="J619" s="275"/>
      <c r="K619" s="275"/>
      <c r="L619" s="275"/>
      <c r="M619" s="275"/>
      <c r="N619" s="275"/>
    </row>
    <row r="620" spans="1:14">
      <c r="A620" s="274"/>
      <c r="B620" s="275"/>
      <c r="C620" s="276"/>
      <c r="D620" s="276"/>
      <c r="E620" s="276"/>
      <c r="F620" s="276"/>
      <c r="G620" s="276"/>
      <c r="H620" s="275"/>
      <c r="I620" s="275"/>
      <c r="J620" s="275"/>
      <c r="K620" s="275"/>
      <c r="L620" s="275"/>
      <c r="M620" s="275"/>
      <c r="N620" s="275"/>
    </row>
    <row r="621" spans="1:14">
      <c r="A621" s="274"/>
      <c r="B621" s="275"/>
      <c r="C621" s="276"/>
      <c r="D621" s="276"/>
      <c r="E621" s="276"/>
      <c r="F621" s="276"/>
      <c r="G621" s="276"/>
      <c r="H621" s="275"/>
      <c r="I621" s="275"/>
      <c r="J621" s="275"/>
      <c r="K621" s="275"/>
      <c r="L621" s="275"/>
      <c r="M621" s="275"/>
      <c r="N621" s="275"/>
    </row>
    <row r="622" spans="1:14">
      <c r="A622" s="274"/>
      <c r="B622" s="275"/>
      <c r="C622" s="276"/>
      <c r="D622" s="276"/>
      <c r="E622" s="276"/>
      <c r="F622" s="276"/>
      <c r="G622" s="276"/>
      <c r="H622" s="275"/>
      <c r="I622" s="275"/>
      <c r="J622" s="275"/>
      <c r="K622" s="275"/>
      <c r="L622" s="275"/>
      <c r="M622" s="275"/>
      <c r="N622" s="275"/>
    </row>
    <row r="623" spans="1:14">
      <c r="A623" s="274"/>
      <c r="B623" s="275"/>
      <c r="C623" s="276"/>
      <c r="D623" s="276"/>
      <c r="E623" s="276"/>
      <c r="F623" s="276"/>
      <c r="G623" s="276"/>
      <c r="H623" s="275"/>
      <c r="I623" s="275"/>
      <c r="J623" s="275"/>
      <c r="K623" s="275"/>
      <c r="L623" s="275"/>
      <c r="M623" s="275"/>
      <c r="N623" s="275"/>
    </row>
    <row r="624" spans="1:14">
      <c r="A624" s="274"/>
      <c r="B624" s="275"/>
      <c r="C624" s="276"/>
      <c r="D624" s="276"/>
      <c r="E624" s="276"/>
      <c r="F624" s="276"/>
      <c r="G624" s="276"/>
      <c r="H624" s="275"/>
      <c r="I624" s="275"/>
      <c r="J624" s="275"/>
      <c r="K624" s="275"/>
      <c r="L624" s="275"/>
      <c r="M624" s="275"/>
      <c r="N624" s="275"/>
    </row>
    <row r="625" spans="1:14">
      <c r="A625" s="274"/>
      <c r="B625" s="275"/>
      <c r="C625" s="276"/>
      <c r="D625" s="276"/>
      <c r="E625" s="276"/>
      <c r="F625" s="276"/>
      <c r="G625" s="276"/>
      <c r="H625" s="275"/>
      <c r="I625" s="275"/>
      <c r="J625" s="275"/>
      <c r="K625" s="275"/>
      <c r="L625" s="275"/>
      <c r="M625" s="275"/>
      <c r="N625" s="275"/>
    </row>
    <row r="626" spans="1:14">
      <c r="A626" s="274"/>
      <c r="B626" s="275"/>
      <c r="C626" s="276"/>
      <c r="D626" s="276"/>
      <c r="E626" s="276"/>
      <c r="F626" s="276"/>
      <c r="G626" s="276"/>
      <c r="H626" s="275"/>
      <c r="I626" s="275"/>
      <c r="J626" s="275"/>
      <c r="K626" s="275"/>
      <c r="L626" s="275"/>
      <c r="M626" s="275"/>
      <c r="N626" s="275"/>
    </row>
    <row r="627" spans="1:14">
      <c r="A627" s="274"/>
      <c r="B627" s="275"/>
      <c r="C627" s="276"/>
      <c r="D627" s="276"/>
      <c r="E627" s="276"/>
      <c r="F627" s="276"/>
      <c r="G627" s="276"/>
      <c r="H627" s="275"/>
      <c r="I627" s="275"/>
      <c r="J627" s="275"/>
      <c r="K627" s="275"/>
      <c r="L627" s="275"/>
      <c r="M627" s="275"/>
      <c r="N627" s="275"/>
    </row>
    <row r="628" spans="1:14">
      <c r="A628" s="274"/>
      <c r="B628" s="275"/>
      <c r="C628" s="276"/>
      <c r="D628" s="276"/>
      <c r="E628" s="276"/>
      <c r="F628" s="276"/>
      <c r="G628" s="276"/>
      <c r="H628" s="275"/>
      <c r="I628" s="275"/>
      <c r="J628" s="275"/>
      <c r="K628" s="275"/>
      <c r="L628" s="275"/>
      <c r="M628" s="275"/>
      <c r="N628" s="275"/>
    </row>
    <row r="629" spans="1:14">
      <c r="A629" s="274"/>
      <c r="B629" s="275"/>
      <c r="C629" s="276"/>
      <c r="D629" s="276"/>
      <c r="E629" s="276"/>
      <c r="F629" s="276"/>
      <c r="G629" s="276"/>
      <c r="H629" s="275"/>
      <c r="I629" s="275"/>
      <c r="J629" s="275"/>
      <c r="K629" s="275"/>
      <c r="L629" s="275"/>
      <c r="M629" s="275"/>
      <c r="N629" s="275"/>
    </row>
    <row r="630" spans="1:14">
      <c r="A630" s="274"/>
      <c r="B630" s="275"/>
      <c r="C630" s="276"/>
      <c r="D630" s="276"/>
      <c r="E630" s="276"/>
      <c r="F630" s="276"/>
      <c r="G630" s="276"/>
      <c r="H630" s="275"/>
      <c r="I630" s="275"/>
      <c r="J630" s="275"/>
      <c r="K630" s="275"/>
      <c r="L630" s="275"/>
      <c r="M630" s="275"/>
      <c r="N630" s="275"/>
    </row>
    <row r="631" spans="1:14">
      <c r="A631" s="274"/>
      <c r="B631" s="275"/>
      <c r="C631" s="276"/>
      <c r="D631" s="276"/>
      <c r="E631" s="276"/>
      <c r="F631" s="276"/>
      <c r="G631" s="276"/>
      <c r="H631" s="275"/>
      <c r="I631" s="275"/>
      <c r="J631" s="275"/>
      <c r="K631" s="275"/>
      <c r="L631" s="275"/>
      <c r="M631" s="275"/>
      <c r="N631" s="275"/>
    </row>
    <row r="632" spans="1:14">
      <c r="A632" s="274"/>
      <c r="B632" s="275"/>
      <c r="C632" s="276"/>
      <c r="D632" s="276"/>
      <c r="E632" s="276"/>
      <c r="F632" s="276"/>
      <c r="G632" s="276"/>
      <c r="H632" s="275"/>
      <c r="I632" s="275"/>
      <c r="J632" s="275"/>
      <c r="K632" s="275"/>
      <c r="L632" s="275"/>
      <c r="M632" s="275"/>
      <c r="N632" s="275"/>
    </row>
    <row r="633" spans="1:14">
      <c r="A633" s="274"/>
      <c r="B633" s="275"/>
      <c r="C633" s="276"/>
      <c r="D633" s="276"/>
      <c r="E633" s="276"/>
      <c r="F633" s="276"/>
      <c r="G633" s="276"/>
      <c r="H633" s="275"/>
      <c r="I633" s="275"/>
      <c r="J633" s="275"/>
      <c r="K633" s="275"/>
      <c r="L633" s="275"/>
      <c r="M633" s="275"/>
      <c r="N633" s="275"/>
    </row>
    <row r="634" spans="1:14">
      <c r="A634" s="274"/>
      <c r="B634" s="275"/>
      <c r="C634" s="276"/>
      <c r="D634" s="276"/>
      <c r="E634" s="276"/>
      <c r="F634" s="276"/>
      <c r="G634" s="276"/>
      <c r="H634" s="275"/>
      <c r="I634" s="275"/>
      <c r="J634" s="275"/>
      <c r="K634" s="275"/>
      <c r="L634" s="275"/>
      <c r="M634" s="275"/>
      <c r="N634" s="275"/>
    </row>
    <row r="635" spans="1:14">
      <c r="A635" s="274"/>
      <c r="B635" s="275"/>
      <c r="C635" s="276"/>
      <c r="D635" s="276"/>
      <c r="E635" s="276"/>
      <c r="F635" s="276"/>
      <c r="G635" s="276"/>
      <c r="H635" s="275"/>
      <c r="I635" s="275"/>
      <c r="J635" s="275"/>
      <c r="K635" s="275"/>
      <c r="L635" s="275"/>
      <c r="M635" s="275"/>
      <c r="N635" s="275"/>
    </row>
    <row r="636" spans="1:14">
      <c r="A636" s="274"/>
      <c r="B636" s="275"/>
      <c r="C636" s="276"/>
      <c r="D636" s="276"/>
      <c r="E636" s="276"/>
      <c r="F636" s="276"/>
      <c r="G636" s="276"/>
      <c r="H636" s="275"/>
      <c r="I636" s="275"/>
      <c r="J636" s="275"/>
      <c r="K636" s="275"/>
      <c r="L636" s="275"/>
      <c r="M636" s="275"/>
      <c r="N636" s="275"/>
    </row>
    <row r="637" spans="1:14">
      <c r="A637" s="274"/>
      <c r="B637" s="275"/>
      <c r="C637" s="276"/>
      <c r="D637" s="276"/>
      <c r="E637" s="276"/>
      <c r="F637" s="276"/>
      <c r="G637" s="276"/>
      <c r="H637" s="275"/>
      <c r="I637" s="275"/>
      <c r="J637" s="275"/>
      <c r="K637" s="275"/>
      <c r="L637" s="275"/>
      <c r="M637" s="275"/>
      <c r="N637" s="275"/>
    </row>
    <row r="638" spans="1:14">
      <c r="A638" s="274"/>
      <c r="B638" s="275"/>
      <c r="C638" s="276"/>
      <c r="D638" s="276"/>
      <c r="E638" s="276"/>
      <c r="F638" s="276"/>
      <c r="G638" s="276"/>
      <c r="H638" s="275"/>
      <c r="I638" s="275"/>
      <c r="J638" s="275"/>
      <c r="K638" s="275"/>
      <c r="L638" s="275"/>
      <c r="M638" s="275"/>
      <c r="N638" s="275"/>
    </row>
    <row r="639" spans="1:14">
      <c r="A639" s="274"/>
      <c r="B639" s="275"/>
      <c r="C639" s="276"/>
      <c r="D639" s="276"/>
      <c r="E639" s="276"/>
      <c r="F639" s="276"/>
      <c r="G639" s="276"/>
      <c r="H639" s="275"/>
      <c r="I639" s="275"/>
      <c r="J639" s="275"/>
      <c r="K639" s="275"/>
      <c r="L639" s="275"/>
      <c r="M639" s="275"/>
      <c r="N639" s="275"/>
    </row>
    <row r="640" spans="1:14">
      <c r="A640" s="274"/>
      <c r="B640" s="275"/>
      <c r="C640" s="276"/>
      <c r="D640" s="276"/>
      <c r="E640" s="276"/>
      <c r="F640" s="276"/>
      <c r="G640" s="276"/>
      <c r="H640" s="275"/>
      <c r="I640" s="275"/>
      <c r="J640" s="275"/>
      <c r="K640" s="275"/>
      <c r="L640" s="275"/>
      <c r="M640" s="275"/>
      <c r="N640" s="275"/>
    </row>
    <row r="641" spans="1:14">
      <c r="A641" s="274"/>
      <c r="B641" s="275"/>
      <c r="C641" s="276"/>
      <c r="D641" s="276"/>
      <c r="E641" s="276"/>
      <c r="F641" s="276"/>
      <c r="G641" s="276"/>
      <c r="H641" s="275"/>
      <c r="I641" s="275"/>
      <c r="J641" s="275"/>
      <c r="K641" s="275"/>
      <c r="L641" s="275"/>
      <c r="M641" s="275"/>
      <c r="N641" s="275"/>
    </row>
    <row r="642" spans="1:14">
      <c r="A642" s="274"/>
      <c r="B642" s="275"/>
      <c r="C642" s="276"/>
      <c r="D642" s="276"/>
      <c r="E642" s="276"/>
      <c r="F642" s="276"/>
      <c r="G642" s="276"/>
      <c r="H642" s="275"/>
      <c r="I642" s="275"/>
      <c r="J642" s="275"/>
      <c r="K642" s="275"/>
      <c r="L642" s="275"/>
      <c r="M642" s="275"/>
      <c r="N642" s="275"/>
    </row>
    <row r="643" spans="1:14">
      <c r="A643" s="274"/>
      <c r="B643" s="275"/>
      <c r="C643" s="276"/>
      <c r="D643" s="276"/>
      <c r="E643" s="276"/>
      <c r="F643" s="276"/>
      <c r="G643" s="276"/>
      <c r="H643" s="275"/>
      <c r="I643" s="275"/>
      <c r="J643" s="275"/>
      <c r="K643" s="275"/>
      <c r="L643" s="275"/>
      <c r="M643" s="275"/>
      <c r="N643" s="275"/>
    </row>
    <row r="644" spans="1:14">
      <c r="A644" s="274"/>
      <c r="B644" s="275"/>
      <c r="C644" s="276"/>
      <c r="D644" s="276"/>
      <c r="E644" s="276"/>
      <c r="F644" s="276"/>
      <c r="G644" s="276"/>
      <c r="H644" s="275"/>
      <c r="I644" s="275"/>
      <c r="J644" s="275"/>
      <c r="K644" s="275"/>
      <c r="L644" s="275"/>
      <c r="M644" s="275"/>
      <c r="N644" s="275"/>
    </row>
    <row r="645" spans="1:14">
      <c r="A645" s="274"/>
      <c r="B645" s="275"/>
      <c r="C645" s="276"/>
      <c r="D645" s="276"/>
      <c r="E645" s="276"/>
      <c r="F645" s="276"/>
      <c r="G645" s="276"/>
      <c r="H645" s="275"/>
      <c r="I645" s="275"/>
      <c r="J645" s="275"/>
      <c r="K645" s="275"/>
      <c r="L645" s="275"/>
      <c r="M645" s="275"/>
      <c r="N645" s="275"/>
    </row>
    <row r="646" spans="1:14">
      <c r="A646" s="274"/>
      <c r="B646" s="275"/>
      <c r="C646" s="276"/>
      <c r="D646" s="276"/>
      <c r="E646" s="276"/>
      <c r="F646" s="276"/>
      <c r="G646" s="276"/>
      <c r="H646" s="275"/>
      <c r="I646" s="275"/>
      <c r="J646" s="275"/>
      <c r="K646" s="275"/>
      <c r="L646" s="275"/>
      <c r="M646" s="275"/>
      <c r="N646" s="275"/>
    </row>
    <row r="647" spans="1:14">
      <c r="A647" s="274"/>
      <c r="B647" s="275"/>
      <c r="C647" s="276"/>
      <c r="D647" s="276"/>
      <c r="E647" s="276"/>
      <c r="F647" s="276"/>
      <c r="G647" s="276"/>
      <c r="H647" s="275"/>
      <c r="I647" s="275"/>
      <c r="J647" s="275"/>
      <c r="K647" s="275"/>
      <c r="L647" s="275"/>
      <c r="M647" s="275"/>
      <c r="N647" s="275"/>
    </row>
    <row r="648" spans="1:14">
      <c r="A648" s="274"/>
      <c r="B648" s="275"/>
      <c r="C648" s="276"/>
      <c r="D648" s="276"/>
      <c r="E648" s="276"/>
      <c r="F648" s="276"/>
      <c r="G648" s="276"/>
      <c r="H648" s="275"/>
      <c r="I648" s="275"/>
      <c r="J648" s="275"/>
      <c r="K648" s="275"/>
      <c r="L648" s="275"/>
      <c r="M648" s="275"/>
      <c r="N648" s="275"/>
    </row>
    <row r="649" spans="1:14">
      <c r="A649" s="274"/>
      <c r="B649" s="275"/>
      <c r="C649" s="276"/>
      <c r="D649" s="276"/>
      <c r="E649" s="276"/>
      <c r="F649" s="276"/>
      <c r="G649" s="276"/>
      <c r="H649" s="275"/>
      <c r="I649" s="275"/>
      <c r="J649" s="275"/>
      <c r="K649" s="275"/>
      <c r="L649" s="275"/>
      <c r="M649" s="275"/>
      <c r="N649" s="275"/>
    </row>
    <row r="650" spans="1:14">
      <c r="A650" s="274"/>
      <c r="B650" s="275"/>
      <c r="C650" s="276"/>
      <c r="D650" s="276"/>
      <c r="E650" s="276"/>
      <c r="F650" s="276"/>
      <c r="G650" s="276"/>
      <c r="H650" s="275"/>
      <c r="I650" s="275"/>
      <c r="J650" s="275"/>
      <c r="K650" s="275"/>
      <c r="L650" s="275"/>
      <c r="M650" s="275"/>
      <c r="N650" s="275"/>
    </row>
    <row r="651" spans="1:14">
      <c r="A651" s="274"/>
      <c r="B651" s="275"/>
      <c r="C651" s="276"/>
      <c r="D651" s="276"/>
      <c r="E651" s="276"/>
      <c r="F651" s="276"/>
      <c r="G651" s="276"/>
      <c r="H651" s="275"/>
      <c r="I651" s="275"/>
      <c r="J651" s="275"/>
      <c r="K651" s="275"/>
      <c r="L651" s="275"/>
      <c r="M651" s="275"/>
      <c r="N651" s="275"/>
    </row>
    <row r="652" spans="1:14">
      <c r="A652" s="274"/>
      <c r="B652" s="275"/>
      <c r="C652" s="276"/>
      <c r="D652" s="276"/>
      <c r="E652" s="276"/>
      <c r="F652" s="276"/>
      <c r="G652" s="276"/>
      <c r="H652" s="275"/>
      <c r="I652" s="275"/>
      <c r="J652" s="275"/>
      <c r="K652" s="275"/>
      <c r="L652" s="275"/>
      <c r="M652" s="275"/>
      <c r="N652" s="275"/>
    </row>
    <row r="653" spans="1:14">
      <c r="A653" s="274"/>
      <c r="B653" s="275"/>
      <c r="C653" s="276"/>
      <c r="D653" s="276"/>
      <c r="E653" s="276"/>
      <c r="F653" s="276"/>
      <c r="G653" s="276"/>
      <c r="H653" s="275"/>
      <c r="I653" s="275"/>
      <c r="J653" s="275"/>
      <c r="K653" s="275"/>
      <c r="L653" s="275"/>
      <c r="M653" s="275"/>
      <c r="N653" s="275"/>
    </row>
    <row r="654" spans="1:14">
      <c r="A654" s="274"/>
      <c r="B654" s="275"/>
      <c r="C654" s="276"/>
      <c r="D654" s="276"/>
      <c r="E654" s="276"/>
      <c r="F654" s="276"/>
      <c r="G654" s="276"/>
      <c r="H654" s="275"/>
      <c r="I654" s="275"/>
      <c r="J654" s="275"/>
      <c r="K654" s="275"/>
      <c r="L654" s="275"/>
      <c r="M654" s="275"/>
      <c r="N654" s="275"/>
    </row>
    <row r="655" spans="1:14">
      <c r="A655" s="274"/>
      <c r="B655" s="275"/>
      <c r="C655" s="276"/>
      <c r="D655" s="276"/>
      <c r="E655" s="276"/>
      <c r="F655" s="276"/>
      <c r="G655" s="276"/>
      <c r="H655" s="275"/>
      <c r="I655" s="275"/>
      <c r="J655" s="275"/>
      <c r="K655" s="275"/>
      <c r="L655" s="275"/>
      <c r="M655" s="275"/>
      <c r="N655" s="275"/>
    </row>
    <row r="656" spans="1:14">
      <c r="A656" s="274"/>
      <c r="B656" s="275"/>
      <c r="C656" s="276"/>
      <c r="D656" s="276"/>
      <c r="E656" s="276"/>
      <c r="F656" s="276"/>
      <c r="G656" s="276"/>
      <c r="H656" s="275"/>
      <c r="I656" s="275"/>
      <c r="J656" s="275"/>
      <c r="K656" s="275"/>
      <c r="L656" s="275"/>
      <c r="M656" s="275"/>
      <c r="N656" s="275"/>
    </row>
    <row r="657" spans="1:14">
      <c r="A657" s="274"/>
      <c r="B657" s="275"/>
      <c r="C657" s="276"/>
      <c r="D657" s="276"/>
      <c r="E657" s="276"/>
      <c r="F657" s="276"/>
      <c r="G657" s="276"/>
      <c r="H657" s="275"/>
      <c r="I657" s="275"/>
      <c r="J657" s="275"/>
      <c r="K657" s="275"/>
      <c r="L657" s="275"/>
      <c r="M657" s="275"/>
      <c r="N657" s="275"/>
    </row>
    <row r="658" spans="1:14">
      <c r="A658" s="274"/>
      <c r="B658" s="275"/>
      <c r="C658" s="276"/>
      <c r="D658" s="276"/>
      <c r="E658" s="276"/>
      <c r="F658" s="276"/>
      <c r="G658" s="276"/>
      <c r="H658" s="275"/>
      <c r="I658" s="275"/>
      <c r="J658" s="275"/>
      <c r="K658" s="275"/>
      <c r="L658" s="275"/>
      <c r="M658" s="275"/>
      <c r="N658" s="275"/>
    </row>
    <row r="659" spans="1:14">
      <c r="A659" s="274"/>
      <c r="B659" s="275"/>
      <c r="C659" s="276"/>
      <c r="D659" s="276"/>
      <c r="E659" s="276"/>
      <c r="F659" s="276"/>
      <c r="G659" s="276"/>
      <c r="H659" s="275"/>
      <c r="I659" s="275"/>
      <c r="J659" s="275"/>
      <c r="K659" s="275"/>
      <c r="L659" s="275"/>
      <c r="M659" s="275"/>
      <c r="N659" s="275"/>
    </row>
    <row r="660" spans="1:14">
      <c r="A660" s="274"/>
      <c r="B660" s="275"/>
      <c r="C660" s="276"/>
      <c r="D660" s="276"/>
      <c r="E660" s="276"/>
      <c r="F660" s="276"/>
      <c r="G660" s="276"/>
      <c r="H660" s="275"/>
      <c r="I660" s="275"/>
      <c r="J660" s="275"/>
      <c r="K660" s="275"/>
      <c r="L660" s="275"/>
      <c r="M660" s="275"/>
      <c r="N660" s="275"/>
    </row>
    <row r="661" spans="1:14">
      <c r="A661" s="274"/>
      <c r="B661" s="275"/>
      <c r="C661" s="276"/>
      <c r="D661" s="276"/>
      <c r="E661" s="276"/>
      <c r="F661" s="276"/>
      <c r="G661" s="276"/>
      <c r="H661" s="275"/>
      <c r="I661" s="275"/>
      <c r="J661" s="275"/>
      <c r="K661" s="275"/>
      <c r="L661" s="275"/>
      <c r="M661" s="275"/>
      <c r="N661" s="275"/>
    </row>
    <row r="662" spans="1:14">
      <c r="A662" s="274"/>
      <c r="B662" s="275"/>
      <c r="C662" s="276"/>
      <c r="D662" s="276"/>
      <c r="E662" s="276"/>
      <c r="F662" s="276"/>
      <c r="G662" s="276"/>
      <c r="H662" s="275"/>
      <c r="I662" s="275"/>
      <c r="J662" s="275"/>
      <c r="K662" s="275"/>
      <c r="L662" s="275"/>
      <c r="M662" s="275"/>
      <c r="N662" s="275"/>
    </row>
    <row r="663" spans="1:14">
      <c r="A663" s="274"/>
      <c r="B663" s="275"/>
      <c r="C663" s="276"/>
      <c r="D663" s="276"/>
      <c r="E663" s="276"/>
      <c r="F663" s="276"/>
      <c r="G663" s="276"/>
      <c r="H663" s="275"/>
      <c r="I663" s="275"/>
      <c r="J663" s="275"/>
      <c r="K663" s="275"/>
      <c r="L663" s="275"/>
      <c r="M663" s="275"/>
      <c r="N663" s="275"/>
    </row>
    <row r="664" spans="1:14">
      <c r="A664" s="274"/>
      <c r="B664" s="275"/>
      <c r="C664" s="276"/>
      <c r="D664" s="276"/>
      <c r="E664" s="276"/>
      <c r="F664" s="276"/>
      <c r="G664" s="276"/>
      <c r="H664" s="275"/>
      <c r="I664" s="275"/>
      <c r="J664" s="275"/>
      <c r="K664" s="275"/>
      <c r="L664" s="275"/>
      <c r="M664" s="275"/>
      <c r="N664" s="275"/>
    </row>
    <row r="665" spans="1:14">
      <c r="A665" s="274"/>
      <c r="B665" s="275"/>
      <c r="C665" s="276"/>
      <c r="D665" s="276"/>
      <c r="E665" s="276"/>
      <c r="F665" s="276"/>
      <c r="G665" s="276"/>
      <c r="H665" s="275"/>
      <c r="I665" s="275"/>
      <c r="J665" s="275"/>
      <c r="K665" s="275"/>
      <c r="L665" s="275"/>
      <c r="M665" s="275"/>
      <c r="N665" s="275"/>
    </row>
    <row r="666" spans="1:14">
      <c r="A666" s="274"/>
      <c r="B666" s="275"/>
      <c r="C666" s="276"/>
      <c r="D666" s="276"/>
      <c r="E666" s="276"/>
      <c r="F666" s="276"/>
      <c r="G666" s="276"/>
      <c r="H666" s="275"/>
      <c r="I666" s="275"/>
      <c r="J666" s="275"/>
      <c r="K666" s="275"/>
      <c r="L666" s="275"/>
      <c r="M666" s="275"/>
      <c r="N666" s="275"/>
    </row>
    <row r="667" spans="1:14">
      <c r="A667" s="274"/>
      <c r="B667" s="275"/>
      <c r="C667" s="276"/>
      <c r="D667" s="276"/>
      <c r="E667" s="276"/>
      <c r="F667" s="276"/>
      <c r="G667" s="276"/>
      <c r="H667" s="275"/>
      <c r="I667" s="275"/>
      <c r="J667" s="275"/>
      <c r="K667" s="275"/>
      <c r="L667" s="275"/>
      <c r="M667" s="275"/>
      <c r="N667" s="275"/>
    </row>
    <row r="668" spans="1:14">
      <c r="A668" s="274"/>
      <c r="B668" s="275"/>
      <c r="C668" s="276"/>
      <c r="D668" s="276"/>
      <c r="E668" s="276"/>
      <c r="F668" s="276"/>
      <c r="G668" s="276"/>
      <c r="H668" s="275"/>
      <c r="I668" s="275"/>
      <c r="J668" s="275"/>
      <c r="K668" s="275"/>
      <c r="L668" s="275"/>
      <c r="M668" s="275"/>
      <c r="N668" s="275"/>
    </row>
    <row r="669" spans="1:14">
      <c r="A669" s="274"/>
      <c r="B669" s="275"/>
      <c r="C669" s="276"/>
      <c r="D669" s="276"/>
      <c r="E669" s="276"/>
      <c r="F669" s="276"/>
      <c r="G669" s="276"/>
      <c r="H669" s="275"/>
      <c r="I669" s="275"/>
      <c r="J669" s="275"/>
      <c r="K669" s="275"/>
      <c r="L669" s="275"/>
      <c r="M669" s="275"/>
      <c r="N669" s="275"/>
    </row>
    <row r="670" spans="1:14">
      <c r="A670" s="274"/>
      <c r="B670" s="275"/>
      <c r="C670" s="276"/>
      <c r="D670" s="276"/>
      <c r="E670" s="276"/>
      <c r="F670" s="277"/>
      <c r="G670" s="276"/>
      <c r="H670" s="275"/>
      <c r="I670" s="275"/>
      <c r="J670" s="275"/>
      <c r="K670" s="275"/>
      <c r="L670" s="275"/>
      <c r="M670" s="275"/>
      <c r="N670" s="275"/>
    </row>
    <row r="671" spans="1:14">
      <c r="A671" s="274"/>
      <c r="B671" s="275"/>
      <c r="C671" s="276"/>
      <c r="D671" s="276"/>
      <c r="E671" s="276"/>
      <c r="F671" s="277"/>
      <c r="G671" s="276"/>
      <c r="H671" s="275"/>
      <c r="I671" s="275"/>
      <c r="J671" s="275"/>
      <c r="K671" s="275"/>
      <c r="L671" s="275"/>
      <c r="M671" s="275"/>
      <c r="N671" s="275"/>
    </row>
    <row r="672" spans="1:14">
      <c r="A672" s="274"/>
      <c r="B672" s="275"/>
      <c r="C672" s="276"/>
      <c r="D672" s="276"/>
      <c r="E672" s="276"/>
      <c r="F672" s="276"/>
      <c r="G672" s="276"/>
      <c r="H672" s="275"/>
      <c r="I672" s="275"/>
      <c r="J672" s="275"/>
      <c r="K672" s="275"/>
      <c r="L672" s="275"/>
      <c r="M672" s="275"/>
      <c r="N672" s="275"/>
    </row>
    <row r="673" spans="1:14">
      <c r="A673" s="274"/>
      <c r="B673" s="275"/>
      <c r="C673" s="276"/>
      <c r="D673" s="276"/>
      <c r="E673" s="276"/>
      <c r="F673" s="276"/>
      <c r="G673" s="276"/>
      <c r="H673" s="275"/>
      <c r="I673" s="275"/>
      <c r="J673" s="275"/>
      <c r="K673" s="275"/>
      <c r="L673" s="275"/>
      <c r="M673" s="275"/>
      <c r="N673" s="275"/>
    </row>
    <row r="674" spans="1:14">
      <c r="A674" s="274"/>
      <c r="B674" s="275"/>
      <c r="C674" s="276"/>
      <c r="D674" s="276"/>
      <c r="E674" s="276"/>
      <c r="F674" s="276"/>
      <c r="G674" s="276"/>
      <c r="H674" s="275"/>
      <c r="I674" s="275"/>
      <c r="J674" s="275"/>
      <c r="K674" s="275"/>
      <c r="L674" s="275"/>
      <c r="M674" s="275"/>
      <c r="N674" s="275"/>
    </row>
    <row r="675" spans="1:14">
      <c r="A675" s="274"/>
      <c r="B675" s="275"/>
      <c r="C675" s="276"/>
      <c r="D675" s="276"/>
      <c r="E675" s="276"/>
      <c r="F675" s="276"/>
      <c r="G675" s="276"/>
      <c r="H675" s="275"/>
      <c r="I675" s="275"/>
      <c r="J675" s="275"/>
      <c r="K675" s="275"/>
      <c r="L675" s="275"/>
      <c r="M675" s="275"/>
      <c r="N675" s="275"/>
    </row>
    <row r="676" spans="1:14">
      <c r="A676" s="274"/>
      <c r="B676" s="275"/>
      <c r="C676" s="276"/>
      <c r="D676" s="276"/>
      <c r="E676" s="276"/>
      <c r="F676" s="276"/>
      <c r="G676" s="276"/>
      <c r="H676" s="275"/>
      <c r="I676" s="275"/>
      <c r="J676" s="275"/>
      <c r="K676" s="275"/>
      <c r="L676" s="275"/>
      <c r="M676" s="275"/>
      <c r="N676" s="275"/>
    </row>
    <row r="677" spans="1:14">
      <c r="A677" s="274"/>
      <c r="B677" s="275"/>
      <c r="C677" s="276"/>
      <c r="D677" s="276"/>
      <c r="E677" s="276"/>
      <c r="F677" s="277"/>
      <c r="G677" s="276"/>
      <c r="H677" s="275"/>
      <c r="I677" s="275"/>
      <c r="J677" s="275"/>
      <c r="K677" s="275"/>
      <c r="L677" s="275"/>
      <c r="M677" s="275"/>
      <c r="N677" s="275"/>
    </row>
    <row r="678" spans="1:14">
      <c r="A678" s="274"/>
      <c r="B678" s="275"/>
      <c r="C678" s="276"/>
      <c r="D678" s="276"/>
      <c r="E678" s="276"/>
      <c r="F678" s="277"/>
      <c r="G678" s="276"/>
      <c r="H678" s="275"/>
      <c r="I678" s="275"/>
      <c r="J678" s="275"/>
      <c r="K678" s="275"/>
      <c r="L678" s="275"/>
      <c r="M678" s="275"/>
      <c r="N678" s="275"/>
    </row>
    <row r="679" spans="1:14">
      <c r="A679" s="274"/>
      <c r="B679" s="275"/>
      <c r="C679" s="276"/>
      <c r="D679" s="276"/>
      <c r="E679" s="276"/>
      <c r="F679" s="277"/>
      <c r="G679" s="276"/>
      <c r="H679" s="275"/>
      <c r="I679" s="275"/>
      <c r="J679" s="275"/>
      <c r="K679" s="275"/>
      <c r="L679" s="275"/>
      <c r="M679" s="275"/>
      <c r="N679" s="275"/>
    </row>
    <row r="680" spans="1:14">
      <c r="A680" s="274"/>
      <c r="B680" s="275"/>
      <c r="C680" s="276"/>
      <c r="D680" s="276"/>
      <c r="E680" s="276"/>
      <c r="F680" s="276"/>
      <c r="G680" s="276"/>
      <c r="H680" s="275"/>
      <c r="I680" s="275"/>
      <c r="J680" s="275"/>
      <c r="K680" s="275"/>
      <c r="L680" s="275"/>
      <c r="M680" s="275"/>
      <c r="N680" s="275"/>
    </row>
    <row r="681" spans="1:14">
      <c r="A681" s="274"/>
      <c r="B681" s="275"/>
      <c r="C681" s="276"/>
      <c r="D681" s="276"/>
      <c r="E681" s="276"/>
      <c r="F681" s="276"/>
      <c r="G681" s="276"/>
      <c r="H681" s="275"/>
      <c r="I681" s="275"/>
      <c r="J681" s="275"/>
      <c r="K681" s="275"/>
      <c r="L681" s="275"/>
      <c r="M681" s="275"/>
      <c r="N681" s="275"/>
    </row>
    <row r="682" spans="1:14">
      <c r="A682" s="274"/>
      <c r="B682" s="275"/>
      <c r="C682" s="276"/>
      <c r="D682" s="276"/>
      <c r="E682" s="276"/>
      <c r="F682" s="277"/>
      <c r="G682" s="276"/>
      <c r="H682" s="275"/>
      <c r="I682" s="275"/>
      <c r="J682" s="275"/>
      <c r="K682" s="275"/>
      <c r="L682" s="275"/>
      <c r="M682" s="275"/>
      <c r="N682" s="275"/>
    </row>
    <row r="683" spans="1:14">
      <c r="A683" s="274"/>
      <c r="B683" s="275"/>
      <c r="C683" s="276"/>
      <c r="D683" s="276"/>
      <c r="E683" s="276"/>
      <c r="F683" s="276"/>
      <c r="G683" s="276"/>
      <c r="H683" s="275"/>
      <c r="I683" s="275"/>
      <c r="J683" s="275"/>
      <c r="K683" s="275"/>
      <c r="L683" s="275"/>
      <c r="M683" s="275"/>
      <c r="N683" s="275"/>
    </row>
    <row r="684" spans="1:14">
      <c r="A684" s="274"/>
      <c r="B684" s="275"/>
      <c r="C684" s="276"/>
      <c r="D684" s="276"/>
      <c r="E684" s="276"/>
      <c r="F684" s="276"/>
      <c r="G684" s="276"/>
      <c r="H684" s="275"/>
      <c r="I684" s="275"/>
      <c r="J684" s="275"/>
      <c r="K684" s="275"/>
      <c r="L684" s="275"/>
      <c r="M684" s="275"/>
      <c r="N684" s="275"/>
    </row>
    <row r="685" spans="1:14">
      <c r="A685" s="274"/>
      <c r="B685" s="275"/>
      <c r="C685" s="276"/>
      <c r="D685" s="276"/>
      <c r="E685" s="276"/>
      <c r="F685" s="276"/>
      <c r="G685" s="276"/>
      <c r="H685" s="275"/>
      <c r="I685" s="275"/>
      <c r="J685" s="275"/>
      <c r="K685" s="275"/>
      <c r="L685" s="275"/>
      <c r="M685" s="275"/>
      <c r="N685" s="275"/>
    </row>
    <row r="686" spans="1:14">
      <c r="A686" s="274"/>
      <c r="B686" s="275"/>
      <c r="C686" s="276"/>
      <c r="D686" s="276"/>
      <c r="E686" s="276"/>
      <c r="F686" s="276"/>
      <c r="G686" s="276"/>
      <c r="H686" s="275"/>
      <c r="I686" s="275"/>
      <c r="J686" s="275"/>
      <c r="K686" s="275"/>
      <c r="L686" s="275"/>
      <c r="M686" s="275"/>
      <c r="N686" s="275"/>
    </row>
    <row r="687" spans="1:14">
      <c r="A687" s="274"/>
      <c r="B687" s="275"/>
      <c r="C687" s="276"/>
      <c r="D687" s="276"/>
      <c r="E687" s="276"/>
      <c r="F687" s="277"/>
      <c r="G687" s="276"/>
      <c r="H687" s="275"/>
      <c r="I687" s="275"/>
      <c r="J687" s="275"/>
      <c r="K687" s="275"/>
      <c r="L687" s="275"/>
      <c r="M687" s="275"/>
      <c r="N687" s="275"/>
    </row>
    <row r="688" spans="1:14">
      <c r="A688" s="274"/>
      <c r="B688" s="275"/>
      <c r="C688" s="276"/>
      <c r="D688" s="276"/>
      <c r="E688" s="276"/>
      <c r="F688" s="276"/>
      <c r="G688" s="276"/>
      <c r="H688" s="275"/>
      <c r="I688" s="275"/>
      <c r="J688" s="275"/>
      <c r="K688" s="275"/>
      <c r="L688" s="275"/>
      <c r="M688" s="275"/>
      <c r="N688" s="275"/>
    </row>
    <row r="689" spans="1:14">
      <c r="A689" s="274"/>
      <c r="B689" s="275"/>
      <c r="C689" s="276"/>
      <c r="D689" s="276"/>
      <c r="E689" s="276"/>
      <c r="F689" s="277"/>
      <c r="G689" s="276"/>
      <c r="H689" s="275"/>
      <c r="I689" s="275"/>
      <c r="J689" s="275"/>
      <c r="K689" s="275"/>
      <c r="L689" s="275"/>
      <c r="M689" s="275"/>
      <c r="N689" s="275"/>
    </row>
    <row r="690" spans="1:14">
      <c r="A690" s="274"/>
      <c r="B690" s="275"/>
      <c r="C690" s="276"/>
      <c r="D690" s="276"/>
      <c r="E690" s="276"/>
      <c r="F690" s="276"/>
      <c r="G690" s="276"/>
      <c r="H690" s="275"/>
      <c r="I690" s="275"/>
      <c r="J690" s="275"/>
      <c r="K690" s="275"/>
      <c r="L690" s="275"/>
      <c r="M690" s="275"/>
      <c r="N690" s="275"/>
    </row>
    <row r="691" spans="1:14">
      <c r="A691" s="274"/>
      <c r="B691" s="275"/>
      <c r="C691" s="276"/>
      <c r="D691" s="276"/>
      <c r="E691" s="276"/>
      <c r="F691" s="276"/>
      <c r="G691" s="276"/>
      <c r="H691" s="275"/>
      <c r="I691" s="275"/>
      <c r="J691" s="275"/>
      <c r="K691" s="275"/>
      <c r="L691" s="275"/>
      <c r="M691" s="275"/>
      <c r="N691" s="275"/>
    </row>
    <row r="692" spans="1:14">
      <c r="A692" s="274"/>
      <c r="B692" s="275"/>
      <c r="C692" s="276"/>
      <c r="D692" s="276"/>
      <c r="E692" s="276"/>
      <c r="F692" s="277"/>
      <c r="G692" s="276"/>
      <c r="H692" s="275"/>
      <c r="I692" s="275"/>
      <c r="J692" s="275"/>
      <c r="K692" s="275"/>
      <c r="L692" s="275"/>
      <c r="M692" s="275"/>
      <c r="N692" s="275"/>
    </row>
    <row r="693" spans="1:14">
      <c r="A693" s="274"/>
      <c r="B693" s="275"/>
      <c r="C693" s="276"/>
      <c r="D693" s="276"/>
      <c r="E693" s="276"/>
      <c r="F693" s="277"/>
      <c r="G693" s="276"/>
      <c r="H693" s="275"/>
      <c r="I693" s="275"/>
      <c r="J693" s="275"/>
      <c r="K693" s="275"/>
      <c r="L693" s="275"/>
      <c r="M693" s="275"/>
      <c r="N693" s="275"/>
    </row>
    <row r="694" spans="1:14">
      <c r="A694" s="274"/>
      <c r="B694" s="275"/>
      <c r="C694" s="276"/>
      <c r="D694" s="276"/>
      <c r="E694" s="276"/>
      <c r="F694" s="276"/>
      <c r="G694" s="276"/>
      <c r="H694" s="275"/>
      <c r="I694" s="275"/>
      <c r="J694" s="275"/>
      <c r="K694" s="275"/>
      <c r="L694" s="275"/>
      <c r="M694" s="275"/>
      <c r="N694" s="275"/>
    </row>
    <row r="695" spans="1:14">
      <c r="A695" s="274"/>
      <c r="B695" s="275"/>
      <c r="C695" s="276"/>
      <c r="D695" s="276"/>
      <c r="E695" s="276"/>
      <c r="F695" s="276"/>
      <c r="G695" s="276"/>
      <c r="H695" s="275"/>
      <c r="I695" s="275"/>
      <c r="J695" s="275"/>
      <c r="K695" s="275"/>
      <c r="L695" s="275"/>
      <c r="M695" s="275"/>
      <c r="N695" s="275"/>
    </row>
    <row r="696" spans="1:14">
      <c r="A696" s="274"/>
      <c r="B696" s="275"/>
      <c r="C696" s="276"/>
      <c r="D696" s="276"/>
      <c r="E696" s="276"/>
      <c r="F696" s="276"/>
      <c r="G696" s="276"/>
      <c r="H696" s="275"/>
      <c r="I696" s="275"/>
      <c r="J696" s="275"/>
      <c r="K696" s="275"/>
      <c r="L696" s="275"/>
      <c r="M696" s="275"/>
      <c r="N696" s="275"/>
    </row>
    <row r="697" spans="1:14">
      <c r="A697" s="274"/>
      <c r="B697" s="275"/>
      <c r="C697" s="276"/>
      <c r="D697" s="276"/>
      <c r="E697" s="276"/>
      <c r="F697" s="276"/>
      <c r="G697" s="276"/>
      <c r="H697" s="275"/>
      <c r="I697" s="275"/>
      <c r="J697" s="275"/>
      <c r="K697" s="275"/>
      <c r="L697" s="275"/>
      <c r="M697" s="275"/>
      <c r="N697" s="275"/>
    </row>
    <row r="698" spans="1:14">
      <c r="A698" s="274"/>
      <c r="B698" s="275"/>
      <c r="C698" s="276"/>
      <c r="D698" s="276"/>
      <c r="E698" s="276"/>
      <c r="F698" s="276"/>
      <c r="G698" s="276"/>
      <c r="H698" s="275"/>
      <c r="I698" s="275"/>
      <c r="J698" s="275"/>
      <c r="K698" s="275"/>
      <c r="L698" s="275"/>
      <c r="M698" s="275"/>
      <c r="N698" s="275"/>
    </row>
    <row r="699" spans="1:14">
      <c r="A699" s="274"/>
      <c r="B699" s="275"/>
      <c r="C699" s="276"/>
      <c r="D699" s="276"/>
      <c r="E699" s="276"/>
      <c r="F699" s="276"/>
      <c r="G699" s="276"/>
      <c r="H699" s="275"/>
      <c r="I699" s="275"/>
      <c r="J699" s="275"/>
      <c r="K699" s="275"/>
      <c r="L699" s="275"/>
      <c r="M699" s="275"/>
      <c r="N699" s="275"/>
    </row>
    <row r="700" spans="1:14">
      <c r="A700" s="274"/>
      <c r="B700" s="275"/>
      <c r="C700" s="276"/>
      <c r="D700" s="276"/>
      <c r="E700" s="276"/>
      <c r="F700" s="276"/>
      <c r="G700" s="276"/>
      <c r="H700" s="275"/>
      <c r="I700" s="275"/>
      <c r="J700" s="275"/>
      <c r="K700" s="275"/>
      <c r="L700" s="275"/>
      <c r="M700" s="275"/>
      <c r="N700" s="275"/>
    </row>
    <row r="701" spans="1:14">
      <c r="A701" s="274"/>
      <c r="B701" s="275"/>
      <c r="C701" s="276"/>
      <c r="D701" s="276"/>
      <c r="E701" s="276"/>
      <c r="F701" s="276"/>
      <c r="G701" s="276"/>
      <c r="H701" s="275"/>
      <c r="I701" s="275"/>
      <c r="J701" s="275"/>
      <c r="K701" s="275"/>
      <c r="L701" s="275"/>
      <c r="M701" s="275"/>
      <c r="N701" s="275"/>
    </row>
    <row r="702" spans="1:14">
      <c r="A702" s="274"/>
      <c r="B702" s="275"/>
      <c r="C702" s="276"/>
      <c r="D702" s="276"/>
      <c r="E702" s="276"/>
      <c r="F702" s="276"/>
      <c r="G702" s="276"/>
      <c r="H702" s="275"/>
      <c r="I702" s="275"/>
      <c r="J702" s="275"/>
      <c r="K702" s="275"/>
      <c r="L702" s="275"/>
      <c r="M702" s="275"/>
      <c r="N702" s="275"/>
    </row>
    <row r="703" spans="1:14">
      <c r="A703" s="274"/>
      <c r="B703" s="275"/>
      <c r="C703" s="276"/>
      <c r="D703" s="276"/>
      <c r="E703" s="276"/>
      <c r="F703" s="277"/>
      <c r="G703" s="276"/>
      <c r="H703" s="275"/>
      <c r="I703" s="275"/>
      <c r="J703" s="275"/>
      <c r="K703" s="275"/>
      <c r="L703" s="275"/>
      <c r="M703" s="275"/>
      <c r="N703" s="275"/>
    </row>
    <row r="704" spans="1:14">
      <c r="A704" s="274"/>
      <c r="B704" s="275"/>
      <c r="C704" s="276"/>
      <c r="D704" s="276"/>
      <c r="E704" s="276"/>
      <c r="F704" s="276"/>
      <c r="G704" s="276"/>
      <c r="H704" s="275"/>
      <c r="I704" s="275"/>
      <c r="J704" s="275"/>
      <c r="K704" s="275"/>
      <c r="L704" s="275"/>
      <c r="M704" s="275"/>
      <c r="N704" s="275"/>
    </row>
    <row r="705" spans="1:14">
      <c r="A705" s="274"/>
      <c r="B705" s="275"/>
      <c r="C705" s="276"/>
      <c r="D705" s="276"/>
      <c r="E705" s="276"/>
      <c r="F705" s="276"/>
      <c r="G705" s="276"/>
      <c r="H705" s="275"/>
      <c r="I705" s="275"/>
      <c r="J705" s="275"/>
      <c r="K705" s="275"/>
      <c r="L705" s="275"/>
      <c r="M705" s="275"/>
      <c r="N705" s="275"/>
    </row>
    <row r="706" spans="1:14">
      <c r="A706" s="274"/>
      <c r="B706" s="275"/>
      <c r="C706" s="276"/>
      <c r="D706" s="276"/>
      <c r="E706" s="276"/>
      <c r="F706" s="276"/>
      <c r="G706" s="276"/>
      <c r="H706" s="275"/>
      <c r="I706" s="275"/>
      <c r="J706" s="275"/>
      <c r="K706" s="275"/>
      <c r="L706" s="275"/>
      <c r="M706" s="275"/>
      <c r="N706" s="275"/>
    </row>
    <row r="707" spans="1:14">
      <c r="A707" s="274"/>
      <c r="B707" s="275"/>
      <c r="C707" s="276"/>
      <c r="D707" s="276"/>
      <c r="E707" s="276"/>
      <c r="F707" s="277"/>
      <c r="G707" s="276"/>
      <c r="H707" s="275"/>
      <c r="I707" s="275"/>
      <c r="J707" s="275"/>
      <c r="K707" s="275"/>
      <c r="L707" s="275"/>
      <c r="M707" s="275"/>
      <c r="N707" s="275"/>
    </row>
    <row r="708" spans="1:14">
      <c r="A708" s="274"/>
      <c r="B708" s="275"/>
      <c r="C708" s="276"/>
      <c r="D708" s="276"/>
      <c r="E708" s="276"/>
      <c r="F708" s="277"/>
      <c r="G708" s="276"/>
      <c r="H708" s="275"/>
      <c r="I708" s="275"/>
      <c r="J708" s="275"/>
      <c r="K708" s="275"/>
      <c r="L708" s="275"/>
      <c r="M708" s="275"/>
      <c r="N708" s="275"/>
    </row>
    <row r="709" spans="1:14">
      <c r="A709" s="274"/>
      <c r="B709" s="275"/>
      <c r="C709" s="276"/>
      <c r="D709" s="276"/>
      <c r="E709" s="276"/>
      <c r="F709" s="276"/>
      <c r="G709" s="276"/>
      <c r="H709" s="275"/>
      <c r="I709" s="275"/>
      <c r="J709" s="275"/>
      <c r="K709" s="275"/>
      <c r="L709" s="275"/>
      <c r="M709" s="275"/>
      <c r="N709" s="275"/>
    </row>
    <row r="710" spans="1:14">
      <c r="A710" s="274"/>
      <c r="B710" s="275"/>
      <c r="C710" s="276"/>
      <c r="D710" s="276"/>
      <c r="E710" s="276"/>
      <c r="F710" s="276"/>
      <c r="G710" s="276"/>
      <c r="H710" s="275"/>
      <c r="I710" s="275"/>
      <c r="J710" s="275"/>
      <c r="K710" s="275"/>
      <c r="L710" s="275"/>
      <c r="M710" s="275"/>
      <c r="N710" s="275"/>
    </row>
    <row r="711" spans="1:14">
      <c r="A711" s="274"/>
      <c r="B711" s="275"/>
      <c r="C711" s="276"/>
      <c r="D711" s="276"/>
      <c r="E711" s="276"/>
      <c r="F711" s="276"/>
      <c r="G711" s="276"/>
      <c r="H711" s="275"/>
      <c r="I711" s="275"/>
      <c r="J711" s="275"/>
      <c r="K711" s="275"/>
      <c r="L711" s="275"/>
      <c r="M711" s="275"/>
      <c r="N711" s="275"/>
    </row>
    <row r="712" spans="1:14">
      <c r="A712" s="274"/>
      <c r="B712" s="275"/>
      <c r="C712" s="276"/>
      <c r="D712" s="276"/>
      <c r="E712" s="276"/>
      <c r="F712" s="276"/>
      <c r="G712" s="276"/>
      <c r="H712" s="275"/>
      <c r="I712" s="275"/>
      <c r="J712" s="275"/>
      <c r="K712" s="275"/>
      <c r="L712" s="275"/>
      <c r="M712" s="275"/>
      <c r="N712" s="275"/>
    </row>
    <row r="713" spans="1:14">
      <c r="A713" s="274"/>
      <c r="B713" s="275"/>
      <c r="C713" s="276"/>
      <c r="D713" s="276"/>
      <c r="E713" s="276"/>
      <c r="F713" s="276"/>
      <c r="G713" s="276"/>
      <c r="H713" s="275"/>
      <c r="I713" s="275"/>
      <c r="J713" s="275"/>
      <c r="K713" s="275"/>
      <c r="L713" s="275"/>
      <c r="M713" s="275"/>
      <c r="N713" s="275"/>
    </row>
    <row r="714" spans="1:14">
      <c r="A714" s="274"/>
      <c r="B714" s="275"/>
      <c r="C714" s="276"/>
      <c r="D714" s="276"/>
      <c r="E714" s="276"/>
      <c r="F714" s="276"/>
      <c r="G714" s="276"/>
      <c r="H714" s="275"/>
      <c r="I714" s="275"/>
      <c r="J714" s="275"/>
      <c r="K714" s="275"/>
      <c r="L714" s="275"/>
      <c r="M714" s="275"/>
      <c r="N714" s="275"/>
    </row>
    <row r="715" spans="1:14">
      <c r="A715" s="274"/>
      <c r="B715" s="275"/>
      <c r="C715" s="276"/>
      <c r="D715" s="276"/>
      <c r="E715" s="276"/>
      <c r="F715" s="276"/>
      <c r="G715" s="276"/>
      <c r="H715" s="275"/>
      <c r="I715" s="275"/>
      <c r="J715" s="275"/>
      <c r="K715" s="275"/>
      <c r="L715" s="275"/>
      <c r="M715" s="275"/>
      <c r="N715" s="275"/>
    </row>
    <row r="716" spans="1:14">
      <c r="A716" s="274"/>
      <c r="B716" s="275"/>
      <c r="C716" s="276"/>
      <c r="D716" s="276"/>
      <c r="E716" s="276"/>
      <c r="F716" s="276"/>
      <c r="G716" s="276"/>
      <c r="H716" s="275"/>
      <c r="I716" s="275"/>
      <c r="J716" s="275"/>
      <c r="K716" s="275"/>
      <c r="L716" s="275"/>
      <c r="M716" s="275"/>
      <c r="N716" s="275"/>
    </row>
    <row r="717" spans="1:14">
      <c r="A717" s="274"/>
      <c r="B717" s="275"/>
      <c r="C717" s="276"/>
      <c r="D717" s="276"/>
      <c r="E717" s="276"/>
      <c r="F717" s="276"/>
      <c r="G717" s="276"/>
      <c r="H717" s="275"/>
      <c r="I717" s="275"/>
      <c r="J717" s="275"/>
      <c r="K717" s="275"/>
      <c r="L717" s="275"/>
      <c r="M717" s="275"/>
      <c r="N717" s="275"/>
    </row>
    <row r="718" spans="1:14">
      <c r="A718" s="274"/>
      <c r="B718" s="275"/>
      <c r="C718" s="276"/>
      <c r="D718" s="276"/>
      <c r="E718" s="276"/>
      <c r="F718" s="276"/>
      <c r="G718" s="276"/>
      <c r="H718" s="275"/>
      <c r="I718" s="275"/>
      <c r="J718" s="275"/>
      <c r="K718" s="275"/>
      <c r="L718" s="275"/>
      <c r="M718" s="275"/>
      <c r="N718" s="275"/>
    </row>
    <row r="719" spans="1:14">
      <c r="A719" s="274"/>
      <c r="B719" s="275"/>
      <c r="C719" s="276"/>
      <c r="D719" s="276"/>
      <c r="E719" s="276"/>
      <c r="F719" s="277"/>
      <c r="G719" s="276"/>
      <c r="H719" s="275"/>
      <c r="I719" s="275"/>
      <c r="J719" s="275"/>
      <c r="K719" s="275"/>
      <c r="L719" s="275"/>
      <c r="M719" s="275"/>
      <c r="N719" s="275"/>
    </row>
    <row r="720" spans="1:14">
      <c r="A720" s="274"/>
      <c r="B720" s="275"/>
      <c r="C720" s="276"/>
      <c r="D720" s="276"/>
      <c r="E720" s="276"/>
      <c r="F720" s="277"/>
      <c r="G720" s="276"/>
      <c r="H720" s="275"/>
      <c r="I720" s="275"/>
      <c r="J720" s="275"/>
      <c r="K720" s="275"/>
      <c r="L720" s="275"/>
      <c r="M720" s="275"/>
      <c r="N720" s="275"/>
    </row>
    <row r="721" spans="1:14">
      <c r="A721" s="274"/>
      <c r="B721" s="275"/>
      <c r="C721" s="276"/>
      <c r="D721" s="276"/>
      <c r="E721" s="276"/>
      <c r="F721" s="276"/>
      <c r="G721" s="276"/>
      <c r="H721" s="275"/>
      <c r="I721" s="275"/>
      <c r="J721" s="275"/>
      <c r="K721" s="275"/>
      <c r="L721" s="275"/>
      <c r="M721" s="275"/>
      <c r="N721" s="275"/>
    </row>
    <row r="722" spans="1:14">
      <c r="A722" s="274"/>
      <c r="B722" s="275"/>
      <c r="C722" s="276"/>
      <c r="D722" s="276"/>
      <c r="E722" s="276"/>
      <c r="F722" s="276"/>
      <c r="G722" s="276"/>
      <c r="H722" s="275"/>
      <c r="I722" s="275"/>
      <c r="J722" s="275"/>
      <c r="K722" s="275"/>
      <c r="L722" s="275"/>
      <c r="M722" s="275"/>
      <c r="N722" s="275"/>
    </row>
    <row r="723" spans="1:14">
      <c r="A723" s="274"/>
      <c r="B723" s="275"/>
      <c r="C723" s="276"/>
      <c r="D723" s="276"/>
      <c r="E723" s="276"/>
      <c r="F723" s="276"/>
      <c r="G723" s="276"/>
      <c r="H723" s="275"/>
      <c r="I723" s="275"/>
      <c r="J723" s="275"/>
      <c r="K723" s="275"/>
      <c r="L723" s="275"/>
      <c r="M723" s="275"/>
      <c r="N723" s="275"/>
    </row>
    <row r="724" spans="1:14">
      <c r="A724" s="274"/>
      <c r="B724" s="275"/>
      <c r="C724" s="276"/>
      <c r="D724" s="276"/>
      <c r="E724" s="276"/>
      <c r="F724" s="276"/>
      <c r="G724" s="276"/>
      <c r="H724" s="275"/>
      <c r="I724" s="275"/>
      <c r="J724" s="275"/>
      <c r="K724" s="275"/>
      <c r="L724" s="275"/>
      <c r="M724" s="275"/>
      <c r="N724" s="275"/>
    </row>
    <row r="725" spans="1:14">
      <c r="A725" s="274"/>
      <c r="B725" s="275"/>
      <c r="C725" s="276"/>
      <c r="D725" s="276"/>
      <c r="E725" s="276"/>
      <c r="F725" s="276"/>
      <c r="G725" s="276"/>
      <c r="H725" s="275"/>
      <c r="I725" s="275"/>
      <c r="J725" s="275"/>
      <c r="K725" s="275"/>
      <c r="L725" s="275"/>
      <c r="M725" s="275"/>
      <c r="N725" s="275"/>
    </row>
    <row r="726" spans="1:14">
      <c r="A726" s="274"/>
      <c r="B726" s="275"/>
      <c r="C726" s="276"/>
      <c r="D726" s="276"/>
      <c r="E726" s="276"/>
      <c r="F726" s="277"/>
      <c r="G726" s="276"/>
      <c r="H726" s="275"/>
      <c r="I726" s="275"/>
      <c r="J726" s="275"/>
      <c r="K726" s="275"/>
      <c r="L726" s="275"/>
      <c r="M726" s="275"/>
      <c r="N726" s="275"/>
    </row>
    <row r="727" spans="1:14">
      <c r="A727" s="274"/>
      <c r="B727" s="275"/>
      <c r="C727" s="276"/>
      <c r="D727" s="276"/>
      <c r="E727" s="276"/>
      <c r="F727" s="277"/>
      <c r="G727" s="276"/>
      <c r="H727" s="275"/>
      <c r="I727" s="275"/>
      <c r="J727" s="275"/>
      <c r="K727" s="275"/>
      <c r="L727" s="275"/>
      <c r="M727" s="275"/>
      <c r="N727" s="275"/>
    </row>
    <row r="728" spans="1:14">
      <c r="A728" s="274"/>
      <c r="B728" s="275"/>
      <c r="C728" s="276"/>
      <c r="D728" s="276"/>
      <c r="E728" s="276"/>
      <c r="F728" s="277"/>
      <c r="G728" s="276"/>
      <c r="H728" s="275"/>
      <c r="I728" s="275"/>
      <c r="J728" s="275"/>
      <c r="K728" s="275"/>
      <c r="L728" s="275"/>
      <c r="M728" s="275"/>
      <c r="N728" s="275"/>
    </row>
    <row r="729" spans="1:14">
      <c r="A729" s="274"/>
      <c r="B729" s="275"/>
      <c r="C729" s="276"/>
      <c r="D729" s="276"/>
      <c r="E729" s="276"/>
      <c r="F729" s="276"/>
      <c r="G729" s="276"/>
      <c r="H729" s="275"/>
      <c r="I729" s="275"/>
      <c r="J729" s="275"/>
      <c r="K729" s="275"/>
      <c r="L729" s="275"/>
      <c r="M729" s="275"/>
      <c r="N729" s="275"/>
    </row>
    <row r="730" spans="1:14">
      <c r="A730" s="274"/>
      <c r="B730" s="275"/>
      <c r="C730" s="276"/>
      <c r="D730" s="276"/>
      <c r="E730" s="276"/>
      <c r="F730" s="276"/>
      <c r="G730" s="276"/>
      <c r="H730" s="275"/>
      <c r="I730" s="275"/>
      <c r="J730" s="275"/>
      <c r="K730" s="275"/>
      <c r="L730" s="275"/>
      <c r="M730" s="275"/>
      <c r="N730" s="275"/>
    </row>
    <row r="731" spans="1:14">
      <c r="A731" s="274"/>
      <c r="B731" s="275"/>
      <c r="C731" s="276"/>
      <c r="D731" s="276"/>
      <c r="E731" s="276"/>
      <c r="F731" s="276"/>
      <c r="G731" s="276"/>
      <c r="H731" s="275"/>
      <c r="I731" s="275"/>
      <c r="J731" s="275"/>
      <c r="K731" s="275"/>
      <c r="L731" s="275"/>
      <c r="M731" s="275"/>
      <c r="N731" s="275"/>
    </row>
    <row r="732" spans="1:14">
      <c r="A732" s="274"/>
      <c r="B732" s="275"/>
      <c r="C732" s="276"/>
      <c r="D732" s="276"/>
      <c r="E732" s="276"/>
      <c r="F732" s="276"/>
      <c r="G732" s="276"/>
      <c r="H732" s="275"/>
      <c r="I732" s="275"/>
      <c r="J732" s="275"/>
      <c r="K732" s="275"/>
      <c r="L732" s="275"/>
      <c r="M732" s="275"/>
      <c r="N732" s="275"/>
    </row>
    <row r="733" spans="1:14">
      <c r="A733" s="274"/>
      <c r="B733" s="275"/>
      <c r="C733" s="276"/>
      <c r="D733" s="276"/>
      <c r="E733" s="276"/>
      <c r="F733" s="276"/>
      <c r="G733" s="276"/>
      <c r="H733" s="275"/>
      <c r="I733" s="275"/>
      <c r="J733" s="275"/>
      <c r="K733" s="275"/>
      <c r="L733" s="275"/>
      <c r="M733" s="275"/>
      <c r="N733" s="275"/>
    </row>
    <row r="734" spans="1:14">
      <c r="A734" s="274"/>
      <c r="B734" s="275"/>
      <c r="C734" s="276"/>
      <c r="D734" s="276"/>
      <c r="E734" s="276"/>
      <c r="F734" s="276"/>
      <c r="G734" s="276"/>
      <c r="H734" s="275"/>
      <c r="I734" s="275"/>
      <c r="J734" s="275"/>
      <c r="K734" s="275"/>
      <c r="L734" s="275"/>
      <c r="M734" s="275"/>
      <c r="N734" s="275"/>
    </row>
    <row r="735" spans="1:14">
      <c r="A735" s="274"/>
      <c r="B735" s="275"/>
      <c r="C735" s="276"/>
      <c r="D735" s="276"/>
      <c r="E735" s="276"/>
      <c r="F735" s="276"/>
      <c r="G735" s="276"/>
      <c r="H735" s="275"/>
      <c r="I735" s="275"/>
      <c r="J735" s="275"/>
      <c r="K735" s="275"/>
      <c r="L735" s="275"/>
      <c r="M735" s="275"/>
      <c r="N735" s="275"/>
    </row>
    <row r="736" spans="1:14">
      <c r="A736" s="274"/>
      <c r="B736" s="275"/>
      <c r="C736" s="276"/>
      <c r="D736" s="276"/>
      <c r="E736" s="276"/>
      <c r="F736" s="276"/>
      <c r="G736" s="276"/>
      <c r="H736" s="275"/>
      <c r="I736" s="275"/>
      <c r="J736" s="275"/>
      <c r="K736" s="275"/>
      <c r="L736" s="275"/>
      <c r="M736" s="275"/>
      <c r="N736" s="275"/>
    </row>
    <row r="737" spans="1:14">
      <c r="A737" s="274"/>
      <c r="B737" s="275"/>
      <c r="C737" s="276"/>
      <c r="D737" s="276"/>
      <c r="E737" s="276"/>
      <c r="F737" s="276"/>
      <c r="G737" s="276"/>
      <c r="H737" s="275"/>
      <c r="I737" s="275"/>
      <c r="J737" s="275"/>
      <c r="K737" s="275"/>
      <c r="L737" s="275"/>
      <c r="M737" s="275"/>
      <c r="N737" s="275"/>
    </row>
    <row r="738" spans="1:14">
      <c r="A738" s="274"/>
      <c r="B738" s="275"/>
      <c r="C738" s="276"/>
      <c r="D738" s="276"/>
      <c r="E738" s="276"/>
      <c r="F738" s="276"/>
      <c r="G738" s="276"/>
      <c r="H738" s="275"/>
      <c r="I738" s="275"/>
      <c r="J738" s="275"/>
      <c r="K738" s="275"/>
      <c r="L738" s="275"/>
      <c r="M738" s="275"/>
      <c r="N738" s="275"/>
    </row>
    <row r="739" spans="1:14">
      <c r="A739" s="274"/>
      <c r="B739" s="275"/>
      <c r="C739" s="276"/>
      <c r="D739" s="276"/>
      <c r="E739" s="276"/>
      <c r="F739" s="276"/>
      <c r="G739" s="276"/>
      <c r="H739" s="275"/>
      <c r="I739" s="275"/>
      <c r="J739" s="275"/>
      <c r="K739" s="275"/>
      <c r="L739" s="275"/>
      <c r="M739" s="275"/>
      <c r="N739" s="275"/>
    </row>
    <row r="740" spans="1:14">
      <c r="A740" s="274"/>
      <c r="B740" s="275"/>
      <c r="C740" s="276"/>
      <c r="D740" s="276"/>
      <c r="E740" s="276"/>
      <c r="F740" s="276"/>
      <c r="G740" s="276"/>
      <c r="H740" s="275"/>
      <c r="I740" s="275"/>
      <c r="J740" s="275"/>
      <c r="K740" s="275"/>
      <c r="L740" s="275"/>
      <c r="M740" s="275"/>
      <c r="N740" s="275"/>
    </row>
    <row r="741" spans="1:14">
      <c r="A741" s="274"/>
      <c r="B741" s="275"/>
      <c r="C741" s="276"/>
      <c r="D741" s="276"/>
      <c r="E741" s="276"/>
      <c r="F741" s="276"/>
      <c r="G741" s="276"/>
      <c r="H741" s="275"/>
      <c r="I741" s="275"/>
      <c r="J741" s="275"/>
      <c r="K741" s="275"/>
      <c r="L741" s="275"/>
      <c r="M741" s="275"/>
      <c r="N741" s="275"/>
    </row>
    <row r="742" spans="1:14">
      <c r="A742" s="274"/>
      <c r="B742" s="275"/>
      <c r="C742" s="276"/>
      <c r="D742" s="276"/>
      <c r="E742" s="276"/>
      <c r="F742" s="276"/>
      <c r="G742" s="276"/>
      <c r="H742" s="275"/>
      <c r="I742" s="275"/>
      <c r="J742" s="275"/>
      <c r="K742" s="275"/>
      <c r="L742" s="275"/>
      <c r="M742" s="275"/>
      <c r="N742" s="275"/>
    </row>
    <row r="743" spans="1:14">
      <c r="A743" s="274"/>
      <c r="B743" s="275"/>
      <c r="C743" s="276"/>
      <c r="D743" s="276"/>
      <c r="E743" s="276"/>
      <c r="F743" s="276"/>
      <c r="G743" s="276"/>
      <c r="H743" s="275"/>
      <c r="I743" s="275"/>
      <c r="J743" s="275"/>
      <c r="K743" s="275"/>
      <c r="L743" s="275"/>
      <c r="M743" s="275"/>
      <c r="N743" s="275"/>
    </row>
    <row r="744" spans="1:14">
      <c r="A744" s="274"/>
      <c r="B744" s="275"/>
      <c r="C744" s="276"/>
      <c r="D744" s="276"/>
      <c r="E744" s="276"/>
      <c r="F744" s="276"/>
      <c r="G744" s="276"/>
      <c r="H744" s="275"/>
      <c r="I744" s="275"/>
      <c r="J744" s="275"/>
      <c r="K744" s="275"/>
      <c r="L744" s="275"/>
      <c r="M744" s="275"/>
      <c r="N744" s="275"/>
    </row>
    <row r="745" spans="1:14">
      <c r="A745" s="274"/>
      <c r="B745" s="275"/>
      <c r="C745" s="276"/>
      <c r="D745" s="276"/>
      <c r="E745" s="276"/>
      <c r="F745" s="276"/>
      <c r="G745" s="276"/>
      <c r="H745" s="275"/>
      <c r="I745" s="275"/>
      <c r="J745" s="275"/>
      <c r="K745" s="275"/>
      <c r="L745" s="275"/>
      <c r="M745" s="275"/>
      <c r="N745" s="275"/>
    </row>
    <row r="746" spans="1:14">
      <c r="A746" s="274"/>
      <c r="B746" s="275"/>
      <c r="C746" s="276"/>
      <c r="D746" s="276"/>
      <c r="E746" s="276"/>
      <c r="F746" s="276"/>
      <c r="G746" s="276"/>
      <c r="H746" s="275"/>
      <c r="I746" s="275"/>
      <c r="J746" s="275"/>
      <c r="K746" s="275"/>
      <c r="L746" s="275"/>
      <c r="M746" s="275"/>
      <c r="N746" s="275"/>
    </row>
    <row r="747" spans="1:14">
      <c r="A747" s="274"/>
      <c r="B747" s="275"/>
      <c r="C747" s="276"/>
      <c r="D747" s="276"/>
      <c r="E747" s="276"/>
      <c r="F747" s="277"/>
      <c r="G747" s="276"/>
      <c r="H747" s="275"/>
      <c r="I747" s="275"/>
      <c r="J747" s="275"/>
      <c r="K747" s="275"/>
      <c r="L747" s="275"/>
      <c r="M747" s="275"/>
      <c r="N747" s="275"/>
    </row>
    <row r="748" spans="1:14">
      <c r="A748" s="274"/>
      <c r="B748" s="275"/>
      <c r="C748" s="276"/>
      <c r="D748" s="276"/>
      <c r="E748" s="276"/>
      <c r="F748" s="276"/>
      <c r="G748" s="276"/>
      <c r="H748" s="275"/>
      <c r="I748" s="275"/>
      <c r="J748" s="275"/>
      <c r="K748" s="275"/>
      <c r="L748" s="275"/>
      <c r="M748" s="275"/>
      <c r="N748" s="275"/>
    </row>
    <row r="749" spans="1:14">
      <c r="A749" s="274"/>
      <c r="B749" s="275"/>
      <c r="C749" s="276"/>
      <c r="D749" s="276"/>
      <c r="E749" s="276"/>
      <c r="F749" s="276"/>
      <c r="G749" s="276"/>
      <c r="H749" s="275"/>
      <c r="I749" s="275"/>
      <c r="J749" s="275"/>
      <c r="K749" s="275"/>
      <c r="L749" s="275"/>
      <c r="M749" s="275"/>
      <c r="N749" s="275"/>
    </row>
    <row r="750" spans="1:14">
      <c r="A750" s="274"/>
      <c r="B750" s="275"/>
      <c r="C750" s="276"/>
      <c r="D750" s="276"/>
      <c r="E750" s="276"/>
      <c r="F750" s="276"/>
      <c r="G750" s="276"/>
      <c r="H750" s="275"/>
      <c r="I750" s="275"/>
      <c r="J750" s="275"/>
      <c r="K750" s="275"/>
      <c r="L750" s="275"/>
      <c r="M750" s="275"/>
      <c r="N750" s="275"/>
    </row>
    <row r="751" spans="1:14">
      <c r="A751" s="274"/>
      <c r="B751" s="275"/>
      <c r="C751" s="276"/>
      <c r="D751" s="276"/>
      <c r="E751" s="276"/>
      <c r="F751" s="276"/>
      <c r="G751" s="276"/>
      <c r="H751" s="275"/>
      <c r="I751" s="275"/>
      <c r="J751" s="275"/>
      <c r="K751" s="275"/>
      <c r="L751" s="275"/>
      <c r="M751" s="275"/>
      <c r="N751" s="275"/>
    </row>
    <row r="752" spans="1:14">
      <c r="A752" s="274"/>
      <c r="B752" s="275"/>
      <c r="C752" s="276"/>
      <c r="D752" s="276"/>
      <c r="E752" s="276"/>
      <c r="F752" s="276"/>
      <c r="G752" s="276"/>
      <c r="H752" s="275"/>
      <c r="I752" s="275"/>
      <c r="J752" s="275"/>
      <c r="K752" s="275"/>
      <c r="L752" s="275"/>
      <c r="M752" s="275"/>
      <c r="N752" s="275"/>
    </row>
    <row r="753" spans="1:14">
      <c r="A753" s="274"/>
      <c r="B753" s="275"/>
      <c r="C753" s="276"/>
      <c r="D753" s="276"/>
      <c r="E753" s="276"/>
      <c r="F753" s="276"/>
      <c r="G753" s="276"/>
      <c r="H753" s="275"/>
      <c r="I753" s="275"/>
      <c r="J753" s="275"/>
      <c r="K753" s="275"/>
      <c r="L753" s="275"/>
      <c r="M753" s="275"/>
      <c r="N753" s="275"/>
    </row>
    <row r="754" spans="1:14">
      <c r="A754" s="274"/>
      <c r="B754" s="275"/>
      <c r="C754" s="276"/>
      <c r="D754" s="276"/>
      <c r="E754" s="276"/>
      <c r="F754" s="276"/>
      <c r="G754" s="276"/>
      <c r="H754" s="275"/>
      <c r="I754" s="275"/>
      <c r="J754" s="275"/>
      <c r="K754" s="275"/>
      <c r="L754" s="275"/>
      <c r="M754" s="275"/>
      <c r="N754" s="275"/>
    </row>
    <row r="755" spans="1:14">
      <c r="A755" s="274"/>
      <c r="B755" s="275"/>
      <c r="C755" s="276"/>
      <c r="D755" s="276"/>
      <c r="E755" s="276"/>
      <c r="F755" s="276"/>
      <c r="G755" s="276"/>
      <c r="H755" s="275"/>
      <c r="I755" s="275"/>
      <c r="J755" s="275"/>
      <c r="K755" s="275"/>
      <c r="L755" s="275"/>
      <c r="M755" s="275"/>
      <c r="N755" s="275"/>
    </row>
    <row r="756" spans="1:14">
      <c r="A756" s="274"/>
      <c r="B756" s="275"/>
      <c r="C756" s="276"/>
      <c r="D756" s="276"/>
      <c r="E756" s="276"/>
      <c r="F756" s="276"/>
      <c r="G756" s="276"/>
      <c r="H756" s="275"/>
      <c r="I756" s="275"/>
      <c r="J756" s="275"/>
      <c r="K756" s="275"/>
      <c r="L756" s="275"/>
      <c r="M756" s="275"/>
      <c r="N756" s="275"/>
    </row>
    <row r="757" spans="1:14">
      <c r="A757" s="274"/>
      <c r="B757" s="275"/>
      <c r="C757" s="276"/>
      <c r="D757" s="276"/>
      <c r="E757" s="276"/>
      <c r="F757" s="276"/>
      <c r="G757" s="276"/>
      <c r="H757" s="275"/>
      <c r="I757" s="275"/>
      <c r="J757" s="275"/>
      <c r="K757" s="275"/>
      <c r="L757" s="275"/>
      <c r="M757" s="275"/>
      <c r="N757" s="275"/>
    </row>
    <row r="758" spans="1:14">
      <c r="A758" s="274"/>
      <c r="B758" s="275"/>
      <c r="C758" s="276"/>
      <c r="D758" s="276"/>
      <c r="E758" s="276"/>
      <c r="F758" s="276"/>
      <c r="G758" s="276"/>
      <c r="H758" s="275"/>
      <c r="I758" s="275"/>
      <c r="J758" s="275"/>
      <c r="K758" s="275"/>
      <c r="L758" s="275"/>
      <c r="M758" s="275"/>
      <c r="N758" s="275"/>
    </row>
    <row r="759" spans="1:14">
      <c r="A759" s="274"/>
      <c r="B759" s="275"/>
      <c r="C759" s="276"/>
      <c r="D759" s="276"/>
      <c r="E759" s="276"/>
      <c r="F759" s="276"/>
      <c r="G759" s="276"/>
      <c r="H759" s="275"/>
      <c r="I759" s="275"/>
      <c r="J759" s="275"/>
      <c r="K759" s="275"/>
      <c r="L759" s="275"/>
      <c r="M759" s="275"/>
      <c r="N759" s="275"/>
    </row>
    <row r="760" spans="1:14">
      <c r="A760" s="274"/>
      <c r="B760" s="275"/>
      <c r="C760" s="276"/>
      <c r="D760" s="276"/>
      <c r="E760" s="276"/>
      <c r="F760" s="276"/>
      <c r="G760" s="276"/>
      <c r="H760" s="275"/>
      <c r="I760" s="275"/>
      <c r="J760" s="275"/>
      <c r="K760" s="275"/>
      <c r="L760" s="275"/>
      <c r="M760" s="275"/>
      <c r="N760" s="275"/>
    </row>
    <row r="761" spans="1:14">
      <c r="A761" s="274"/>
      <c r="B761" s="275"/>
      <c r="C761" s="276"/>
      <c r="D761" s="276"/>
      <c r="E761" s="276"/>
      <c r="F761" s="276"/>
      <c r="G761" s="276"/>
      <c r="H761" s="275"/>
      <c r="I761" s="275"/>
      <c r="J761" s="275"/>
      <c r="K761" s="275"/>
      <c r="L761" s="275"/>
      <c r="M761" s="275"/>
      <c r="N761" s="275"/>
    </row>
    <row r="762" spans="1:14">
      <c r="A762" s="274"/>
      <c r="B762" s="275"/>
      <c r="C762" s="276"/>
      <c r="D762" s="276"/>
      <c r="E762" s="276"/>
      <c r="F762" s="276"/>
      <c r="G762" s="276"/>
      <c r="H762" s="275"/>
      <c r="I762" s="275"/>
      <c r="J762" s="275"/>
      <c r="K762" s="275"/>
      <c r="L762" s="275"/>
      <c r="M762" s="275"/>
      <c r="N762" s="275"/>
    </row>
    <row r="763" spans="1:14">
      <c r="A763" s="274"/>
      <c r="B763" s="275"/>
      <c r="C763" s="276"/>
      <c r="D763" s="276"/>
      <c r="E763" s="276"/>
      <c r="F763" s="276"/>
      <c r="G763" s="276"/>
      <c r="H763" s="275"/>
      <c r="I763" s="275"/>
      <c r="J763" s="275"/>
      <c r="K763" s="275"/>
      <c r="L763" s="275"/>
      <c r="M763" s="275"/>
      <c r="N763" s="275"/>
    </row>
    <row r="764" spans="1:14">
      <c r="A764" s="274"/>
      <c r="B764" s="275"/>
      <c r="C764" s="276"/>
      <c r="D764" s="276"/>
      <c r="E764" s="276"/>
      <c r="F764" s="276"/>
      <c r="G764" s="276"/>
      <c r="H764" s="275"/>
      <c r="I764" s="275"/>
      <c r="J764" s="275"/>
      <c r="K764" s="275"/>
      <c r="L764" s="275"/>
      <c r="M764" s="275"/>
      <c r="N764" s="275"/>
    </row>
    <row r="765" spans="1:14">
      <c r="A765" s="274"/>
      <c r="B765" s="275"/>
      <c r="C765" s="276"/>
      <c r="D765" s="276"/>
      <c r="E765" s="276"/>
      <c r="F765" s="276"/>
      <c r="G765" s="276"/>
      <c r="H765" s="275"/>
      <c r="I765" s="275"/>
      <c r="J765" s="275"/>
      <c r="K765" s="275"/>
      <c r="L765" s="275"/>
      <c r="M765" s="275"/>
      <c r="N765" s="275"/>
    </row>
    <row r="766" spans="1:14">
      <c r="A766" s="274"/>
      <c r="B766" s="275"/>
      <c r="C766" s="276"/>
      <c r="D766" s="276"/>
      <c r="E766" s="276"/>
      <c r="F766" s="276"/>
      <c r="G766" s="276"/>
      <c r="H766" s="275"/>
      <c r="I766" s="275"/>
      <c r="J766" s="275"/>
      <c r="K766" s="275"/>
      <c r="L766" s="275"/>
      <c r="M766" s="275"/>
      <c r="N766" s="275"/>
    </row>
    <row r="767" spans="1:14">
      <c r="A767" s="274"/>
      <c r="B767" s="275"/>
      <c r="C767" s="276"/>
      <c r="D767" s="276"/>
      <c r="E767" s="276"/>
      <c r="F767" s="276"/>
      <c r="G767" s="276"/>
      <c r="H767" s="275"/>
      <c r="I767" s="275"/>
      <c r="J767" s="275"/>
      <c r="K767" s="275"/>
      <c r="L767" s="275"/>
      <c r="M767" s="275"/>
      <c r="N767" s="275"/>
    </row>
    <row r="768" spans="1:14">
      <c r="A768" s="274"/>
      <c r="B768" s="275"/>
      <c r="C768" s="276"/>
      <c r="D768" s="276"/>
      <c r="E768" s="276"/>
      <c r="F768" s="276"/>
      <c r="G768" s="276"/>
      <c r="H768" s="275"/>
      <c r="I768" s="275"/>
      <c r="J768" s="275"/>
      <c r="K768" s="275"/>
      <c r="L768" s="275"/>
      <c r="M768" s="275"/>
      <c r="N768" s="275"/>
    </row>
    <row r="769" spans="1:14">
      <c r="A769" s="274"/>
      <c r="B769" s="275"/>
      <c r="C769" s="276"/>
      <c r="D769" s="276"/>
      <c r="E769" s="276"/>
      <c r="F769" s="276"/>
      <c r="G769" s="276"/>
      <c r="H769" s="275"/>
      <c r="I769" s="275"/>
      <c r="J769" s="275"/>
      <c r="K769" s="275"/>
      <c r="L769" s="275"/>
      <c r="M769" s="275"/>
      <c r="N769" s="275"/>
    </row>
    <row r="770" spans="1:14">
      <c r="A770" s="274"/>
      <c r="B770" s="275"/>
      <c r="C770" s="276"/>
      <c r="D770" s="276"/>
      <c r="E770" s="276"/>
      <c r="F770" s="276"/>
      <c r="G770" s="276"/>
      <c r="H770" s="275"/>
      <c r="I770" s="275"/>
      <c r="J770" s="275"/>
      <c r="K770" s="275"/>
      <c r="L770" s="275"/>
      <c r="M770" s="275"/>
      <c r="N770" s="275"/>
    </row>
    <row r="771" spans="1:14">
      <c r="A771" s="274"/>
      <c r="B771" s="275"/>
      <c r="C771" s="276"/>
      <c r="D771" s="276"/>
      <c r="E771" s="276"/>
      <c r="F771" s="276"/>
      <c r="G771" s="276"/>
      <c r="H771" s="275"/>
      <c r="I771" s="275"/>
      <c r="J771" s="275"/>
      <c r="K771" s="275"/>
      <c r="L771" s="275"/>
      <c r="M771" s="275"/>
      <c r="N771" s="275"/>
    </row>
    <row r="772" spans="1:14">
      <c r="A772" s="274"/>
      <c r="B772" s="275"/>
      <c r="C772" s="276"/>
      <c r="D772" s="276"/>
      <c r="E772" s="276"/>
      <c r="F772" s="276"/>
      <c r="G772" s="276"/>
      <c r="H772" s="275"/>
      <c r="I772" s="275"/>
      <c r="J772" s="275"/>
      <c r="K772" s="275"/>
      <c r="L772" s="275"/>
      <c r="M772" s="275"/>
      <c r="N772" s="275"/>
    </row>
    <row r="773" spans="1:14">
      <c r="A773" s="274"/>
      <c r="B773" s="275"/>
      <c r="C773" s="276"/>
      <c r="D773" s="276"/>
      <c r="E773" s="276"/>
      <c r="F773" s="276"/>
      <c r="G773" s="276"/>
      <c r="H773" s="275"/>
      <c r="I773" s="275"/>
      <c r="J773" s="275"/>
      <c r="K773" s="275"/>
      <c r="L773" s="275"/>
      <c r="M773" s="275"/>
      <c r="N773" s="275"/>
    </row>
    <row r="774" spans="1:14">
      <c r="A774" s="274"/>
      <c r="B774" s="275"/>
      <c r="C774" s="276"/>
      <c r="D774" s="276"/>
      <c r="E774" s="276"/>
      <c r="F774" s="276"/>
      <c r="G774" s="276"/>
      <c r="H774" s="275"/>
      <c r="I774" s="275"/>
      <c r="J774" s="275"/>
      <c r="K774" s="275"/>
      <c r="L774" s="275"/>
      <c r="M774" s="275"/>
      <c r="N774" s="275"/>
    </row>
    <row r="775" spans="1:14">
      <c r="A775" s="274"/>
      <c r="B775" s="275"/>
      <c r="C775" s="276"/>
      <c r="D775" s="276"/>
      <c r="E775" s="276"/>
      <c r="F775" s="276"/>
      <c r="G775" s="276"/>
      <c r="H775" s="275"/>
      <c r="I775" s="275"/>
      <c r="J775" s="275"/>
      <c r="K775" s="275"/>
      <c r="L775" s="275"/>
      <c r="M775" s="275"/>
      <c r="N775" s="275"/>
    </row>
    <row r="776" spans="1:14">
      <c r="A776" s="274"/>
      <c r="B776" s="275"/>
      <c r="C776" s="276"/>
      <c r="D776" s="276"/>
      <c r="E776" s="276"/>
      <c r="F776" s="276"/>
      <c r="G776" s="276"/>
      <c r="H776" s="275"/>
      <c r="I776" s="275"/>
      <c r="J776" s="275"/>
      <c r="K776" s="275"/>
      <c r="L776" s="275"/>
      <c r="M776" s="275"/>
      <c r="N776" s="275"/>
    </row>
    <row r="777" spans="1:14">
      <c r="A777" s="274"/>
      <c r="B777" s="275"/>
      <c r="C777" s="276"/>
      <c r="D777" s="276"/>
      <c r="E777" s="276"/>
      <c r="F777" s="276"/>
      <c r="G777" s="276"/>
      <c r="H777" s="275"/>
      <c r="I777" s="275"/>
      <c r="J777" s="275"/>
      <c r="K777" s="275"/>
      <c r="L777" s="275"/>
      <c r="M777" s="275"/>
      <c r="N777" s="275"/>
    </row>
    <row r="778" spans="1:14">
      <c r="A778" s="274"/>
      <c r="B778" s="275"/>
      <c r="C778" s="276"/>
      <c r="D778" s="276"/>
      <c r="E778" s="276"/>
      <c r="F778" s="276"/>
      <c r="G778" s="276"/>
      <c r="H778" s="275"/>
      <c r="I778" s="275"/>
      <c r="J778" s="275"/>
      <c r="K778" s="275"/>
      <c r="L778" s="275"/>
      <c r="M778" s="275"/>
      <c r="N778" s="275"/>
    </row>
    <row r="779" spans="1:14">
      <c r="A779" s="274"/>
      <c r="B779" s="275"/>
      <c r="C779" s="276"/>
      <c r="D779" s="276"/>
      <c r="E779" s="276"/>
      <c r="F779" s="276"/>
      <c r="G779" s="276"/>
      <c r="H779" s="275"/>
      <c r="I779" s="275"/>
      <c r="J779" s="275"/>
      <c r="K779" s="275"/>
      <c r="L779" s="275"/>
      <c r="M779" s="275"/>
      <c r="N779" s="275"/>
    </row>
    <row r="780" spans="1:14">
      <c r="A780" s="274"/>
      <c r="B780" s="275"/>
      <c r="C780" s="276"/>
      <c r="D780" s="276"/>
      <c r="E780" s="276"/>
      <c r="F780" s="276"/>
      <c r="G780" s="276"/>
      <c r="H780" s="275"/>
      <c r="I780" s="275"/>
      <c r="J780" s="275"/>
      <c r="K780" s="275"/>
      <c r="L780" s="275"/>
      <c r="M780" s="275"/>
      <c r="N780" s="275"/>
    </row>
    <row r="781" spans="1:14">
      <c r="A781" s="274"/>
      <c r="B781" s="275"/>
      <c r="C781" s="276"/>
      <c r="D781" s="276"/>
      <c r="E781" s="276"/>
      <c r="F781" s="276"/>
      <c r="G781" s="276"/>
      <c r="H781" s="275"/>
      <c r="I781" s="275"/>
      <c r="J781" s="275"/>
      <c r="K781" s="275"/>
      <c r="L781" s="275"/>
      <c r="M781" s="275"/>
      <c r="N781" s="275"/>
    </row>
    <row r="782" spans="1:14">
      <c r="A782" s="274"/>
      <c r="B782" s="275"/>
      <c r="C782" s="276"/>
      <c r="D782" s="276"/>
      <c r="E782" s="276"/>
      <c r="F782" s="276"/>
      <c r="G782" s="276"/>
      <c r="H782" s="275"/>
      <c r="I782" s="275"/>
      <c r="J782" s="275"/>
      <c r="K782" s="275"/>
      <c r="L782" s="275"/>
      <c r="M782" s="275"/>
      <c r="N782" s="275"/>
    </row>
    <row r="783" spans="1:14">
      <c r="A783" s="274"/>
      <c r="B783" s="275"/>
      <c r="C783" s="276"/>
      <c r="D783" s="276"/>
      <c r="E783" s="276"/>
      <c r="F783" s="276"/>
      <c r="G783" s="276"/>
      <c r="H783" s="275"/>
      <c r="I783" s="275"/>
      <c r="J783" s="275"/>
      <c r="K783" s="275"/>
      <c r="L783" s="275"/>
      <c r="M783" s="275"/>
      <c r="N783" s="275"/>
    </row>
    <row r="784" spans="1:14">
      <c r="A784" s="274"/>
      <c r="B784" s="275"/>
      <c r="C784" s="276"/>
      <c r="D784" s="276"/>
      <c r="E784" s="276"/>
      <c r="F784" s="276"/>
      <c r="G784" s="276"/>
      <c r="H784" s="275"/>
      <c r="I784" s="275"/>
      <c r="J784" s="275"/>
      <c r="K784" s="275"/>
      <c r="L784" s="275"/>
      <c r="M784" s="275"/>
      <c r="N784" s="275"/>
    </row>
    <row r="785" spans="1:14">
      <c r="A785" s="274"/>
      <c r="B785" s="275"/>
      <c r="C785" s="276"/>
      <c r="D785" s="276"/>
      <c r="E785" s="276"/>
      <c r="F785" s="276"/>
      <c r="G785" s="276"/>
      <c r="H785" s="275"/>
      <c r="I785" s="275"/>
      <c r="J785" s="275"/>
      <c r="K785" s="275"/>
      <c r="L785" s="275"/>
      <c r="M785" s="275"/>
      <c r="N785" s="275"/>
    </row>
    <row r="786" spans="1:14">
      <c r="A786" s="274"/>
      <c r="B786" s="275"/>
      <c r="C786" s="276"/>
      <c r="D786" s="276"/>
      <c r="E786" s="276"/>
      <c r="F786" s="276"/>
      <c r="G786" s="276"/>
      <c r="H786" s="275"/>
      <c r="I786" s="275"/>
      <c r="J786" s="275"/>
      <c r="K786" s="275"/>
      <c r="L786" s="275"/>
      <c r="M786" s="275"/>
      <c r="N786" s="275"/>
    </row>
    <row r="787" spans="1:14">
      <c r="A787" s="274"/>
      <c r="B787" s="275"/>
      <c r="C787" s="276"/>
      <c r="D787" s="276"/>
      <c r="E787" s="276"/>
      <c r="F787" s="276"/>
      <c r="G787" s="276"/>
      <c r="H787" s="275"/>
      <c r="I787" s="275"/>
      <c r="J787" s="275"/>
      <c r="K787" s="275"/>
      <c r="L787" s="275"/>
      <c r="M787" s="275"/>
      <c r="N787" s="275"/>
    </row>
    <row r="788" spans="1:14">
      <c r="A788" s="274"/>
      <c r="B788" s="275"/>
      <c r="C788" s="276"/>
      <c r="D788" s="276"/>
      <c r="E788" s="276"/>
      <c r="F788" s="276"/>
      <c r="G788" s="276"/>
      <c r="H788" s="275"/>
      <c r="I788" s="275"/>
      <c r="J788" s="275"/>
      <c r="K788" s="275"/>
      <c r="L788" s="275"/>
      <c r="M788" s="275"/>
      <c r="N788" s="275"/>
    </row>
    <row r="789" spans="1:14">
      <c r="A789" s="274"/>
      <c r="B789" s="275"/>
      <c r="C789" s="276"/>
      <c r="D789" s="276"/>
      <c r="E789" s="276"/>
      <c r="F789" s="276"/>
      <c r="G789" s="276"/>
      <c r="H789" s="275"/>
      <c r="I789" s="275"/>
      <c r="J789" s="275"/>
      <c r="K789" s="275"/>
      <c r="L789" s="275"/>
      <c r="M789" s="275"/>
      <c r="N789" s="275"/>
    </row>
    <row r="790" spans="1:14">
      <c r="A790" s="274"/>
      <c r="B790" s="275"/>
      <c r="C790" s="276"/>
      <c r="D790" s="276"/>
      <c r="E790" s="276"/>
      <c r="F790" s="276"/>
      <c r="G790" s="276"/>
      <c r="H790" s="275"/>
      <c r="I790" s="275"/>
      <c r="J790" s="275"/>
      <c r="K790" s="275"/>
      <c r="L790" s="275"/>
      <c r="M790" s="275"/>
      <c r="N790" s="275"/>
    </row>
    <row r="791" spans="1:14">
      <c r="A791" s="274"/>
      <c r="B791" s="275"/>
      <c r="C791" s="276"/>
      <c r="D791" s="276"/>
      <c r="E791" s="276"/>
      <c r="F791" s="276"/>
      <c r="G791" s="276"/>
      <c r="H791" s="275"/>
      <c r="I791" s="275"/>
      <c r="J791" s="275"/>
      <c r="K791" s="275"/>
      <c r="L791" s="275"/>
      <c r="M791" s="275"/>
      <c r="N791" s="275"/>
    </row>
    <row r="792" spans="1:14">
      <c r="A792" s="274"/>
      <c r="B792" s="275"/>
      <c r="C792" s="276"/>
      <c r="D792" s="276"/>
      <c r="E792" s="276"/>
      <c r="F792" s="276"/>
      <c r="G792" s="276"/>
      <c r="H792" s="275"/>
      <c r="I792" s="275"/>
      <c r="J792" s="275"/>
      <c r="K792" s="275"/>
      <c r="L792" s="275"/>
      <c r="M792" s="275"/>
      <c r="N792" s="275"/>
    </row>
    <row r="793" spans="1:14">
      <c r="A793" s="274"/>
      <c r="B793" s="275"/>
      <c r="C793" s="276"/>
      <c r="D793" s="276"/>
      <c r="E793" s="276"/>
      <c r="F793" s="276"/>
      <c r="G793" s="276"/>
      <c r="H793" s="275"/>
      <c r="I793" s="275"/>
      <c r="J793" s="275"/>
      <c r="K793" s="275"/>
      <c r="L793" s="275"/>
      <c r="M793" s="275"/>
      <c r="N793" s="275"/>
    </row>
    <row r="794" spans="1:14">
      <c r="A794" s="274"/>
      <c r="B794" s="275"/>
      <c r="C794" s="276"/>
      <c r="D794" s="276"/>
      <c r="E794" s="276"/>
      <c r="F794" s="276"/>
      <c r="G794" s="276"/>
      <c r="H794" s="275"/>
      <c r="I794" s="275"/>
      <c r="J794" s="275"/>
      <c r="K794" s="275"/>
      <c r="L794" s="275"/>
      <c r="M794" s="275"/>
      <c r="N794" s="275"/>
    </row>
    <row r="795" spans="1:14">
      <c r="A795" s="274"/>
      <c r="B795" s="275"/>
      <c r="C795" s="276"/>
      <c r="D795" s="276"/>
      <c r="E795" s="276"/>
      <c r="F795" s="276"/>
      <c r="G795" s="276"/>
      <c r="H795" s="275"/>
      <c r="I795" s="275"/>
      <c r="J795" s="275"/>
      <c r="K795" s="275"/>
      <c r="L795" s="275"/>
      <c r="M795" s="275"/>
      <c r="N795" s="275"/>
    </row>
    <row r="796" spans="1:14">
      <c r="A796" s="274"/>
      <c r="B796" s="275"/>
      <c r="C796" s="276"/>
      <c r="D796" s="276"/>
      <c r="E796" s="276"/>
      <c r="F796" s="276"/>
      <c r="G796" s="276"/>
      <c r="H796" s="275"/>
      <c r="I796" s="275"/>
      <c r="J796" s="275"/>
      <c r="K796" s="275"/>
      <c r="L796" s="275"/>
      <c r="M796" s="275"/>
      <c r="N796" s="275"/>
    </row>
    <row r="797" spans="1:14">
      <c r="A797" s="274"/>
      <c r="B797" s="275"/>
      <c r="C797" s="276"/>
      <c r="D797" s="276"/>
      <c r="E797" s="276"/>
      <c r="F797" s="276"/>
      <c r="G797" s="276"/>
      <c r="H797" s="275"/>
      <c r="I797" s="275"/>
      <c r="J797" s="275"/>
      <c r="K797" s="275"/>
      <c r="L797" s="275"/>
      <c r="M797" s="275"/>
      <c r="N797" s="275"/>
    </row>
    <row r="798" spans="1:14">
      <c r="A798" s="274"/>
      <c r="B798" s="275"/>
      <c r="C798" s="276"/>
      <c r="D798" s="276"/>
      <c r="E798" s="276"/>
      <c r="F798" s="276"/>
      <c r="G798" s="276"/>
      <c r="H798" s="275"/>
      <c r="I798" s="275"/>
      <c r="J798" s="275"/>
      <c r="K798" s="275"/>
      <c r="L798" s="275"/>
      <c r="M798" s="275"/>
      <c r="N798" s="275"/>
    </row>
    <row r="799" spans="1:14">
      <c r="A799" s="274"/>
      <c r="B799" s="275"/>
      <c r="C799" s="276"/>
      <c r="D799" s="276"/>
      <c r="E799" s="276"/>
      <c r="F799" s="276"/>
      <c r="G799" s="276"/>
      <c r="H799" s="275"/>
      <c r="I799" s="275"/>
      <c r="J799" s="275"/>
      <c r="K799" s="275"/>
      <c r="L799" s="275"/>
      <c r="M799" s="275"/>
      <c r="N799" s="275"/>
    </row>
    <row r="800" spans="1:14">
      <c r="A800" s="274"/>
      <c r="B800" s="275"/>
      <c r="C800" s="276"/>
      <c r="D800" s="276"/>
      <c r="E800" s="276"/>
      <c r="F800" s="276"/>
      <c r="G800" s="276"/>
      <c r="H800" s="275"/>
      <c r="I800" s="275"/>
      <c r="J800" s="275"/>
      <c r="K800" s="275"/>
      <c r="L800" s="275"/>
      <c r="M800" s="275"/>
      <c r="N800" s="275"/>
    </row>
    <row r="801" spans="1:14">
      <c r="A801" s="274"/>
      <c r="B801" s="275"/>
      <c r="C801" s="276"/>
      <c r="D801" s="276"/>
      <c r="E801" s="276"/>
      <c r="F801" s="276"/>
      <c r="G801" s="276"/>
      <c r="H801" s="275"/>
      <c r="I801" s="275"/>
      <c r="J801" s="275"/>
      <c r="K801" s="275"/>
      <c r="L801" s="275"/>
      <c r="M801" s="275"/>
      <c r="N801" s="275"/>
    </row>
    <row r="802" spans="1:14">
      <c r="A802" s="274"/>
      <c r="B802" s="275"/>
      <c r="C802" s="276"/>
      <c r="D802" s="276"/>
      <c r="E802" s="276"/>
      <c r="F802" s="276"/>
      <c r="G802" s="276"/>
      <c r="H802" s="275"/>
      <c r="I802" s="275"/>
      <c r="J802" s="275"/>
      <c r="K802" s="275"/>
      <c r="L802" s="275"/>
      <c r="M802" s="275"/>
      <c r="N802" s="275"/>
    </row>
    <row r="803" spans="1:14">
      <c r="A803" s="274"/>
      <c r="B803" s="275"/>
      <c r="C803" s="276"/>
      <c r="D803" s="276"/>
      <c r="E803" s="276"/>
      <c r="F803" s="276"/>
      <c r="G803" s="276"/>
      <c r="H803" s="275"/>
      <c r="I803" s="275"/>
      <c r="J803" s="275"/>
      <c r="K803" s="275"/>
      <c r="L803" s="275"/>
      <c r="M803" s="275"/>
      <c r="N803" s="275"/>
    </row>
    <row r="804" spans="1:14">
      <c r="A804" s="274"/>
      <c r="B804" s="275"/>
      <c r="C804" s="276"/>
      <c r="D804" s="276"/>
      <c r="E804" s="276"/>
      <c r="F804" s="276"/>
      <c r="G804" s="276"/>
      <c r="H804" s="275"/>
      <c r="I804" s="275"/>
      <c r="J804" s="275"/>
      <c r="K804" s="275"/>
      <c r="L804" s="275"/>
      <c r="M804" s="275"/>
      <c r="N804" s="275"/>
    </row>
    <row r="805" spans="1:14">
      <c r="A805" s="274"/>
      <c r="B805" s="275"/>
      <c r="C805" s="276"/>
      <c r="D805" s="276"/>
      <c r="E805" s="276"/>
      <c r="F805" s="276"/>
      <c r="G805" s="276"/>
      <c r="H805" s="275"/>
      <c r="I805" s="275"/>
      <c r="J805" s="275"/>
      <c r="K805" s="275"/>
      <c r="L805" s="275"/>
      <c r="M805" s="275"/>
      <c r="N805" s="275"/>
    </row>
    <row r="806" spans="1:14">
      <c r="A806" s="274"/>
      <c r="B806" s="275"/>
      <c r="C806" s="276"/>
      <c r="D806" s="276"/>
      <c r="E806" s="276"/>
      <c r="F806" s="276"/>
      <c r="G806" s="276"/>
      <c r="H806" s="275"/>
      <c r="I806" s="275"/>
      <c r="J806" s="275"/>
      <c r="K806" s="275"/>
      <c r="L806" s="275"/>
      <c r="M806" s="275"/>
      <c r="N806" s="275"/>
    </row>
    <row r="807" spans="1:14">
      <c r="A807" s="274"/>
      <c r="B807" s="275"/>
      <c r="C807" s="276"/>
      <c r="D807" s="276"/>
      <c r="E807" s="276"/>
      <c r="F807" s="276"/>
      <c r="G807" s="276"/>
      <c r="H807" s="275"/>
      <c r="I807" s="275"/>
      <c r="J807" s="275"/>
      <c r="K807" s="275"/>
      <c r="L807" s="275"/>
      <c r="M807" s="275"/>
      <c r="N807" s="275"/>
    </row>
    <row r="808" spans="1:14">
      <c r="A808" s="274"/>
      <c r="B808" s="275"/>
      <c r="C808" s="276"/>
      <c r="D808" s="276"/>
      <c r="E808" s="276"/>
      <c r="F808" s="276"/>
      <c r="G808" s="276"/>
      <c r="H808" s="275"/>
      <c r="I808" s="275"/>
      <c r="J808" s="275"/>
      <c r="K808" s="275"/>
      <c r="L808" s="275"/>
      <c r="M808" s="275"/>
      <c r="N808" s="275"/>
    </row>
    <row r="809" spans="1:14">
      <c r="A809" s="274"/>
      <c r="B809" s="275"/>
      <c r="C809" s="276"/>
      <c r="D809" s="276"/>
      <c r="E809" s="276"/>
      <c r="F809" s="276"/>
      <c r="G809" s="276"/>
      <c r="H809" s="275"/>
      <c r="I809" s="275"/>
      <c r="J809" s="275"/>
      <c r="K809" s="275"/>
      <c r="L809" s="275"/>
      <c r="M809" s="275"/>
      <c r="N809" s="275"/>
    </row>
    <row r="810" spans="1:14">
      <c r="A810" s="274"/>
      <c r="B810" s="275"/>
      <c r="C810" s="276"/>
      <c r="D810" s="276"/>
      <c r="E810" s="276"/>
      <c r="F810" s="276"/>
      <c r="G810" s="276"/>
      <c r="H810" s="275"/>
      <c r="I810" s="275"/>
      <c r="J810" s="275"/>
      <c r="K810" s="275"/>
      <c r="L810" s="275"/>
      <c r="M810" s="275"/>
      <c r="N810" s="275"/>
    </row>
    <row r="811" spans="1:14">
      <c r="A811" s="274"/>
      <c r="B811" s="275"/>
      <c r="C811" s="276"/>
      <c r="D811" s="276"/>
      <c r="E811" s="276"/>
      <c r="F811" s="276"/>
      <c r="G811" s="276"/>
      <c r="H811" s="275"/>
      <c r="I811" s="275"/>
      <c r="J811" s="275"/>
      <c r="K811" s="275"/>
      <c r="L811" s="275"/>
      <c r="M811" s="275"/>
      <c r="N811" s="275"/>
    </row>
    <row r="812" spans="1:14">
      <c r="A812" s="274"/>
      <c r="B812" s="275"/>
      <c r="C812" s="276"/>
      <c r="D812" s="276"/>
      <c r="E812" s="276"/>
      <c r="F812" s="276"/>
      <c r="G812" s="276"/>
      <c r="H812" s="275"/>
      <c r="I812" s="275"/>
      <c r="J812" s="275"/>
      <c r="K812" s="275"/>
      <c r="L812" s="275"/>
      <c r="M812" s="275"/>
      <c r="N812" s="275"/>
    </row>
    <row r="813" spans="1:14">
      <c r="A813" s="274"/>
      <c r="B813" s="275"/>
      <c r="C813" s="276"/>
      <c r="D813" s="276"/>
      <c r="E813" s="276"/>
      <c r="F813" s="276"/>
      <c r="G813" s="276"/>
      <c r="H813" s="275"/>
      <c r="I813" s="275"/>
      <c r="J813" s="275"/>
      <c r="K813" s="275"/>
      <c r="L813" s="275"/>
      <c r="M813" s="275"/>
      <c r="N813" s="275"/>
    </row>
    <row r="814" spans="1:14">
      <c r="A814" s="274"/>
      <c r="B814" s="275"/>
      <c r="C814" s="276"/>
      <c r="D814" s="276"/>
      <c r="E814" s="276"/>
      <c r="F814" s="276"/>
      <c r="G814" s="276"/>
      <c r="H814" s="275"/>
      <c r="I814" s="275"/>
      <c r="J814" s="275"/>
      <c r="K814" s="275"/>
      <c r="L814" s="275"/>
      <c r="M814" s="275"/>
      <c r="N814" s="275"/>
    </row>
    <row r="815" spans="1:14">
      <c r="A815" s="274"/>
      <c r="B815" s="275"/>
      <c r="C815" s="276"/>
      <c r="D815" s="276"/>
      <c r="E815" s="276"/>
      <c r="F815" s="276"/>
      <c r="G815" s="276"/>
      <c r="H815" s="275"/>
      <c r="I815" s="275"/>
      <c r="J815" s="275"/>
      <c r="K815" s="275"/>
      <c r="L815" s="275"/>
      <c r="M815" s="275"/>
      <c r="N815" s="275"/>
    </row>
    <row r="816" spans="1:14">
      <c r="A816" s="274"/>
      <c r="B816" s="275"/>
      <c r="C816" s="276"/>
      <c r="D816" s="276"/>
      <c r="E816" s="276"/>
      <c r="F816" s="276"/>
      <c r="G816" s="276"/>
      <c r="H816" s="275"/>
      <c r="I816" s="275"/>
      <c r="J816" s="275"/>
      <c r="K816" s="275"/>
      <c r="L816" s="275"/>
      <c r="M816" s="275"/>
      <c r="N816" s="275"/>
    </row>
    <row r="817" spans="1:14">
      <c r="A817" s="274"/>
      <c r="B817" s="275"/>
      <c r="C817" s="276"/>
      <c r="D817" s="276"/>
      <c r="E817" s="276"/>
      <c r="F817" s="276"/>
      <c r="G817" s="276"/>
      <c r="H817" s="275"/>
      <c r="I817" s="275"/>
      <c r="J817" s="275"/>
      <c r="K817" s="275"/>
      <c r="L817" s="275"/>
      <c r="M817" s="275"/>
      <c r="N817" s="275"/>
    </row>
    <row r="818" spans="1:14">
      <c r="A818" s="274"/>
      <c r="B818" s="275"/>
      <c r="C818" s="276"/>
      <c r="D818" s="276"/>
      <c r="E818" s="276"/>
      <c r="F818" s="276"/>
      <c r="G818" s="276"/>
      <c r="H818" s="275"/>
      <c r="I818" s="275"/>
      <c r="J818" s="275"/>
      <c r="K818" s="275"/>
      <c r="L818" s="275"/>
      <c r="M818" s="275"/>
      <c r="N818" s="275"/>
    </row>
    <row r="819" spans="1:14">
      <c r="A819" s="274"/>
      <c r="B819" s="275"/>
      <c r="C819" s="276"/>
      <c r="D819" s="276"/>
      <c r="E819" s="276"/>
      <c r="F819" s="276"/>
      <c r="G819" s="276"/>
      <c r="H819" s="275"/>
      <c r="I819" s="275"/>
      <c r="J819" s="275"/>
      <c r="K819" s="275"/>
      <c r="L819" s="275"/>
      <c r="M819" s="275"/>
      <c r="N819" s="275"/>
    </row>
    <row r="820" spans="1:14">
      <c r="A820" s="274"/>
      <c r="B820" s="275"/>
      <c r="C820" s="276"/>
      <c r="D820" s="276"/>
      <c r="E820" s="276"/>
      <c r="F820" s="276"/>
      <c r="G820" s="276"/>
      <c r="H820" s="275"/>
      <c r="I820" s="275"/>
      <c r="J820" s="275"/>
      <c r="K820" s="275"/>
      <c r="L820" s="275"/>
      <c r="M820" s="275"/>
      <c r="N820" s="275"/>
    </row>
    <row r="821" spans="1:14">
      <c r="A821" s="274"/>
      <c r="B821" s="275"/>
      <c r="C821" s="276"/>
      <c r="D821" s="276"/>
      <c r="E821" s="276"/>
      <c r="F821" s="276"/>
      <c r="G821" s="276"/>
      <c r="H821" s="275"/>
      <c r="I821" s="275"/>
      <c r="J821" s="275"/>
      <c r="K821" s="275"/>
      <c r="L821" s="275"/>
      <c r="M821" s="275"/>
      <c r="N821" s="275"/>
    </row>
    <row r="822" spans="1:14">
      <c r="A822" s="274"/>
      <c r="B822" s="275"/>
      <c r="C822" s="276"/>
      <c r="D822" s="276"/>
      <c r="E822" s="276"/>
      <c r="F822" s="276"/>
      <c r="G822" s="276"/>
      <c r="H822" s="275"/>
      <c r="I822" s="275"/>
      <c r="J822" s="275"/>
      <c r="K822" s="275"/>
      <c r="L822" s="275"/>
      <c r="M822" s="275"/>
      <c r="N822" s="275"/>
    </row>
    <row r="823" spans="1:14">
      <c r="A823" s="274"/>
      <c r="B823" s="275"/>
      <c r="C823" s="276"/>
      <c r="D823" s="276"/>
      <c r="E823" s="276"/>
      <c r="F823" s="276"/>
      <c r="G823" s="276"/>
      <c r="H823" s="275"/>
      <c r="I823" s="275"/>
      <c r="J823" s="275"/>
      <c r="K823" s="275"/>
      <c r="L823" s="275"/>
      <c r="M823" s="275"/>
      <c r="N823" s="275"/>
    </row>
    <row r="824" spans="1:14">
      <c r="A824" s="274"/>
      <c r="B824" s="275"/>
      <c r="C824" s="276"/>
      <c r="D824" s="276"/>
      <c r="E824" s="276"/>
      <c r="F824" s="276"/>
      <c r="G824" s="276"/>
      <c r="H824" s="275"/>
      <c r="I824" s="275"/>
      <c r="J824" s="275"/>
      <c r="K824" s="275"/>
      <c r="L824" s="275"/>
      <c r="M824" s="275"/>
      <c r="N824" s="275"/>
    </row>
    <row r="825" spans="1:14">
      <c r="A825" s="274"/>
      <c r="B825" s="275"/>
      <c r="C825" s="276"/>
      <c r="D825" s="276"/>
      <c r="E825" s="276"/>
      <c r="F825" s="276"/>
      <c r="G825" s="276"/>
      <c r="H825" s="275"/>
      <c r="I825" s="275"/>
      <c r="J825" s="275"/>
      <c r="K825" s="275"/>
      <c r="L825" s="275"/>
      <c r="M825" s="275"/>
      <c r="N825" s="275"/>
    </row>
    <row r="826" spans="1:14">
      <c r="A826" s="274"/>
      <c r="B826" s="275"/>
      <c r="C826" s="276"/>
      <c r="D826" s="276"/>
      <c r="E826" s="276"/>
      <c r="F826" s="277"/>
      <c r="G826" s="276"/>
      <c r="H826" s="275"/>
      <c r="I826" s="275"/>
      <c r="J826" s="275"/>
      <c r="K826" s="275"/>
      <c r="L826" s="275"/>
      <c r="M826" s="275"/>
      <c r="N826" s="275"/>
    </row>
    <row r="827" spans="1:14">
      <c r="A827" s="274"/>
      <c r="B827" s="275"/>
      <c r="C827" s="276"/>
      <c r="D827" s="276"/>
      <c r="E827" s="276"/>
      <c r="F827" s="276"/>
      <c r="G827" s="276"/>
      <c r="H827" s="275"/>
      <c r="I827" s="275"/>
      <c r="J827" s="275"/>
      <c r="K827" s="275"/>
      <c r="L827" s="275"/>
      <c r="M827" s="275"/>
      <c r="N827" s="275"/>
    </row>
    <row r="828" spans="1:14">
      <c r="A828" s="274"/>
      <c r="B828" s="275"/>
      <c r="C828" s="276"/>
      <c r="D828" s="276"/>
      <c r="E828" s="276"/>
      <c r="F828" s="276"/>
      <c r="G828" s="276"/>
      <c r="H828" s="275"/>
      <c r="I828" s="275"/>
      <c r="J828" s="275"/>
      <c r="K828" s="275"/>
      <c r="L828" s="275"/>
      <c r="M828" s="275"/>
      <c r="N828" s="275"/>
    </row>
    <row r="829" spans="1:14">
      <c r="A829" s="274"/>
      <c r="B829" s="275"/>
      <c r="C829" s="276"/>
      <c r="D829" s="276"/>
      <c r="E829" s="276"/>
      <c r="F829" s="276"/>
      <c r="G829" s="276"/>
      <c r="H829" s="275"/>
      <c r="I829" s="275"/>
      <c r="J829" s="275"/>
      <c r="K829" s="275"/>
      <c r="L829" s="275"/>
      <c r="M829" s="275"/>
      <c r="N829" s="275"/>
    </row>
    <row r="830" spans="1:14">
      <c r="A830" s="274"/>
      <c r="B830" s="275"/>
      <c r="C830" s="276"/>
      <c r="D830" s="276"/>
      <c r="E830" s="276"/>
      <c r="F830" s="276"/>
      <c r="G830" s="276"/>
      <c r="H830" s="275"/>
      <c r="I830" s="275"/>
      <c r="J830" s="275"/>
      <c r="K830" s="275"/>
      <c r="L830" s="275"/>
      <c r="M830" s="275"/>
      <c r="N830" s="275"/>
    </row>
    <row r="831" spans="1:14">
      <c r="A831" s="274"/>
      <c r="B831" s="275"/>
      <c r="C831" s="276"/>
      <c r="D831" s="276"/>
      <c r="E831" s="276"/>
      <c r="F831" s="276"/>
      <c r="G831" s="276"/>
      <c r="H831" s="275"/>
      <c r="I831" s="275"/>
      <c r="J831" s="275"/>
      <c r="K831" s="275"/>
      <c r="L831" s="275"/>
      <c r="M831" s="275"/>
      <c r="N831" s="275"/>
    </row>
    <row r="832" spans="1:14">
      <c r="A832" s="274"/>
      <c r="B832" s="275"/>
      <c r="C832" s="276"/>
      <c r="D832" s="276"/>
      <c r="E832" s="276"/>
      <c r="F832" s="276"/>
      <c r="G832" s="276"/>
      <c r="H832" s="275"/>
      <c r="I832" s="275"/>
      <c r="J832" s="275"/>
      <c r="K832" s="275"/>
      <c r="L832" s="275"/>
      <c r="M832" s="275"/>
      <c r="N832" s="275"/>
    </row>
    <row r="833" spans="1:14">
      <c r="A833" s="274"/>
      <c r="B833" s="275"/>
      <c r="C833" s="276"/>
      <c r="D833" s="276"/>
      <c r="E833" s="276"/>
      <c r="F833" s="276"/>
      <c r="G833" s="276"/>
      <c r="H833" s="275"/>
      <c r="I833" s="275"/>
      <c r="J833" s="275"/>
      <c r="K833" s="275"/>
      <c r="L833" s="275"/>
      <c r="M833" s="275"/>
      <c r="N833" s="275"/>
    </row>
    <row r="834" spans="1:14">
      <c r="A834" s="274"/>
      <c r="B834" s="275"/>
      <c r="C834" s="276"/>
      <c r="D834" s="276"/>
      <c r="E834" s="276"/>
      <c r="F834" s="276"/>
      <c r="G834" s="276"/>
      <c r="H834" s="275"/>
      <c r="I834" s="275"/>
      <c r="J834" s="275"/>
      <c r="K834" s="275"/>
      <c r="L834" s="275"/>
      <c r="M834" s="275"/>
      <c r="N834" s="275"/>
    </row>
    <row r="835" spans="1:14">
      <c r="A835" s="274"/>
      <c r="B835" s="275"/>
      <c r="C835" s="276"/>
      <c r="D835" s="276"/>
      <c r="E835" s="276"/>
      <c r="F835" s="276"/>
      <c r="G835" s="276"/>
      <c r="H835" s="275"/>
      <c r="I835" s="275"/>
      <c r="J835" s="275"/>
      <c r="K835" s="275"/>
      <c r="L835" s="275"/>
      <c r="M835" s="275"/>
      <c r="N835" s="275"/>
    </row>
    <row r="836" spans="1:14">
      <c r="A836" s="274"/>
      <c r="B836" s="275"/>
      <c r="C836" s="276"/>
      <c r="D836" s="276"/>
      <c r="E836" s="276"/>
      <c r="F836" s="276"/>
      <c r="G836" s="276"/>
      <c r="H836" s="275"/>
      <c r="I836" s="275"/>
      <c r="J836" s="275"/>
      <c r="K836" s="275"/>
      <c r="L836" s="275"/>
      <c r="M836" s="275"/>
      <c r="N836" s="275"/>
    </row>
    <row r="837" spans="1:14">
      <c r="A837" s="274"/>
      <c r="B837" s="275"/>
      <c r="C837" s="276"/>
      <c r="D837" s="276"/>
      <c r="E837" s="276"/>
      <c r="F837" s="276"/>
      <c r="G837" s="276"/>
      <c r="H837" s="275"/>
      <c r="I837" s="275"/>
      <c r="J837" s="275"/>
      <c r="K837" s="275"/>
      <c r="L837" s="275"/>
      <c r="M837" s="275"/>
      <c r="N837" s="275"/>
    </row>
    <row r="838" spans="1:14">
      <c r="A838" s="274"/>
      <c r="B838" s="275"/>
      <c r="C838" s="276"/>
      <c r="D838" s="276"/>
      <c r="E838" s="276"/>
      <c r="F838" s="276"/>
      <c r="G838" s="276"/>
      <c r="H838" s="275"/>
      <c r="I838" s="275"/>
      <c r="J838" s="275"/>
      <c r="K838" s="275"/>
      <c r="L838" s="275"/>
      <c r="M838" s="275"/>
      <c r="N838" s="275"/>
    </row>
    <row r="839" spans="1:14">
      <c r="A839" s="274"/>
      <c r="B839" s="275"/>
      <c r="C839" s="276"/>
      <c r="D839" s="276"/>
      <c r="E839" s="276"/>
      <c r="F839" s="276"/>
      <c r="G839" s="276"/>
      <c r="H839" s="275"/>
      <c r="I839" s="275"/>
      <c r="J839" s="275"/>
      <c r="K839" s="275"/>
      <c r="L839" s="275"/>
      <c r="M839" s="275"/>
      <c r="N839" s="275"/>
    </row>
    <row r="840" spans="1:14">
      <c r="A840" s="274"/>
      <c r="B840" s="275"/>
      <c r="C840" s="276"/>
      <c r="D840" s="276"/>
      <c r="E840" s="276"/>
      <c r="F840" s="276"/>
      <c r="G840" s="276"/>
      <c r="H840" s="275"/>
      <c r="I840" s="275"/>
      <c r="J840" s="275"/>
      <c r="K840" s="275"/>
      <c r="L840" s="275"/>
      <c r="M840" s="275"/>
      <c r="N840" s="275"/>
    </row>
    <row r="841" spans="1:14">
      <c r="A841" s="274"/>
      <c r="B841" s="275"/>
      <c r="C841" s="276"/>
      <c r="D841" s="276"/>
      <c r="E841" s="276"/>
      <c r="F841" s="276"/>
      <c r="G841" s="276"/>
      <c r="H841" s="275"/>
      <c r="I841" s="275"/>
      <c r="J841" s="275"/>
      <c r="K841" s="275"/>
      <c r="L841" s="275"/>
      <c r="M841" s="275"/>
      <c r="N841" s="275"/>
    </row>
    <row r="842" spans="1:14">
      <c r="A842" s="274"/>
      <c r="B842" s="275"/>
      <c r="C842" s="276"/>
      <c r="D842" s="276"/>
      <c r="E842" s="276"/>
      <c r="F842" s="276"/>
      <c r="G842" s="276"/>
      <c r="H842" s="275"/>
      <c r="I842" s="275"/>
      <c r="J842" s="275"/>
      <c r="K842" s="275"/>
      <c r="L842" s="275"/>
      <c r="M842" s="275"/>
      <c r="N842" s="275"/>
    </row>
    <row r="843" spans="1:14">
      <c r="A843" s="274"/>
      <c r="B843" s="275"/>
      <c r="C843" s="276"/>
      <c r="D843" s="276"/>
      <c r="E843" s="276"/>
      <c r="F843" s="276"/>
      <c r="G843" s="276"/>
      <c r="H843" s="275"/>
      <c r="I843" s="275"/>
      <c r="J843" s="275"/>
      <c r="K843" s="275"/>
      <c r="L843" s="275"/>
      <c r="M843" s="275"/>
      <c r="N843" s="275"/>
    </row>
    <row r="844" spans="1:14">
      <c r="A844" s="274"/>
      <c r="B844" s="275"/>
      <c r="C844" s="276"/>
      <c r="D844" s="276"/>
      <c r="E844" s="276"/>
      <c r="F844" s="276"/>
      <c r="G844" s="276"/>
      <c r="H844" s="275"/>
      <c r="I844" s="275"/>
      <c r="J844" s="275"/>
      <c r="K844" s="275"/>
      <c r="L844" s="275"/>
      <c r="M844" s="275"/>
      <c r="N844" s="275"/>
    </row>
    <row r="845" spans="1:14">
      <c r="A845" s="274"/>
      <c r="B845" s="275"/>
      <c r="C845" s="276"/>
      <c r="D845" s="276"/>
      <c r="E845" s="276"/>
      <c r="F845" s="276"/>
      <c r="G845" s="276"/>
      <c r="H845" s="275"/>
      <c r="I845" s="275"/>
      <c r="J845" s="275"/>
      <c r="K845" s="275"/>
      <c r="L845" s="275"/>
      <c r="M845" s="275"/>
      <c r="N845" s="275"/>
    </row>
    <row r="846" spans="1:14">
      <c r="A846" s="274"/>
      <c r="B846" s="275"/>
      <c r="C846" s="276"/>
      <c r="D846" s="276"/>
      <c r="E846" s="276"/>
      <c r="F846" s="276"/>
      <c r="G846" s="276"/>
      <c r="H846" s="275"/>
      <c r="I846" s="275"/>
      <c r="J846" s="275"/>
      <c r="K846" s="275"/>
      <c r="L846" s="275"/>
      <c r="M846" s="275"/>
      <c r="N846" s="275"/>
    </row>
    <row r="847" spans="1:14">
      <c r="A847" s="274"/>
      <c r="B847" s="275"/>
      <c r="C847" s="276"/>
      <c r="D847" s="276"/>
      <c r="E847" s="276"/>
      <c r="F847" s="276"/>
      <c r="G847" s="276"/>
      <c r="H847" s="275"/>
      <c r="I847" s="275"/>
      <c r="J847" s="275"/>
      <c r="K847" s="275"/>
      <c r="L847" s="275"/>
      <c r="M847" s="275"/>
      <c r="N847" s="275"/>
    </row>
    <row r="848" spans="1:14">
      <c r="A848" s="274"/>
      <c r="B848" s="275"/>
      <c r="C848" s="276"/>
      <c r="D848" s="276"/>
      <c r="E848" s="276"/>
      <c r="F848" s="276"/>
      <c r="G848" s="276"/>
      <c r="H848" s="275"/>
      <c r="I848" s="275"/>
      <c r="J848" s="275"/>
      <c r="K848" s="275"/>
      <c r="L848" s="275"/>
      <c r="M848" s="275"/>
      <c r="N848" s="275"/>
    </row>
    <row r="849" spans="1:14">
      <c r="A849" s="274"/>
      <c r="B849" s="275"/>
      <c r="C849" s="276"/>
      <c r="D849" s="276"/>
      <c r="E849" s="276"/>
      <c r="F849" s="276"/>
      <c r="G849" s="276"/>
      <c r="H849" s="275"/>
      <c r="I849" s="275"/>
      <c r="J849" s="275"/>
      <c r="K849" s="275"/>
      <c r="L849" s="275"/>
      <c r="M849" s="275"/>
      <c r="N849" s="275"/>
    </row>
    <row r="850" spans="1:14">
      <c r="A850" s="274"/>
      <c r="B850" s="275"/>
      <c r="C850" s="276"/>
      <c r="D850" s="276"/>
      <c r="E850" s="276"/>
      <c r="F850" s="276"/>
      <c r="G850" s="276"/>
      <c r="H850" s="275"/>
      <c r="I850" s="275"/>
      <c r="J850" s="275"/>
      <c r="K850" s="275"/>
      <c r="L850" s="275"/>
      <c r="M850" s="275"/>
      <c r="N850" s="275"/>
    </row>
    <row r="851" spans="1:14">
      <c r="A851" s="274"/>
      <c r="B851" s="275"/>
      <c r="C851" s="276"/>
      <c r="D851" s="276"/>
      <c r="E851" s="276"/>
      <c r="F851" s="276"/>
      <c r="G851" s="276"/>
      <c r="H851" s="275"/>
      <c r="I851" s="275"/>
      <c r="J851" s="275"/>
      <c r="K851" s="275"/>
      <c r="L851" s="275"/>
      <c r="M851" s="275"/>
      <c r="N851" s="275"/>
    </row>
    <row r="852" spans="1:14">
      <c r="A852" s="274"/>
      <c r="B852" s="275"/>
      <c r="C852" s="276"/>
      <c r="D852" s="276"/>
      <c r="E852" s="276"/>
      <c r="F852" s="276"/>
      <c r="G852" s="276"/>
      <c r="H852" s="275"/>
      <c r="I852" s="275"/>
      <c r="J852" s="275"/>
      <c r="K852" s="275"/>
      <c r="L852" s="275"/>
      <c r="M852" s="275"/>
      <c r="N852" s="275"/>
    </row>
    <row r="853" spans="1:14">
      <c r="A853" s="274"/>
      <c r="B853" s="275"/>
      <c r="C853" s="276"/>
      <c r="D853" s="276"/>
      <c r="E853" s="276"/>
      <c r="F853" s="276"/>
      <c r="G853" s="276"/>
      <c r="H853" s="275"/>
      <c r="I853" s="275"/>
      <c r="J853" s="275"/>
      <c r="K853" s="275"/>
      <c r="L853" s="275"/>
      <c r="M853" s="275"/>
      <c r="N853" s="275"/>
    </row>
    <row r="854" spans="1:14">
      <c r="A854" s="274"/>
      <c r="B854" s="275"/>
      <c r="C854" s="276"/>
      <c r="D854" s="276"/>
      <c r="E854" s="276"/>
      <c r="F854" s="277"/>
      <c r="G854" s="276"/>
      <c r="H854" s="275"/>
      <c r="I854" s="275"/>
      <c r="J854" s="275"/>
      <c r="K854" s="275"/>
      <c r="L854" s="275"/>
      <c r="M854" s="275"/>
      <c r="N854" s="275"/>
    </row>
    <row r="855" spans="1:14">
      <c r="A855" s="274"/>
      <c r="B855" s="275"/>
      <c r="C855" s="276"/>
      <c r="D855" s="276"/>
      <c r="E855" s="276"/>
      <c r="F855" s="276"/>
      <c r="G855" s="276"/>
      <c r="H855" s="275"/>
      <c r="I855" s="275"/>
      <c r="J855" s="275"/>
      <c r="K855" s="275"/>
      <c r="L855" s="275"/>
      <c r="M855" s="275"/>
      <c r="N855" s="275"/>
    </row>
    <row r="856" spans="1:14">
      <c r="A856" s="274"/>
      <c r="B856" s="275"/>
      <c r="C856" s="276"/>
      <c r="D856" s="276"/>
      <c r="E856" s="276"/>
      <c r="F856" s="276"/>
      <c r="G856" s="276"/>
      <c r="H856" s="275"/>
      <c r="I856" s="275"/>
      <c r="J856" s="275"/>
      <c r="K856" s="275"/>
      <c r="L856" s="275"/>
      <c r="M856" s="275"/>
      <c r="N856" s="275"/>
    </row>
    <row r="857" spans="1:14">
      <c r="A857" s="274"/>
      <c r="B857" s="275"/>
      <c r="C857" s="276"/>
      <c r="D857" s="276"/>
      <c r="E857" s="276"/>
      <c r="F857" s="276"/>
      <c r="G857" s="276"/>
      <c r="H857" s="275"/>
      <c r="I857" s="275"/>
      <c r="J857" s="275"/>
      <c r="K857" s="275"/>
      <c r="L857" s="275"/>
      <c r="M857" s="275"/>
      <c r="N857" s="275"/>
    </row>
    <row r="858" spans="1:14">
      <c r="A858" s="274"/>
      <c r="B858" s="275"/>
      <c r="C858" s="276"/>
      <c r="D858" s="276"/>
      <c r="E858" s="276"/>
      <c r="F858" s="276"/>
      <c r="G858" s="276"/>
      <c r="H858" s="275"/>
      <c r="I858" s="275"/>
      <c r="J858" s="275"/>
      <c r="K858" s="275"/>
      <c r="L858" s="275"/>
      <c r="M858" s="275"/>
      <c r="N858" s="275"/>
    </row>
    <row r="859" spans="1:14">
      <c r="A859" s="274"/>
      <c r="B859" s="275"/>
      <c r="C859" s="276"/>
      <c r="D859" s="276"/>
      <c r="E859" s="276"/>
      <c r="F859" s="276"/>
      <c r="G859" s="276"/>
      <c r="H859" s="275"/>
      <c r="I859" s="275"/>
      <c r="J859" s="275"/>
      <c r="K859" s="275"/>
      <c r="L859" s="275"/>
      <c r="M859" s="275"/>
      <c r="N859" s="275"/>
    </row>
    <row r="860" spans="1:14">
      <c r="A860" s="274"/>
      <c r="B860" s="275"/>
      <c r="C860" s="276"/>
      <c r="D860" s="276"/>
      <c r="E860" s="276"/>
      <c r="F860" s="276"/>
      <c r="G860" s="276"/>
      <c r="H860" s="275"/>
      <c r="I860" s="275"/>
      <c r="J860" s="275"/>
      <c r="K860" s="275"/>
      <c r="L860" s="275"/>
      <c r="M860" s="275"/>
      <c r="N860" s="275"/>
    </row>
    <row r="861" spans="1:14">
      <c r="A861" s="274"/>
      <c r="B861" s="275"/>
      <c r="C861" s="276"/>
      <c r="D861" s="276"/>
      <c r="E861" s="276"/>
      <c r="F861" s="276"/>
      <c r="G861" s="276"/>
      <c r="H861" s="275"/>
      <c r="I861" s="275"/>
      <c r="J861" s="275"/>
      <c r="K861" s="275"/>
      <c r="L861" s="275"/>
      <c r="M861" s="275"/>
      <c r="N861" s="275"/>
    </row>
    <row r="862" spans="1:14">
      <c r="A862" s="274"/>
      <c r="B862" s="275"/>
      <c r="C862" s="276"/>
      <c r="D862" s="276"/>
      <c r="E862" s="276"/>
      <c r="F862" s="276"/>
      <c r="G862" s="276"/>
      <c r="H862" s="275"/>
      <c r="I862" s="275"/>
      <c r="J862" s="275"/>
      <c r="K862" s="275"/>
      <c r="L862" s="275"/>
      <c r="M862" s="275"/>
      <c r="N862" s="275"/>
    </row>
    <row r="863" spans="1:14">
      <c r="A863" s="274"/>
      <c r="B863" s="275"/>
      <c r="C863" s="276"/>
      <c r="D863" s="276"/>
      <c r="E863" s="276"/>
      <c r="F863" s="276"/>
      <c r="G863" s="276"/>
      <c r="H863" s="275"/>
      <c r="I863" s="275"/>
      <c r="J863" s="275"/>
      <c r="K863" s="275"/>
      <c r="L863" s="275"/>
      <c r="M863" s="275"/>
      <c r="N863" s="275"/>
    </row>
    <row r="864" spans="1:14">
      <c r="A864" s="274"/>
      <c r="B864" s="275"/>
      <c r="C864" s="276"/>
      <c r="D864" s="276"/>
      <c r="E864" s="276"/>
      <c r="F864" s="276"/>
      <c r="G864" s="276"/>
      <c r="H864" s="275"/>
      <c r="I864" s="275"/>
      <c r="J864" s="275"/>
      <c r="K864" s="275"/>
      <c r="L864" s="275"/>
      <c r="M864" s="275"/>
      <c r="N864" s="275"/>
    </row>
    <row r="865" spans="1:14">
      <c r="A865" s="274"/>
      <c r="B865" s="275"/>
      <c r="C865" s="276"/>
      <c r="D865" s="276"/>
      <c r="E865" s="276"/>
      <c r="F865" s="276"/>
      <c r="G865" s="276"/>
      <c r="H865" s="275"/>
      <c r="I865" s="275"/>
      <c r="J865" s="275"/>
      <c r="K865" s="275"/>
      <c r="L865" s="275"/>
      <c r="M865" s="275"/>
      <c r="N865" s="275"/>
    </row>
    <row r="866" spans="1:14">
      <c r="A866" s="274"/>
      <c r="B866" s="275"/>
      <c r="C866" s="276"/>
      <c r="D866" s="276"/>
      <c r="E866" s="276"/>
      <c r="F866" s="276"/>
      <c r="G866" s="276"/>
      <c r="H866" s="275"/>
      <c r="I866" s="275"/>
      <c r="J866" s="275"/>
      <c r="K866" s="275"/>
      <c r="L866" s="275"/>
      <c r="M866" s="275"/>
      <c r="N866" s="275"/>
    </row>
    <row r="867" spans="1:14">
      <c r="A867" s="274"/>
      <c r="B867" s="275"/>
      <c r="C867" s="276"/>
      <c r="D867" s="276"/>
      <c r="E867" s="276"/>
      <c r="F867" s="276"/>
      <c r="G867" s="276"/>
      <c r="H867" s="275"/>
      <c r="I867" s="275"/>
      <c r="J867" s="275"/>
      <c r="K867" s="275"/>
      <c r="L867" s="275"/>
      <c r="M867" s="275"/>
      <c r="N867" s="275"/>
    </row>
    <row r="868" spans="1:14">
      <c r="A868" s="274"/>
      <c r="B868" s="275"/>
      <c r="C868" s="276"/>
      <c r="D868" s="276"/>
      <c r="E868" s="276"/>
      <c r="F868" s="276"/>
      <c r="G868" s="276"/>
      <c r="H868" s="275"/>
      <c r="I868" s="275"/>
      <c r="J868" s="275"/>
      <c r="K868" s="275"/>
      <c r="L868" s="275"/>
      <c r="M868" s="275"/>
      <c r="N868" s="275"/>
    </row>
    <row r="869" spans="1:14">
      <c r="A869" s="274"/>
      <c r="B869" s="275"/>
      <c r="C869" s="276"/>
      <c r="D869" s="276"/>
      <c r="E869" s="276"/>
      <c r="F869" s="276"/>
      <c r="G869" s="276"/>
      <c r="H869" s="275"/>
      <c r="I869" s="275"/>
      <c r="J869" s="275"/>
      <c r="K869" s="275"/>
      <c r="L869" s="275"/>
      <c r="M869" s="275"/>
      <c r="N869" s="275"/>
    </row>
    <row r="870" spans="1:14">
      <c r="A870" s="274"/>
      <c r="B870" s="275"/>
      <c r="C870" s="276"/>
      <c r="D870" s="276"/>
      <c r="E870" s="276"/>
      <c r="F870" s="276"/>
      <c r="G870" s="276"/>
      <c r="H870" s="275"/>
      <c r="I870" s="275"/>
      <c r="J870" s="275"/>
      <c r="K870" s="275"/>
      <c r="L870" s="275"/>
      <c r="M870" s="275"/>
      <c r="N870" s="275"/>
    </row>
    <row r="871" spans="1:14">
      <c r="A871" s="274"/>
      <c r="B871" s="275"/>
      <c r="C871" s="276"/>
      <c r="D871" s="276"/>
      <c r="E871" s="276"/>
      <c r="F871" s="276"/>
      <c r="G871" s="276"/>
      <c r="H871" s="275"/>
      <c r="I871" s="275"/>
      <c r="J871" s="275"/>
      <c r="K871" s="275"/>
      <c r="L871" s="275"/>
      <c r="M871" s="275"/>
      <c r="N871" s="275"/>
    </row>
    <row r="872" spans="1:14">
      <c r="A872" s="274"/>
      <c r="B872" s="275"/>
      <c r="C872" s="276"/>
      <c r="D872" s="276"/>
      <c r="E872" s="276"/>
      <c r="F872" s="276"/>
      <c r="G872" s="276"/>
      <c r="H872" s="275"/>
      <c r="I872" s="275"/>
      <c r="J872" s="275"/>
      <c r="K872" s="275"/>
      <c r="L872" s="275"/>
      <c r="M872" s="275"/>
      <c r="N872" s="275"/>
    </row>
    <row r="873" spans="1:14">
      <c r="A873" s="274"/>
      <c r="B873" s="275"/>
      <c r="C873" s="276"/>
      <c r="D873" s="276"/>
      <c r="E873" s="276"/>
      <c r="F873" s="276"/>
      <c r="G873" s="276"/>
      <c r="H873" s="275"/>
      <c r="I873" s="275"/>
      <c r="J873" s="275"/>
      <c r="K873" s="275"/>
      <c r="L873" s="275"/>
      <c r="M873" s="275"/>
      <c r="N873" s="275"/>
    </row>
    <row r="874" spans="1:14">
      <c r="A874" s="274"/>
      <c r="B874" s="275"/>
      <c r="C874" s="276"/>
      <c r="D874" s="276"/>
      <c r="E874" s="276"/>
      <c r="F874" s="276"/>
      <c r="G874" s="276"/>
      <c r="H874" s="275"/>
      <c r="I874" s="275"/>
      <c r="J874" s="275"/>
      <c r="K874" s="275"/>
      <c r="L874" s="275"/>
      <c r="M874" s="275"/>
      <c r="N874" s="275"/>
    </row>
    <row r="875" spans="1:14">
      <c r="A875" s="274"/>
      <c r="B875" s="275"/>
      <c r="C875" s="276"/>
      <c r="D875" s="276"/>
      <c r="E875" s="276"/>
      <c r="F875" s="277"/>
      <c r="G875" s="276"/>
      <c r="H875" s="275"/>
      <c r="I875" s="275"/>
      <c r="J875" s="275"/>
      <c r="K875" s="275"/>
      <c r="L875" s="275"/>
      <c r="M875" s="275"/>
      <c r="N875" s="275"/>
    </row>
    <row r="876" spans="1:14">
      <c r="A876" s="274"/>
      <c r="B876" s="275"/>
      <c r="C876" s="276"/>
      <c r="D876" s="276"/>
      <c r="E876" s="276"/>
      <c r="F876" s="263"/>
      <c r="G876" s="276"/>
      <c r="H876" s="275"/>
      <c r="I876" s="275"/>
      <c r="J876" s="275"/>
      <c r="K876" s="275"/>
      <c r="L876" s="275"/>
      <c r="M876" s="275"/>
      <c r="N876" s="275"/>
    </row>
    <row r="877" spans="1:14">
      <c r="A877" s="274"/>
      <c r="B877" s="275"/>
      <c r="C877" s="276"/>
      <c r="D877" s="276"/>
      <c r="E877" s="276"/>
      <c r="F877" s="263"/>
      <c r="G877" s="276"/>
      <c r="H877" s="275"/>
      <c r="I877" s="275"/>
      <c r="J877" s="275"/>
      <c r="K877" s="275"/>
      <c r="L877" s="275"/>
      <c r="M877" s="275"/>
      <c r="N877" s="275"/>
    </row>
    <row r="878" spans="1:14">
      <c r="A878" s="274"/>
      <c r="B878" s="275"/>
      <c r="C878" s="276"/>
      <c r="D878" s="276"/>
      <c r="E878" s="276"/>
      <c r="F878" s="277"/>
      <c r="G878" s="276"/>
      <c r="H878" s="275"/>
      <c r="I878" s="275"/>
      <c r="J878" s="275"/>
      <c r="K878" s="275"/>
      <c r="L878" s="275"/>
      <c r="M878" s="275"/>
      <c r="N878" s="275"/>
    </row>
    <row r="879" spans="1:14">
      <c r="A879" s="274"/>
      <c r="B879" s="275"/>
      <c r="C879" s="276"/>
      <c r="D879" s="276"/>
      <c r="E879" s="276"/>
      <c r="F879" s="276"/>
      <c r="G879" s="276"/>
      <c r="H879" s="275"/>
      <c r="I879" s="275"/>
      <c r="J879" s="275"/>
      <c r="K879" s="275"/>
      <c r="L879" s="275"/>
      <c r="M879" s="275"/>
      <c r="N879" s="275"/>
    </row>
    <row r="880" spans="1:14">
      <c r="A880" s="274"/>
      <c r="B880" s="275"/>
      <c r="C880" s="276"/>
      <c r="D880" s="276"/>
      <c r="E880" s="276"/>
      <c r="F880" s="276"/>
      <c r="G880" s="276"/>
      <c r="H880" s="275"/>
      <c r="I880" s="275"/>
      <c r="J880" s="275"/>
      <c r="K880" s="275"/>
      <c r="L880" s="275"/>
      <c r="M880" s="275"/>
      <c r="N880" s="275"/>
    </row>
    <row r="881" spans="1:14">
      <c r="A881" s="274"/>
      <c r="B881" s="275"/>
      <c r="C881" s="276"/>
      <c r="D881" s="276"/>
      <c r="E881" s="276"/>
      <c r="F881" s="276"/>
      <c r="G881" s="276"/>
      <c r="H881" s="275"/>
      <c r="I881" s="275"/>
      <c r="J881" s="275"/>
      <c r="K881" s="275"/>
      <c r="L881" s="275"/>
      <c r="M881" s="275"/>
      <c r="N881" s="275"/>
    </row>
    <row r="882" spans="1:14">
      <c r="A882" s="274"/>
      <c r="B882" s="275"/>
      <c r="C882" s="276"/>
      <c r="D882" s="276"/>
      <c r="E882" s="276"/>
      <c r="F882" s="276"/>
      <c r="G882" s="276"/>
      <c r="H882" s="275"/>
      <c r="I882" s="275"/>
      <c r="J882" s="275"/>
      <c r="K882" s="275"/>
      <c r="L882" s="275"/>
      <c r="M882" s="275"/>
      <c r="N882" s="275"/>
    </row>
    <row r="883" spans="1:14">
      <c r="A883" s="274"/>
      <c r="B883" s="275"/>
      <c r="C883" s="276"/>
      <c r="D883" s="276"/>
      <c r="E883" s="276"/>
      <c r="F883" s="276"/>
      <c r="G883" s="276"/>
      <c r="H883" s="275"/>
      <c r="I883" s="275"/>
      <c r="J883" s="275"/>
      <c r="K883" s="275"/>
      <c r="L883" s="275"/>
      <c r="M883" s="275"/>
      <c r="N883" s="275"/>
    </row>
    <row r="884" spans="1:14">
      <c r="A884" s="274"/>
      <c r="B884" s="275"/>
      <c r="C884" s="276"/>
      <c r="D884" s="276"/>
      <c r="E884" s="276"/>
      <c r="F884" s="276"/>
      <c r="G884" s="276"/>
      <c r="H884" s="275"/>
      <c r="I884" s="275"/>
      <c r="J884" s="275"/>
      <c r="K884" s="275"/>
      <c r="L884" s="275"/>
      <c r="M884" s="275"/>
      <c r="N884" s="275"/>
    </row>
    <row r="885" spans="1:14">
      <c r="A885" s="274"/>
      <c r="B885" s="275"/>
      <c r="C885" s="276"/>
      <c r="D885" s="276"/>
      <c r="E885" s="276"/>
      <c r="F885" s="276"/>
      <c r="G885" s="276"/>
      <c r="H885" s="275"/>
      <c r="I885" s="275"/>
      <c r="J885" s="275"/>
      <c r="K885" s="275"/>
      <c r="L885" s="275"/>
      <c r="M885" s="275"/>
      <c r="N885" s="275"/>
    </row>
    <row r="886" spans="1:14">
      <c r="A886" s="274"/>
      <c r="B886" s="275"/>
      <c r="C886" s="276"/>
      <c r="D886" s="276"/>
      <c r="E886" s="276"/>
      <c r="F886" s="276"/>
      <c r="G886" s="276"/>
      <c r="H886" s="275"/>
      <c r="I886" s="275"/>
      <c r="J886" s="275"/>
      <c r="K886" s="275"/>
      <c r="L886" s="275"/>
      <c r="M886" s="275"/>
      <c r="N886" s="275"/>
    </row>
    <row r="887" spans="1:14">
      <c r="A887" s="274"/>
      <c r="B887" s="275"/>
      <c r="C887" s="276"/>
      <c r="D887" s="276"/>
      <c r="E887" s="276"/>
      <c r="F887" s="276"/>
      <c r="G887" s="276"/>
      <c r="H887" s="275"/>
      <c r="I887" s="275"/>
      <c r="J887" s="275"/>
      <c r="K887" s="275"/>
      <c r="L887" s="275"/>
      <c r="M887" s="275"/>
      <c r="N887" s="275"/>
    </row>
    <row r="888" spans="1:14">
      <c r="A888" s="274"/>
      <c r="B888" s="275"/>
      <c r="C888" s="276"/>
      <c r="D888" s="276"/>
      <c r="E888" s="276"/>
      <c r="F888" s="276"/>
      <c r="G888" s="276"/>
      <c r="H888" s="275"/>
      <c r="I888" s="275"/>
      <c r="J888" s="275"/>
      <c r="K888" s="275"/>
      <c r="L888" s="275"/>
      <c r="M888" s="275"/>
      <c r="N888" s="275"/>
    </row>
    <row r="889" spans="1:14">
      <c r="A889" s="274"/>
      <c r="B889" s="275"/>
      <c r="C889" s="276"/>
      <c r="D889" s="276"/>
      <c r="E889" s="276"/>
      <c r="F889" s="276"/>
      <c r="G889" s="276"/>
      <c r="H889" s="275"/>
      <c r="I889" s="275"/>
      <c r="J889" s="275"/>
      <c r="K889" s="275"/>
      <c r="L889" s="275"/>
      <c r="M889" s="275"/>
      <c r="N889" s="275"/>
    </row>
    <row r="890" spans="1:14">
      <c r="A890" s="274"/>
      <c r="B890" s="275"/>
      <c r="C890" s="276"/>
      <c r="D890" s="276"/>
      <c r="E890" s="276"/>
      <c r="F890" s="277"/>
      <c r="G890" s="276"/>
      <c r="H890" s="275"/>
      <c r="I890" s="275"/>
      <c r="J890" s="275"/>
      <c r="K890" s="275"/>
      <c r="L890" s="275"/>
      <c r="M890" s="275"/>
      <c r="N890" s="275"/>
    </row>
    <row r="891" spans="1:14">
      <c r="A891" s="274"/>
      <c r="B891" s="275"/>
      <c r="C891" s="276"/>
      <c r="D891" s="276"/>
      <c r="E891" s="276"/>
      <c r="F891" s="276"/>
      <c r="G891" s="276"/>
      <c r="H891" s="275"/>
      <c r="I891" s="275"/>
      <c r="J891" s="275"/>
      <c r="K891" s="275"/>
      <c r="L891" s="275"/>
      <c r="M891" s="275"/>
      <c r="N891" s="275"/>
    </row>
    <row r="892" spans="1:14">
      <c r="A892" s="274"/>
      <c r="B892" s="275"/>
      <c r="C892" s="276"/>
      <c r="D892" s="276"/>
      <c r="E892" s="276"/>
      <c r="F892" s="276"/>
      <c r="G892" s="276"/>
      <c r="H892" s="275"/>
      <c r="I892" s="275"/>
      <c r="J892" s="275"/>
      <c r="K892" s="275"/>
      <c r="L892" s="275"/>
      <c r="M892" s="275"/>
      <c r="N892" s="275"/>
    </row>
    <row r="893" spans="1:14">
      <c r="A893" s="274"/>
      <c r="B893" s="275"/>
      <c r="C893" s="276"/>
      <c r="D893" s="276"/>
      <c r="E893" s="276"/>
      <c r="F893" s="276"/>
      <c r="G893" s="276"/>
      <c r="H893" s="275"/>
      <c r="I893" s="275"/>
      <c r="J893" s="275"/>
      <c r="K893" s="275"/>
      <c r="L893" s="275"/>
      <c r="M893" s="275"/>
      <c r="N893" s="275"/>
    </row>
    <row r="894" spans="1:14">
      <c r="A894" s="274"/>
      <c r="B894" s="275"/>
      <c r="C894" s="276"/>
      <c r="D894" s="276"/>
      <c r="E894" s="276"/>
      <c r="F894" s="276"/>
      <c r="G894" s="276"/>
      <c r="H894" s="275"/>
      <c r="I894" s="275"/>
      <c r="J894" s="275"/>
      <c r="K894" s="275"/>
      <c r="L894" s="275"/>
      <c r="M894" s="275"/>
      <c r="N894" s="275"/>
    </row>
    <row r="895" spans="1:14">
      <c r="A895" s="274"/>
      <c r="B895" s="275"/>
      <c r="C895" s="276"/>
      <c r="D895" s="276"/>
      <c r="E895" s="276"/>
      <c r="F895" s="276"/>
      <c r="G895" s="276"/>
      <c r="H895" s="275"/>
      <c r="I895" s="275"/>
      <c r="J895" s="275"/>
      <c r="K895" s="275"/>
      <c r="L895" s="275"/>
      <c r="M895" s="275"/>
      <c r="N895" s="275"/>
    </row>
    <row r="896" spans="1:14">
      <c r="A896" s="274"/>
      <c r="B896" s="275"/>
      <c r="C896" s="276"/>
      <c r="D896" s="276"/>
      <c r="E896" s="276"/>
      <c r="F896" s="276"/>
      <c r="G896" s="276"/>
      <c r="H896" s="275"/>
      <c r="I896" s="275"/>
      <c r="J896" s="275"/>
      <c r="K896" s="275"/>
      <c r="L896" s="275"/>
      <c r="M896" s="275"/>
      <c r="N896" s="275"/>
    </row>
    <row r="897" spans="1:14">
      <c r="A897" s="274"/>
      <c r="B897" s="275"/>
      <c r="C897" s="276"/>
      <c r="D897" s="276"/>
      <c r="E897" s="276"/>
      <c r="F897" s="276"/>
      <c r="G897" s="276"/>
      <c r="H897" s="275"/>
      <c r="I897" s="275"/>
      <c r="J897" s="275"/>
      <c r="K897" s="275"/>
      <c r="L897" s="275"/>
      <c r="M897" s="275"/>
      <c r="N897" s="275"/>
    </row>
    <row r="898" spans="1:14">
      <c r="A898" s="274"/>
      <c r="B898" s="275"/>
      <c r="C898" s="276"/>
      <c r="D898" s="276"/>
      <c r="E898" s="276"/>
      <c r="F898" s="276"/>
      <c r="G898" s="276"/>
      <c r="H898" s="275"/>
      <c r="I898" s="275"/>
      <c r="J898" s="275"/>
      <c r="K898" s="275"/>
      <c r="L898" s="275"/>
      <c r="M898" s="275"/>
      <c r="N898" s="275"/>
    </row>
    <row r="899" spans="1:14">
      <c r="A899" s="274"/>
      <c r="B899" s="275"/>
      <c r="C899" s="276"/>
      <c r="D899" s="276"/>
      <c r="E899" s="276"/>
      <c r="F899" s="276"/>
      <c r="G899" s="276"/>
      <c r="H899" s="275"/>
      <c r="I899" s="275"/>
      <c r="J899" s="275"/>
      <c r="K899" s="275"/>
      <c r="L899" s="275"/>
      <c r="M899" s="275"/>
      <c r="N899" s="275"/>
    </row>
    <row r="900" spans="1:14">
      <c r="A900" s="274"/>
      <c r="B900" s="275"/>
      <c r="C900" s="276"/>
      <c r="D900" s="276"/>
      <c r="E900" s="276"/>
      <c r="F900" s="276"/>
      <c r="G900" s="276"/>
      <c r="H900" s="275"/>
      <c r="I900" s="275"/>
      <c r="J900" s="275"/>
      <c r="K900" s="275"/>
      <c r="L900" s="275"/>
      <c r="M900" s="275"/>
      <c r="N900" s="275"/>
    </row>
    <row r="901" spans="1:14">
      <c r="A901" s="274"/>
      <c r="B901" s="275"/>
      <c r="C901" s="276"/>
      <c r="D901" s="276"/>
      <c r="E901" s="276"/>
      <c r="F901" s="276"/>
      <c r="G901" s="276"/>
      <c r="H901" s="275"/>
      <c r="I901" s="275"/>
      <c r="J901" s="275"/>
      <c r="K901" s="275"/>
      <c r="L901" s="275"/>
      <c r="M901" s="275"/>
      <c r="N901" s="275"/>
    </row>
    <row r="902" spans="1:14">
      <c r="A902" s="274"/>
      <c r="B902" s="275"/>
      <c r="C902" s="276"/>
      <c r="D902" s="276"/>
      <c r="E902" s="276"/>
      <c r="F902" s="276"/>
      <c r="G902" s="276"/>
      <c r="H902" s="275"/>
      <c r="I902" s="275"/>
      <c r="J902" s="275"/>
      <c r="K902" s="275"/>
      <c r="L902" s="275"/>
      <c r="M902" s="275"/>
      <c r="N902" s="275"/>
    </row>
    <row r="903" spans="1:14">
      <c r="A903" s="274"/>
      <c r="B903" s="275"/>
      <c r="C903" s="276"/>
      <c r="D903" s="276"/>
      <c r="E903" s="276"/>
      <c r="F903" s="276"/>
      <c r="G903" s="276"/>
      <c r="H903" s="275"/>
      <c r="I903" s="275"/>
      <c r="J903" s="275"/>
      <c r="K903" s="275"/>
      <c r="L903" s="275"/>
      <c r="M903" s="275"/>
      <c r="N903" s="275"/>
    </row>
    <row r="904" spans="1:14">
      <c r="A904" s="274"/>
      <c r="B904" s="275"/>
      <c r="C904" s="276"/>
      <c r="D904" s="276"/>
      <c r="E904" s="276"/>
      <c r="F904" s="276"/>
      <c r="G904" s="276"/>
      <c r="H904" s="275"/>
      <c r="I904" s="275"/>
      <c r="J904" s="275"/>
      <c r="K904" s="275"/>
      <c r="L904" s="275"/>
      <c r="M904" s="275"/>
      <c r="N904" s="275"/>
    </row>
    <row r="905" spans="1:14">
      <c r="A905" s="274"/>
      <c r="B905" s="275"/>
      <c r="C905" s="276"/>
      <c r="D905" s="276"/>
      <c r="E905" s="276"/>
      <c r="F905" s="276"/>
      <c r="G905" s="276"/>
      <c r="H905" s="275"/>
      <c r="I905" s="275"/>
      <c r="J905" s="275"/>
      <c r="K905" s="275"/>
      <c r="L905" s="275"/>
      <c r="M905" s="275"/>
      <c r="N905" s="275"/>
    </row>
    <row r="906" spans="1:14">
      <c r="A906" s="274"/>
      <c r="B906" s="275"/>
      <c r="C906" s="276"/>
      <c r="D906" s="276"/>
      <c r="E906" s="276"/>
      <c r="F906" s="276"/>
      <c r="G906" s="276"/>
      <c r="H906" s="275"/>
      <c r="I906" s="275"/>
      <c r="J906" s="275"/>
      <c r="K906" s="275"/>
      <c r="L906" s="275"/>
      <c r="M906" s="275"/>
      <c r="N906" s="275"/>
    </row>
    <row r="907" spans="1:14">
      <c r="A907" s="274"/>
      <c r="B907" s="275"/>
      <c r="C907" s="276"/>
      <c r="D907" s="276"/>
      <c r="E907" s="276"/>
      <c r="F907" s="276"/>
      <c r="G907" s="276"/>
      <c r="H907" s="275"/>
      <c r="I907" s="275"/>
      <c r="J907" s="275"/>
      <c r="K907" s="275"/>
      <c r="L907" s="275"/>
      <c r="M907" s="275"/>
      <c r="N907" s="275"/>
    </row>
    <row r="908" spans="1:14">
      <c r="A908" s="274"/>
      <c r="B908" s="275"/>
      <c r="C908" s="276"/>
      <c r="D908" s="276"/>
      <c r="E908" s="276"/>
      <c r="F908" s="277"/>
      <c r="G908" s="276"/>
      <c r="H908" s="275"/>
      <c r="I908" s="275"/>
      <c r="J908" s="275"/>
      <c r="K908" s="275"/>
      <c r="L908" s="275"/>
      <c r="M908" s="275"/>
      <c r="N908" s="275"/>
    </row>
    <row r="909" spans="1:14">
      <c r="A909" s="274"/>
      <c r="B909" s="275"/>
      <c r="C909" s="276"/>
      <c r="D909" s="276"/>
      <c r="E909" s="276"/>
      <c r="F909" s="263"/>
      <c r="G909" s="276"/>
      <c r="H909" s="275"/>
      <c r="I909" s="275"/>
      <c r="J909" s="275"/>
      <c r="K909" s="275"/>
      <c r="L909" s="275"/>
      <c r="M909" s="275"/>
      <c r="N909" s="275"/>
    </row>
    <row r="910" spans="1:14">
      <c r="A910" s="274"/>
      <c r="B910" s="275"/>
      <c r="C910" s="276"/>
      <c r="D910" s="276"/>
      <c r="E910" s="276"/>
      <c r="F910" s="277"/>
      <c r="G910" s="276"/>
      <c r="H910" s="275"/>
      <c r="I910" s="275"/>
      <c r="J910" s="275"/>
      <c r="K910" s="275"/>
      <c r="L910" s="275"/>
      <c r="M910" s="275"/>
      <c r="N910" s="275"/>
    </row>
    <row r="911" spans="1:14">
      <c r="A911" s="274"/>
      <c r="B911" s="275"/>
      <c r="C911" s="276"/>
      <c r="D911" s="276"/>
      <c r="E911" s="276"/>
      <c r="F911" s="263"/>
      <c r="G911" s="276"/>
      <c r="H911" s="275"/>
      <c r="I911" s="275"/>
      <c r="J911" s="275"/>
      <c r="K911" s="275"/>
      <c r="L911" s="275"/>
      <c r="M911" s="275"/>
      <c r="N911" s="275"/>
    </row>
    <row r="912" spans="1:14">
      <c r="A912" s="274"/>
      <c r="B912" s="275"/>
      <c r="C912" s="276"/>
      <c r="D912" s="276"/>
      <c r="E912" s="276"/>
      <c r="F912" s="277"/>
      <c r="G912" s="276"/>
      <c r="H912" s="275"/>
      <c r="I912" s="275"/>
      <c r="J912" s="275"/>
      <c r="K912" s="275"/>
      <c r="L912" s="275"/>
      <c r="M912" s="275"/>
      <c r="N912" s="275"/>
    </row>
    <row r="913" spans="1:14">
      <c r="A913" s="274"/>
      <c r="B913" s="275"/>
      <c r="C913" s="276"/>
      <c r="D913" s="276"/>
      <c r="E913" s="276"/>
      <c r="F913" s="277"/>
      <c r="G913" s="276"/>
      <c r="H913" s="275"/>
      <c r="I913" s="275"/>
      <c r="J913" s="275"/>
      <c r="K913" s="275"/>
      <c r="L913" s="275"/>
      <c r="M913" s="275"/>
      <c r="N913" s="275"/>
    </row>
    <row r="914" spans="1:14">
      <c r="A914" s="274"/>
      <c r="B914" s="275"/>
      <c r="C914" s="276"/>
      <c r="D914" s="276"/>
      <c r="E914" s="276"/>
      <c r="F914" s="277"/>
      <c r="G914" s="276"/>
      <c r="H914" s="275"/>
      <c r="I914" s="275"/>
      <c r="J914" s="275"/>
      <c r="K914" s="275"/>
      <c r="L914" s="275"/>
      <c r="M914" s="275"/>
      <c r="N914" s="275"/>
    </row>
    <row r="915" spans="1:14">
      <c r="A915" s="274"/>
      <c r="B915" s="275"/>
      <c r="C915" s="276"/>
      <c r="D915" s="276"/>
      <c r="E915" s="276"/>
      <c r="F915" s="263"/>
      <c r="G915" s="276"/>
      <c r="H915" s="275"/>
      <c r="I915" s="275"/>
      <c r="J915" s="275"/>
      <c r="K915" s="275"/>
      <c r="L915" s="275"/>
      <c r="M915" s="275"/>
      <c r="N915" s="275"/>
    </row>
    <row r="916" spans="1:14">
      <c r="A916" s="274"/>
      <c r="B916" s="275"/>
      <c r="C916" s="276"/>
      <c r="D916" s="276"/>
      <c r="E916" s="276"/>
      <c r="F916" s="277"/>
      <c r="G916" s="276"/>
      <c r="H916" s="275"/>
      <c r="I916" s="275"/>
      <c r="J916" s="275"/>
      <c r="K916" s="275"/>
      <c r="L916" s="275"/>
      <c r="M916" s="275"/>
      <c r="N916" s="275"/>
    </row>
    <row r="917" spans="1:14">
      <c r="A917" s="274"/>
      <c r="B917" s="275"/>
      <c r="C917" s="276"/>
      <c r="D917" s="276"/>
      <c r="E917" s="276"/>
      <c r="F917" s="277"/>
      <c r="G917" s="276"/>
      <c r="H917" s="275"/>
      <c r="I917" s="275"/>
      <c r="J917" s="275"/>
      <c r="K917" s="275"/>
      <c r="L917" s="275"/>
      <c r="M917" s="275"/>
      <c r="N917" s="275"/>
    </row>
    <row r="918" spans="1:14">
      <c r="A918" s="274"/>
      <c r="B918" s="275"/>
      <c r="C918" s="276"/>
      <c r="D918" s="276"/>
      <c r="E918" s="276"/>
      <c r="F918" s="277"/>
      <c r="G918" s="276"/>
      <c r="H918" s="275"/>
      <c r="I918" s="275"/>
      <c r="J918" s="275"/>
      <c r="K918" s="275"/>
      <c r="L918" s="275"/>
      <c r="M918" s="275"/>
      <c r="N918" s="275"/>
    </row>
    <row r="919" spans="1:14">
      <c r="A919" s="274"/>
      <c r="B919" s="275"/>
      <c r="C919" s="276"/>
      <c r="D919" s="276"/>
      <c r="E919" s="276"/>
      <c r="F919" s="277"/>
      <c r="G919" s="276"/>
      <c r="H919" s="275"/>
      <c r="I919" s="275"/>
      <c r="J919" s="275"/>
      <c r="K919" s="275"/>
      <c r="L919" s="275"/>
      <c r="M919" s="275"/>
      <c r="N919" s="275"/>
    </row>
    <row r="920" spans="1:14">
      <c r="A920" s="274"/>
      <c r="B920" s="275"/>
      <c r="C920" s="276"/>
      <c r="D920" s="276"/>
      <c r="E920" s="276"/>
      <c r="F920" s="277"/>
      <c r="G920" s="276"/>
      <c r="H920" s="275"/>
      <c r="I920" s="275"/>
      <c r="J920" s="275"/>
      <c r="K920" s="275"/>
      <c r="L920" s="275"/>
      <c r="M920" s="275"/>
      <c r="N920" s="275"/>
    </row>
    <row r="921" spans="1:14">
      <c r="A921" s="274"/>
      <c r="B921" s="275"/>
      <c r="C921" s="276"/>
      <c r="D921" s="276"/>
      <c r="E921" s="276"/>
      <c r="F921" s="277"/>
      <c r="G921" s="276"/>
      <c r="H921" s="275"/>
      <c r="I921" s="275"/>
      <c r="J921" s="275"/>
      <c r="K921" s="275"/>
      <c r="L921" s="275"/>
      <c r="M921" s="275"/>
      <c r="N921" s="275"/>
    </row>
    <row r="922" spans="1:14">
      <c r="A922" s="274"/>
      <c r="B922" s="275"/>
      <c r="C922" s="276"/>
      <c r="D922" s="276"/>
      <c r="E922" s="276"/>
      <c r="F922" s="277"/>
      <c r="G922" s="276"/>
      <c r="H922" s="275"/>
      <c r="I922" s="275"/>
      <c r="J922" s="275"/>
      <c r="K922" s="275"/>
      <c r="L922" s="275"/>
      <c r="M922" s="275"/>
      <c r="N922" s="275"/>
    </row>
    <row r="923" spans="1:14">
      <c r="A923" s="274"/>
      <c r="B923" s="275"/>
      <c r="C923" s="276"/>
      <c r="D923" s="276"/>
      <c r="E923" s="276"/>
      <c r="F923" s="276"/>
      <c r="G923" s="276"/>
      <c r="H923" s="275"/>
      <c r="I923" s="275"/>
      <c r="J923" s="275"/>
      <c r="K923" s="275"/>
      <c r="L923" s="275"/>
      <c r="M923" s="275"/>
      <c r="N923" s="275"/>
    </row>
    <row r="924" spans="1:14">
      <c r="A924" s="274"/>
      <c r="B924" s="275"/>
      <c r="C924" s="276"/>
      <c r="D924" s="276"/>
      <c r="E924" s="276"/>
      <c r="F924" s="276"/>
      <c r="G924" s="276"/>
      <c r="H924" s="275"/>
      <c r="I924" s="275"/>
      <c r="J924" s="275"/>
      <c r="K924" s="275"/>
      <c r="L924" s="275"/>
      <c r="M924" s="275"/>
      <c r="N924" s="275"/>
    </row>
    <row r="925" spans="1:14">
      <c r="A925" s="274"/>
      <c r="B925" s="275"/>
      <c r="C925" s="276"/>
      <c r="D925" s="276"/>
      <c r="E925" s="276"/>
      <c r="F925" s="276"/>
      <c r="G925" s="276"/>
      <c r="H925" s="275"/>
      <c r="I925" s="275"/>
      <c r="J925" s="275"/>
      <c r="K925" s="275"/>
      <c r="L925" s="275"/>
      <c r="M925" s="275"/>
      <c r="N925" s="275"/>
    </row>
    <row r="926" spans="1:14">
      <c r="A926" s="274"/>
      <c r="B926" s="275"/>
      <c r="C926" s="276"/>
      <c r="D926" s="276"/>
      <c r="E926" s="276"/>
      <c r="F926" s="276"/>
      <c r="G926" s="276"/>
      <c r="H926" s="275"/>
      <c r="I926" s="275"/>
      <c r="J926" s="275"/>
      <c r="K926" s="275"/>
      <c r="L926" s="275"/>
      <c r="M926" s="275"/>
      <c r="N926" s="275"/>
    </row>
    <row r="927" spans="1:14">
      <c r="A927" s="274"/>
      <c r="B927" s="275"/>
      <c r="C927" s="276"/>
      <c r="D927" s="276"/>
      <c r="E927" s="276"/>
      <c r="F927" s="277"/>
      <c r="G927" s="276"/>
      <c r="H927" s="275"/>
      <c r="I927" s="275"/>
      <c r="J927" s="275"/>
      <c r="K927" s="275"/>
      <c r="L927" s="275"/>
      <c r="M927" s="275"/>
      <c r="N927" s="275"/>
    </row>
    <row r="928" spans="1:14">
      <c r="A928" s="274"/>
      <c r="B928" s="275"/>
      <c r="C928" s="276"/>
      <c r="D928" s="276"/>
      <c r="E928" s="276"/>
      <c r="F928" s="276"/>
      <c r="G928" s="276"/>
      <c r="H928" s="275"/>
      <c r="I928" s="275"/>
      <c r="J928" s="275"/>
      <c r="K928" s="275"/>
      <c r="L928" s="275"/>
      <c r="M928" s="275"/>
      <c r="N928" s="275"/>
    </row>
    <row r="929" spans="1:14">
      <c r="A929" s="274"/>
      <c r="B929" s="275"/>
      <c r="C929" s="276"/>
      <c r="D929" s="276"/>
      <c r="E929" s="276"/>
      <c r="F929" s="276"/>
      <c r="G929" s="276"/>
      <c r="H929" s="275"/>
      <c r="I929" s="275"/>
      <c r="J929" s="275"/>
      <c r="K929" s="275"/>
      <c r="L929" s="275"/>
      <c r="M929" s="275"/>
      <c r="N929" s="275"/>
    </row>
    <row r="930" spans="1:14">
      <c r="A930" s="274"/>
      <c r="B930" s="275"/>
      <c r="C930" s="276"/>
      <c r="D930" s="276"/>
      <c r="E930" s="276"/>
      <c r="F930" s="277"/>
      <c r="G930" s="276"/>
      <c r="H930" s="275"/>
      <c r="I930" s="275"/>
      <c r="J930" s="275"/>
      <c r="K930" s="275"/>
      <c r="L930" s="275"/>
      <c r="M930" s="275"/>
      <c r="N930" s="275"/>
    </row>
    <row r="931" spans="1:14">
      <c r="A931" s="274"/>
      <c r="B931" s="275"/>
      <c r="C931" s="276"/>
      <c r="D931" s="276"/>
      <c r="E931" s="276"/>
      <c r="F931" s="277"/>
      <c r="G931" s="276"/>
      <c r="H931" s="275"/>
      <c r="I931" s="275"/>
      <c r="J931" s="275"/>
      <c r="K931" s="275"/>
      <c r="L931" s="275"/>
      <c r="M931" s="275"/>
      <c r="N931" s="275"/>
    </row>
    <row r="932" spans="1:14">
      <c r="A932" s="274"/>
      <c r="B932" s="275"/>
      <c r="C932" s="276"/>
      <c r="D932" s="276"/>
      <c r="E932" s="276"/>
      <c r="F932" s="263"/>
      <c r="G932" s="276"/>
      <c r="H932" s="275"/>
      <c r="I932" s="275"/>
      <c r="J932" s="275"/>
      <c r="K932" s="275"/>
      <c r="L932" s="275"/>
      <c r="M932" s="275"/>
      <c r="N932" s="275"/>
    </row>
    <row r="933" spans="1:14">
      <c r="A933" s="274"/>
      <c r="B933" s="275"/>
      <c r="C933" s="276"/>
      <c r="D933" s="276"/>
      <c r="E933" s="276"/>
      <c r="F933" s="277"/>
      <c r="G933" s="276"/>
      <c r="H933" s="275"/>
      <c r="I933" s="275"/>
      <c r="J933" s="275"/>
      <c r="K933" s="275"/>
      <c r="L933" s="275"/>
      <c r="M933" s="275"/>
      <c r="N933" s="275"/>
    </row>
    <row r="934" spans="1:14">
      <c r="A934" s="274"/>
      <c r="B934" s="275"/>
      <c r="C934" s="276"/>
      <c r="D934" s="276"/>
      <c r="E934" s="276"/>
      <c r="F934" s="277"/>
      <c r="G934" s="276"/>
      <c r="H934" s="275"/>
      <c r="I934" s="275"/>
      <c r="J934" s="275"/>
      <c r="K934" s="275"/>
      <c r="L934" s="275"/>
      <c r="M934" s="275"/>
      <c r="N934" s="275"/>
    </row>
    <row r="935" spans="1:14">
      <c r="A935" s="274"/>
      <c r="B935" s="275"/>
      <c r="C935" s="276"/>
      <c r="D935" s="276"/>
      <c r="E935" s="276"/>
      <c r="F935" s="263"/>
      <c r="G935" s="276"/>
      <c r="H935" s="275"/>
      <c r="I935" s="275"/>
      <c r="J935" s="275"/>
      <c r="K935" s="275"/>
      <c r="L935" s="275"/>
      <c r="M935" s="275"/>
      <c r="N935" s="275"/>
    </row>
    <row r="936" spans="1:14">
      <c r="A936" s="274"/>
      <c r="B936" s="275"/>
      <c r="C936" s="276"/>
      <c r="D936" s="276"/>
      <c r="E936" s="276"/>
      <c r="F936" s="263"/>
      <c r="G936" s="276"/>
      <c r="H936" s="275"/>
      <c r="I936" s="275"/>
      <c r="J936" s="275"/>
      <c r="K936" s="275"/>
      <c r="L936" s="275"/>
      <c r="M936" s="275"/>
      <c r="N936" s="275"/>
    </row>
    <row r="937" spans="1:14">
      <c r="A937" s="274"/>
      <c r="B937" s="275"/>
      <c r="C937" s="276"/>
      <c r="D937" s="276"/>
      <c r="E937" s="276"/>
      <c r="F937" s="263"/>
      <c r="G937" s="276"/>
      <c r="H937" s="275"/>
      <c r="I937" s="275"/>
      <c r="J937" s="275"/>
      <c r="K937" s="275"/>
      <c r="L937" s="275"/>
      <c r="M937" s="275"/>
      <c r="N937" s="275"/>
    </row>
    <row r="938" spans="1:14">
      <c r="A938" s="274"/>
      <c r="B938" s="275"/>
      <c r="C938" s="276"/>
      <c r="D938" s="276"/>
      <c r="E938" s="276"/>
      <c r="F938" s="263"/>
      <c r="G938" s="276"/>
      <c r="H938" s="275"/>
      <c r="I938" s="275"/>
      <c r="J938" s="275"/>
      <c r="K938" s="275"/>
      <c r="L938" s="275"/>
      <c r="M938" s="275"/>
      <c r="N938" s="275"/>
    </row>
    <row r="939" spans="1:14">
      <c r="A939" s="274"/>
      <c r="B939" s="275"/>
      <c r="C939" s="276"/>
      <c r="D939" s="276"/>
      <c r="E939" s="276"/>
      <c r="F939" s="277"/>
      <c r="G939" s="276"/>
      <c r="H939" s="275"/>
      <c r="I939" s="275"/>
      <c r="J939" s="275"/>
      <c r="K939" s="275"/>
      <c r="L939" s="275"/>
      <c r="M939" s="275"/>
      <c r="N939" s="275"/>
    </row>
    <row r="940" spans="1:14">
      <c r="A940" s="274"/>
      <c r="B940" s="275"/>
      <c r="C940" s="276"/>
      <c r="D940" s="276"/>
      <c r="E940" s="276"/>
      <c r="F940" s="277"/>
      <c r="G940" s="276"/>
      <c r="H940" s="275"/>
      <c r="I940" s="275"/>
      <c r="J940" s="275"/>
      <c r="K940" s="275"/>
      <c r="L940" s="275"/>
      <c r="M940" s="275"/>
      <c r="N940" s="275"/>
    </row>
    <row r="941" spans="1:14">
      <c r="A941" s="274"/>
      <c r="B941" s="275"/>
      <c r="C941" s="276"/>
      <c r="D941" s="276"/>
      <c r="E941" s="276"/>
      <c r="F941" s="263"/>
      <c r="G941" s="276"/>
      <c r="H941" s="275"/>
      <c r="I941" s="275"/>
      <c r="J941" s="275"/>
      <c r="K941" s="275"/>
      <c r="L941" s="275"/>
      <c r="M941" s="275"/>
      <c r="N941" s="275"/>
    </row>
    <row r="942" spans="1:14">
      <c r="A942" s="274"/>
      <c r="B942" s="275"/>
      <c r="C942" s="276"/>
      <c r="D942" s="276"/>
      <c r="E942" s="276"/>
      <c r="F942" s="277"/>
      <c r="G942" s="276"/>
      <c r="H942" s="275"/>
      <c r="I942" s="275"/>
      <c r="J942" s="275"/>
      <c r="K942" s="275"/>
      <c r="L942" s="275"/>
      <c r="M942" s="275"/>
      <c r="N942" s="275"/>
    </row>
    <row r="943" spans="1:14">
      <c r="A943" s="274"/>
      <c r="B943" s="275"/>
      <c r="C943" s="276"/>
      <c r="D943" s="276"/>
      <c r="E943" s="276"/>
      <c r="F943" s="276"/>
      <c r="G943" s="276"/>
      <c r="H943" s="275"/>
      <c r="I943" s="275"/>
      <c r="J943" s="275"/>
      <c r="K943" s="275"/>
      <c r="L943" s="275"/>
      <c r="M943" s="275"/>
      <c r="N943" s="275"/>
    </row>
    <row r="944" spans="1:14">
      <c r="A944" s="274"/>
      <c r="B944" s="275"/>
      <c r="C944" s="276"/>
      <c r="D944" s="276"/>
      <c r="E944" s="276"/>
      <c r="F944" s="276"/>
      <c r="G944" s="276"/>
      <c r="H944" s="275"/>
      <c r="I944" s="275"/>
      <c r="J944" s="275"/>
      <c r="K944" s="275"/>
      <c r="L944" s="275"/>
      <c r="M944" s="275"/>
      <c r="N944" s="275"/>
    </row>
    <row r="945" spans="1:14">
      <c r="A945" s="274"/>
      <c r="B945" s="275"/>
      <c r="C945" s="276"/>
      <c r="D945" s="276"/>
      <c r="E945" s="276"/>
      <c r="F945" s="276"/>
      <c r="G945" s="276"/>
      <c r="H945" s="275"/>
      <c r="I945" s="275"/>
      <c r="J945" s="275"/>
      <c r="K945" s="275"/>
      <c r="L945" s="275"/>
      <c r="M945" s="275"/>
      <c r="N945" s="275"/>
    </row>
    <row r="946" spans="1:14">
      <c r="A946" s="274"/>
      <c r="B946" s="275"/>
      <c r="C946" s="276"/>
      <c r="D946" s="276"/>
      <c r="E946" s="276"/>
      <c r="F946" s="276"/>
      <c r="G946" s="276"/>
      <c r="H946" s="275"/>
      <c r="I946" s="275"/>
      <c r="J946" s="275"/>
      <c r="K946" s="275"/>
      <c r="L946" s="275"/>
      <c r="M946" s="275"/>
      <c r="N946" s="275"/>
    </row>
    <row r="947" spans="1:14">
      <c r="A947" s="274"/>
      <c r="B947" s="275"/>
      <c r="C947" s="276"/>
      <c r="D947" s="276"/>
      <c r="E947" s="276"/>
      <c r="F947" s="276"/>
      <c r="G947" s="276"/>
      <c r="H947" s="275"/>
      <c r="I947" s="275"/>
      <c r="J947" s="275"/>
      <c r="K947" s="275"/>
      <c r="L947" s="275"/>
      <c r="M947" s="275"/>
      <c r="N947" s="275"/>
    </row>
    <row r="948" spans="1:14">
      <c r="A948" s="274"/>
      <c r="B948" s="275"/>
      <c r="C948" s="276"/>
      <c r="D948" s="276"/>
      <c r="E948" s="263"/>
      <c r="F948" s="277"/>
      <c r="G948" s="276"/>
      <c r="H948" s="275"/>
      <c r="I948" s="275"/>
      <c r="J948" s="275"/>
      <c r="K948" s="275"/>
      <c r="L948" s="275"/>
      <c r="M948" s="275"/>
      <c r="N948" s="275"/>
    </row>
    <row r="949" spans="1:14">
      <c r="A949" s="274"/>
      <c r="B949" s="275"/>
      <c r="C949" s="276"/>
      <c r="D949" s="276"/>
      <c r="E949" s="263"/>
      <c r="F949" s="263"/>
      <c r="G949" s="276"/>
      <c r="H949" s="275"/>
      <c r="I949" s="275"/>
      <c r="J949" s="275"/>
      <c r="K949" s="275"/>
      <c r="L949" s="275"/>
      <c r="M949" s="275"/>
      <c r="N949" s="275"/>
    </row>
    <row r="950" spans="1:14">
      <c r="A950" s="274"/>
      <c r="B950" s="275"/>
      <c r="C950" s="276"/>
      <c r="D950" s="276"/>
      <c r="E950" s="263"/>
      <c r="F950" s="263"/>
      <c r="G950" s="276"/>
      <c r="H950" s="275"/>
      <c r="I950" s="275"/>
      <c r="J950" s="275"/>
      <c r="K950" s="275"/>
      <c r="L950" s="275"/>
      <c r="M950" s="275"/>
      <c r="N950" s="275"/>
    </row>
    <row r="951" spans="1:14">
      <c r="A951" s="274"/>
      <c r="B951" s="275"/>
      <c r="C951" s="276"/>
      <c r="D951" s="276"/>
      <c r="E951" s="263"/>
      <c r="F951" s="263"/>
      <c r="G951" s="276"/>
      <c r="H951" s="275"/>
      <c r="I951" s="275"/>
      <c r="J951" s="275"/>
      <c r="K951" s="275"/>
      <c r="L951" s="275"/>
      <c r="M951" s="275"/>
      <c r="N951" s="275"/>
    </row>
    <row r="952" spans="1:14">
      <c r="A952" s="274"/>
      <c r="B952" s="275"/>
      <c r="C952" s="276"/>
      <c r="D952" s="276"/>
      <c r="E952" s="263"/>
      <c r="F952" s="263"/>
      <c r="G952" s="276"/>
      <c r="H952" s="275"/>
      <c r="I952" s="275"/>
      <c r="J952" s="275"/>
      <c r="K952" s="275"/>
      <c r="L952" s="275"/>
      <c r="M952" s="275"/>
      <c r="N952" s="275"/>
    </row>
    <row r="953" spans="1:14">
      <c r="A953" s="274"/>
      <c r="B953" s="275"/>
      <c r="C953" s="276"/>
      <c r="D953" s="276"/>
      <c r="E953" s="263"/>
      <c r="F953" s="263"/>
      <c r="G953" s="276"/>
      <c r="H953" s="275"/>
      <c r="I953" s="275"/>
      <c r="J953" s="275"/>
      <c r="K953" s="275"/>
      <c r="L953" s="275"/>
      <c r="M953" s="275"/>
      <c r="N953" s="275"/>
    </row>
    <row r="954" spans="1:14">
      <c r="A954" s="274"/>
      <c r="B954" s="275"/>
      <c r="C954" s="276"/>
      <c r="D954" s="276"/>
      <c r="E954" s="263"/>
      <c r="F954" s="277"/>
      <c r="G954" s="276"/>
      <c r="H954" s="275"/>
      <c r="I954" s="275"/>
      <c r="J954" s="275"/>
      <c r="K954" s="275"/>
      <c r="L954" s="275"/>
      <c r="M954" s="275"/>
      <c r="N954" s="275"/>
    </row>
    <row r="955" spans="1:14">
      <c r="A955" s="274"/>
      <c r="B955" s="275"/>
      <c r="C955" s="276"/>
      <c r="D955" s="276"/>
      <c r="E955" s="263"/>
      <c r="F955" s="263"/>
      <c r="G955" s="276"/>
      <c r="H955" s="275"/>
      <c r="I955" s="275"/>
      <c r="J955" s="275"/>
      <c r="K955" s="275"/>
      <c r="L955" s="275"/>
      <c r="M955" s="275"/>
      <c r="N955" s="275"/>
    </row>
    <row r="956" spans="1:14">
      <c r="A956" s="274"/>
      <c r="B956" s="275"/>
      <c r="C956" s="276"/>
      <c r="D956" s="276"/>
      <c r="E956" s="263"/>
      <c r="F956" s="263"/>
      <c r="G956" s="276"/>
      <c r="H956" s="275"/>
      <c r="I956" s="275"/>
      <c r="J956" s="275"/>
      <c r="K956" s="275"/>
      <c r="L956" s="275"/>
      <c r="M956" s="275"/>
      <c r="N956" s="275"/>
    </row>
    <row r="957" spans="1:14">
      <c r="A957" s="274"/>
      <c r="B957" s="275"/>
      <c r="C957" s="276"/>
      <c r="D957" s="276"/>
      <c r="E957" s="263"/>
      <c r="F957" s="263"/>
      <c r="G957" s="276"/>
      <c r="H957" s="275"/>
      <c r="I957" s="275"/>
      <c r="J957" s="275"/>
      <c r="K957" s="275"/>
      <c r="L957" s="275"/>
      <c r="M957" s="275"/>
      <c r="N957" s="275"/>
    </row>
    <row r="958" spans="1:14">
      <c r="A958" s="274"/>
      <c r="B958" s="275"/>
      <c r="C958" s="276"/>
      <c r="D958" s="276"/>
      <c r="E958" s="263"/>
      <c r="F958" s="263"/>
      <c r="G958" s="276"/>
      <c r="H958" s="275"/>
      <c r="I958" s="275"/>
      <c r="J958" s="275"/>
      <c r="K958" s="275"/>
      <c r="L958" s="275"/>
      <c r="M958" s="275"/>
      <c r="N958" s="275"/>
    </row>
    <row r="959" spans="1:14">
      <c r="A959" s="274"/>
      <c r="B959" s="275"/>
      <c r="C959" s="276"/>
      <c r="D959" s="276"/>
      <c r="E959" s="263"/>
      <c r="F959" s="263"/>
      <c r="G959" s="276"/>
      <c r="H959" s="275"/>
      <c r="I959" s="275"/>
      <c r="J959" s="275"/>
      <c r="K959" s="275"/>
      <c r="L959" s="275"/>
      <c r="M959" s="275"/>
      <c r="N959" s="275"/>
    </row>
    <row r="960" spans="1:14">
      <c r="A960" s="274"/>
      <c r="B960" s="275"/>
      <c r="C960" s="276"/>
      <c r="D960" s="276"/>
      <c r="E960" s="263"/>
      <c r="F960" s="263"/>
      <c r="G960" s="276"/>
      <c r="H960" s="275"/>
      <c r="I960" s="275"/>
      <c r="J960" s="275"/>
      <c r="K960" s="275"/>
      <c r="L960" s="275"/>
      <c r="M960" s="275"/>
      <c r="N960" s="275"/>
    </row>
    <row r="961" spans="1:14">
      <c r="A961" s="274"/>
      <c r="B961" s="275"/>
      <c r="C961" s="276"/>
      <c r="D961" s="276"/>
      <c r="E961" s="263"/>
      <c r="F961" s="263"/>
      <c r="G961" s="276"/>
      <c r="H961" s="275"/>
      <c r="I961" s="275"/>
      <c r="J961" s="275"/>
      <c r="K961" s="275"/>
      <c r="L961" s="275"/>
      <c r="M961" s="275"/>
      <c r="N961" s="275"/>
    </row>
    <row r="962" spans="1:14">
      <c r="A962" s="274"/>
      <c r="B962" s="275"/>
      <c r="C962" s="276"/>
      <c r="D962" s="276"/>
      <c r="E962" s="263"/>
      <c r="F962" s="277"/>
      <c r="G962" s="276"/>
      <c r="H962" s="275"/>
      <c r="I962" s="275"/>
      <c r="J962" s="275"/>
      <c r="K962" s="275"/>
      <c r="L962" s="275"/>
      <c r="M962" s="275"/>
      <c r="N962" s="275"/>
    </row>
    <row r="963" spans="1:14">
      <c r="A963" s="274"/>
      <c r="B963" s="275"/>
      <c r="C963" s="276"/>
      <c r="D963" s="276"/>
      <c r="E963" s="263"/>
      <c r="F963" s="263"/>
      <c r="G963" s="276"/>
      <c r="H963" s="275"/>
      <c r="I963" s="275"/>
      <c r="J963" s="275"/>
      <c r="K963" s="275"/>
      <c r="L963" s="275"/>
      <c r="M963" s="275"/>
      <c r="N963" s="275"/>
    </row>
    <row r="964" spans="1:14">
      <c r="A964" s="274"/>
      <c r="B964" s="275"/>
      <c r="C964" s="276"/>
      <c r="D964" s="276"/>
      <c r="E964" s="263"/>
      <c r="F964" s="263"/>
      <c r="G964" s="276"/>
      <c r="H964" s="275"/>
      <c r="I964" s="275"/>
      <c r="J964" s="275"/>
      <c r="K964" s="275"/>
      <c r="L964" s="275"/>
      <c r="M964" s="275"/>
      <c r="N964" s="275"/>
    </row>
    <row r="965" spans="1:14">
      <c r="A965" s="274"/>
      <c r="B965" s="275"/>
      <c r="C965" s="276"/>
      <c r="D965" s="276"/>
      <c r="E965" s="263"/>
      <c r="F965" s="277"/>
      <c r="G965" s="276"/>
      <c r="H965" s="275"/>
      <c r="I965" s="275"/>
      <c r="J965" s="275"/>
      <c r="K965" s="275"/>
      <c r="L965" s="275"/>
      <c r="M965" s="275"/>
      <c r="N965" s="275"/>
    </row>
    <row r="966" spans="1:14">
      <c r="A966" s="274"/>
      <c r="B966" s="275"/>
      <c r="C966" s="276"/>
      <c r="D966" s="276"/>
      <c r="E966" s="263"/>
      <c r="F966" s="263"/>
      <c r="G966" s="276"/>
      <c r="H966" s="275"/>
      <c r="I966" s="275"/>
      <c r="J966" s="275"/>
      <c r="K966" s="275"/>
      <c r="L966" s="275"/>
      <c r="M966" s="275"/>
      <c r="N966" s="275"/>
    </row>
    <row r="967" spans="1:14">
      <c r="A967" s="274"/>
      <c r="B967" s="275"/>
      <c r="C967" s="276"/>
      <c r="D967" s="276"/>
      <c r="E967" s="263"/>
      <c r="F967" s="263"/>
      <c r="G967" s="276"/>
      <c r="H967" s="275"/>
      <c r="I967" s="275"/>
      <c r="J967" s="275"/>
      <c r="K967" s="275"/>
      <c r="L967" s="275"/>
      <c r="M967" s="275"/>
      <c r="N967" s="275"/>
    </row>
    <row r="968" spans="1:14">
      <c r="A968" s="274"/>
      <c r="B968" s="275"/>
      <c r="C968" s="276"/>
      <c r="D968" s="276"/>
      <c r="E968" s="277"/>
      <c r="F968" s="277"/>
      <c r="G968" s="276"/>
      <c r="H968" s="275"/>
      <c r="I968" s="275"/>
      <c r="J968" s="275"/>
      <c r="K968" s="275"/>
      <c r="L968" s="275"/>
      <c r="M968" s="275"/>
      <c r="N968" s="275"/>
    </row>
    <row r="969" spans="1:14">
      <c r="A969" s="274"/>
      <c r="B969" s="275"/>
      <c r="C969" s="276"/>
      <c r="D969" s="276"/>
      <c r="E969" s="263"/>
      <c r="F969" s="263"/>
      <c r="G969" s="276"/>
      <c r="H969" s="275"/>
      <c r="I969" s="275"/>
      <c r="J969" s="275"/>
      <c r="K969" s="275"/>
      <c r="L969" s="275"/>
      <c r="M969" s="275"/>
      <c r="N969" s="275"/>
    </row>
    <row r="970" spans="1:14">
      <c r="A970" s="274"/>
      <c r="B970" s="275"/>
      <c r="C970" s="276"/>
      <c r="D970" s="276"/>
      <c r="E970" s="263"/>
      <c r="F970" s="263"/>
      <c r="G970" s="276"/>
      <c r="H970" s="275"/>
      <c r="I970" s="275"/>
      <c r="J970" s="275"/>
      <c r="K970" s="275"/>
      <c r="L970" s="275"/>
      <c r="M970" s="275"/>
      <c r="N970" s="275"/>
    </row>
    <row r="971" spans="1:14">
      <c r="A971" s="274"/>
      <c r="B971" s="275"/>
      <c r="C971" s="276"/>
      <c r="D971" s="276"/>
      <c r="E971" s="277"/>
      <c r="F971" s="277"/>
      <c r="G971" s="276"/>
      <c r="H971" s="275"/>
      <c r="I971" s="275"/>
      <c r="J971" s="275"/>
      <c r="K971" s="275"/>
      <c r="L971" s="275"/>
      <c r="M971" s="275"/>
      <c r="N971" s="275"/>
    </row>
    <row r="972" spans="1:14">
      <c r="A972" s="274"/>
      <c r="B972" s="275"/>
      <c r="C972" s="276"/>
      <c r="D972" s="276"/>
      <c r="E972" s="277"/>
      <c r="F972" s="277"/>
      <c r="G972" s="276"/>
      <c r="H972" s="275"/>
      <c r="I972" s="275"/>
      <c r="J972" s="275"/>
      <c r="K972" s="275"/>
      <c r="L972" s="275"/>
      <c r="M972" s="275"/>
      <c r="N972" s="275"/>
    </row>
    <row r="973" spans="1:14">
      <c r="A973" s="274"/>
      <c r="B973" s="275"/>
      <c r="C973" s="276"/>
      <c r="D973" s="276"/>
      <c r="E973" s="263"/>
      <c r="F973" s="263"/>
      <c r="G973" s="276"/>
      <c r="H973" s="275"/>
      <c r="I973" s="275"/>
      <c r="J973" s="275"/>
      <c r="K973" s="275"/>
      <c r="L973" s="275"/>
      <c r="M973" s="275"/>
      <c r="N973" s="275"/>
    </row>
    <row r="974" spans="1:14">
      <c r="A974" s="274"/>
      <c r="B974" s="275"/>
      <c r="C974" s="276"/>
      <c r="D974" s="276"/>
      <c r="E974" s="277"/>
      <c r="F974" s="277"/>
      <c r="G974" s="276"/>
      <c r="H974" s="275"/>
      <c r="I974" s="275"/>
      <c r="J974" s="275"/>
      <c r="K974" s="275"/>
      <c r="L974" s="275"/>
      <c r="M974" s="275"/>
      <c r="N974" s="275"/>
    </row>
    <row r="975" spans="1:14">
      <c r="A975" s="274"/>
      <c r="B975" s="275"/>
      <c r="C975" s="276"/>
      <c r="D975" s="276"/>
      <c r="E975" s="277"/>
      <c r="F975" s="277"/>
      <c r="G975" s="276"/>
      <c r="H975" s="275"/>
      <c r="I975" s="275"/>
      <c r="J975" s="275"/>
      <c r="K975" s="275"/>
      <c r="L975" s="275"/>
      <c r="M975" s="275"/>
      <c r="N975" s="275"/>
    </row>
    <row r="976" spans="1:14">
      <c r="A976" s="274"/>
      <c r="B976" s="275"/>
      <c r="C976" s="276"/>
      <c r="D976" s="276"/>
      <c r="E976" s="263"/>
      <c r="F976" s="263"/>
      <c r="G976" s="276"/>
      <c r="H976" s="275"/>
      <c r="I976" s="275"/>
      <c r="J976" s="275"/>
      <c r="K976" s="275"/>
      <c r="L976" s="275"/>
      <c r="M976" s="275"/>
      <c r="N976" s="275"/>
    </row>
    <row r="977" spans="1:14">
      <c r="A977" s="274"/>
      <c r="B977" s="275"/>
      <c r="C977" s="276"/>
      <c r="D977" s="276"/>
      <c r="E977" s="263"/>
      <c r="F977" s="263"/>
      <c r="G977" s="276"/>
      <c r="H977" s="275"/>
      <c r="I977" s="275"/>
      <c r="J977" s="275"/>
      <c r="K977" s="275"/>
      <c r="L977" s="275"/>
      <c r="M977" s="275"/>
      <c r="N977" s="275"/>
    </row>
    <row r="978" spans="1:14">
      <c r="A978" s="274"/>
      <c r="B978" s="275"/>
      <c r="C978" s="276"/>
      <c r="D978" s="276"/>
      <c r="E978" s="263"/>
      <c r="F978" s="263"/>
      <c r="G978" s="276"/>
      <c r="H978" s="275"/>
      <c r="I978" s="275"/>
      <c r="J978" s="275"/>
      <c r="K978" s="275"/>
      <c r="L978" s="275"/>
      <c r="M978" s="275"/>
      <c r="N978" s="275"/>
    </row>
    <row r="979" spans="1:14">
      <c r="A979" s="274"/>
      <c r="B979" s="275"/>
      <c r="C979" s="276"/>
      <c r="D979" s="276"/>
      <c r="E979" s="277"/>
      <c r="F979" s="277"/>
      <c r="G979" s="276"/>
      <c r="H979" s="275"/>
      <c r="I979" s="275"/>
      <c r="J979" s="275"/>
      <c r="K979" s="275"/>
      <c r="L979" s="275"/>
      <c r="M979" s="275"/>
      <c r="N979" s="275"/>
    </row>
    <row r="980" spans="1:14">
      <c r="A980" s="274"/>
      <c r="B980" s="275"/>
      <c r="C980" s="276"/>
      <c r="D980" s="276"/>
      <c r="E980" s="263"/>
      <c r="F980" s="263"/>
      <c r="G980" s="276"/>
      <c r="H980" s="275"/>
      <c r="I980" s="275"/>
      <c r="J980" s="275"/>
      <c r="K980" s="275"/>
      <c r="L980" s="275"/>
      <c r="M980" s="275"/>
      <c r="N980" s="275"/>
    </row>
    <row r="981" spans="1:14">
      <c r="A981" s="274"/>
      <c r="B981" s="275"/>
      <c r="C981" s="276"/>
      <c r="D981" s="276"/>
      <c r="E981" s="263"/>
      <c r="F981" s="263"/>
      <c r="G981" s="276"/>
      <c r="H981" s="275"/>
      <c r="I981" s="275"/>
      <c r="J981" s="275"/>
      <c r="K981" s="275"/>
      <c r="L981" s="275"/>
      <c r="M981" s="275"/>
      <c r="N981" s="275"/>
    </row>
    <row r="982" spans="1:14">
      <c r="A982" s="274"/>
      <c r="B982" s="275"/>
      <c r="C982" s="276"/>
      <c r="D982" s="276"/>
      <c r="E982" s="277"/>
      <c r="F982" s="277"/>
      <c r="G982" s="276"/>
      <c r="H982" s="275"/>
      <c r="I982" s="275"/>
      <c r="J982" s="275"/>
      <c r="K982" s="275"/>
      <c r="L982" s="275"/>
      <c r="M982" s="275"/>
      <c r="N982" s="275"/>
    </row>
    <row r="983" spans="1:14">
      <c r="A983" s="274"/>
      <c r="B983" s="275"/>
      <c r="C983" s="276"/>
      <c r="D983" s="276"/>
      <c r="E983" s="263"/>
      <c r="F983" s="263"/>
      <c r="G983" s="276"/>
      <c r="H983" s="275"/>
      <c r="I983" s="275"/>
      <c r="J983" s="275"/>
      <c r="K983" s="275"/>
      <c r="L983" s="275"/>
      <c r="M983" s="275"/>
      <c r="N983" s="275"/>
    </row>
    <row r="984" spans="1:14">
      <c r="A984" s="274"/>
      <c r="B984" s="275"/>
      <c r="C984" s="276"/>
      <c r="D984" s="276"/>
      <c r="E984" s="263"/>
      <c r="F984" s="263"/>
      <c r="G984" s="276"/>
      <c r="H984" s="275"/>
      <c r="I984" s="275"/>
      <c r="J984" s="275"/>
      <c r="K984" s="275"/>
      <c r="L984" s="275"/>
      <c r="M984" s="275"/>
      <c r="N984" s="275"/>
    </row>
    <row r="985" spans="1:14">
      <c r="A985" s="274"/>
      <c r="B985" s="275"/>
      <c r="C985" s="276"/>
      <c r="D985" s="276"/>
      <c r="E985" s="263"/>
      <c r="F985" s="263"/>
      <c r="G985" s="276"/>
      <c r="H985" s="275"/>
      <c r="I985" s="275"/>
      <c r="J985" s="275"/>
      <c r="K985" s="275"/>
      <c r="L985" s="275"/>
      <c r="M985" s="275"/>
      <c r="N985" s="275"/>
    </row>
    <row r="986" spans="1:14">
      <c r="A986" s="274"/>
      <c r="B986" s="275"/>
      <c r="C986" s="276"/>
      <c r="D986" s="276"/>
      <c r="E986" s="263"/>
      <c r="F986" s="263"/>
      <c r="G986" s="276"/>
      <c r="H986" s="275"/>
      <c r="I986" s="275"/>
      <c r="J986" s="275"/>
      <c r="K986" s="275"/>
      <c r="L986" s="275"/>
      <c r="M986" s="275"/>
      <c r="N986" s="275"/>
    </row>
    <row r="987" spans="1:14">
      <c r="A987" s="274"/>
      <c r="B987" s="275"/>
      <c r="C987" s="276"/>
      <c r="D987" s="276"/>
      <c r="E987" s="263"/>
      <c r="F987" s="263"/>
      <c r="G987" s="276"/>
      <c r="H987" s="275"/>
      <c r="I987" s="275"/>
      <c r="J987" s="275"/>
      <c r="K987" s="275"/>
      <c r="L987" s="275"/>
      <c r="M987" s="275"/>
      <c r="N987" s="275"/>
    </row>
    <row r="988" spans="1:14">
      <c r="A988" s="260"/>
      <c r="B988" s="263"/>
      <c r="C988" s="276"/>
      <c r="D988" s="276"/>
      <c r="E988" s="263"/>
      <c r="F988" s="263"/>
      <c r="G988" s="276"/>
      <c r="H988" s="275"/>
      <c r="I988" s="275"/>
      <c r="J988" s="275"/>
      <c r="K988" s="275"/>
      <c r="L988" s="275"/>
      <c r="M988" s="275"/>
      <c r="N988" s="275"/>
    </row>
    <row r="989" spans="1:14">
      <c r="A989" s="260"/>
      <c r="B989" s="263"/>
      <c r="C989" s="276"/>
      <c r="D989" s="276"/>
      <c r="E989" s="263"/>
      <c r="F989" s="263"/>
      <c r="G989" s="276"/>
      <c r="H989" s="275"/>
      <c r="I989" s="275"/>
      <c r="J989" s="275"/>
      <c r="K989" s="275"/>
      <c r="L989" s="275"/>
      <c r="M989" s="275"/>
      <c r="N989" s="275"/>
    </row>
    <row r="990" spans="1:14">
      <c r="A990" s="260"/>
      <c r="B990" s="263"/>
      <c r="C990" s="276"/>
      <c r="D990" s="276"/>
      <c r="E990" s="263"/>
      <c r="F990" s="263"/>
      <c r="G990" s="276"/>
      <c r="H990" s="275"/>
      <c r="I990" s="275"/>
      <c r="J990" s="275"/>
      <c r="K990" s="275"/>
      <c r="L990" s="275"/>
      <c r="M990" s="275"/>
      <c r="N990" s="275"/>
    </row>
    <row r="991" spans="1:14">
      <c r="A991" s="260"/>
      <c r="B991" s="263"/>
      <c r="C991" s="276"/>
      <c r="D991" s="276"/>
      <c r="E991" s="263"/>
      <c r="F991" s="263"/>
      <c r="G991" s="276"/>
      <c r="H991" s="275"/>
      <c r="I991" s="275"/>
      <c r="J991" s="275"/>
      <c r="K991" s="275"/>
      <c r="L991" s="275"/>
      <c r="M991" s="275"/>
      <c r="N991" s="275"/>
    </row>
    <row r="992" spans="1:14">
      <c r="A992" s="260"/>
      <c r="B992" s="263"/>
      <c r="C992" s="276"/>
      <c r="D992" s="276"/>
      <c r="E992" s="263"/>
      <c r="F992" s="263"/>
      <c r="G992" s="276"/>
      <c r="H992" s="275"/>
      <c r="I992" s="275"/>
      <c r="J992" s="275"/>
      <c r="K992" s="275"/>
      <c r="L992" s="275"/>
      <c r="M992" s="275"/>
      <c r="N992" s="275"/>
    </row>
    <row r="993" spans="1:14">
      <c r="A993" s="260"/>
      <c r="B993" s="263"/>
      <c r="C993" s="276"/>
      <c r="D993" s="276"/>
      <c r="E993" s="263"/>
      <c r="F993" s="263"/>
      <c r="G993" s="276"/>
      <c r="H993" s="275"/>
      <c r="I993" s="275"/>
      <c r="J993" s="275"/>
      <c r="K993" s="275"/>
      <c r="L993" s="275"/>
      <c r="M993" s="275"/>
      <c r="N993" s="275"/>
    </row>
    <row r="994" spans="1:14">
      <c r="A994" s="260"/>
      <c r="B994" s="263"/>
      <c r="C994" s="276"/>
      <c r="D994" s="276"/>
      <c r="E994" s="277"/>
      <c r="F994" s="277"/>
      <c r="G994" s="276"/>
      <c r="H994" s="275"/>
      <c r="I994" s="275"/>
      <c r="J994" s="275"/>
      <c r="K994" s="275"/>
      <c r="L994" s="275"/>
      <c r="M994" s="275"/>
      <c r="N994" s="275"/>
    </row>
    <row r="995" spans="1:14">
      <c r="A995" s="260"/>
      <c r="B995" s="263"/>
      <c r="C995" s="276"/>
      <c r="D995" s="276"/>
      <c r="E995" s="277"/>
      <c r="F995" s="277"/>
      <c r="G995" s="276"/>
      <c r="H995" s="275"/>
      <c r="I995" s="275"/>
      <c r="J995" s="275"/>
      <c r="K995" s="275"/>
      <c r="L995" s="275"/>
      <c r="M995" s="275"/>
      <c r="N995" s="275"/>
    </row>
    <row r="996" spans="1:14">
      <c r="A996" s="260"/>
      <c r="B996" s="262"/>
      <c r="C996" s="278"/>
      <c r="D996" s="278"/>
      <c r="E996" s="278"/>
      <c r="F996" s="278"/>
      <c r="G996" s="278"/>
      <c r="H996" s="275"/>
      <c r="I996" s="275"/>
      <c r="J996" s="275"/>
      <c r="K996" s="275"/>
      <c r="L996" s="275"/>
      <c r="M996" s="275"/>
      <c r="N996" s="275"/>
    </row>
  </sheetData>
  <autoFilter ref="A4:R442"/>
  <mergeCells count="4">
    <mergeCell ref="E3:F3"/>
    <mergeCell ref="G3:H3"/>
    <mergeCell ref="I3:J3"/>
    <mergeCell ref="K3:L3"/>
  </mergeCells>
  <hyperlinks>
    <hyperlink ref="E1" location="INDEX!A1" display="Index"/>
  </hyperlinks>
  <pageMargins left="0.34" right="0.75" top="1" bottom="1" header="0.5" footer="0.5"/>
  <pageSetup orientation="landscape" verticalDpi="1200" r:id="rId1"/>
  <headerFooter alignWithMargins="0"/>
  <ignoredErrors>
    <ignoredError sqref="K344" formula="1"/>
  </ignoredError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R996"/>
  <sheetViews>
    <sheetView zoomScale="80" zoomScaleNormal="70" workbookViewId="0">
      <pane xSplit="3" ySplit="4" topLeftCell="D326" activePane="bottomRight" state="frozen"/>
      <selection pane="topRight" activeCell="D1" sqref="D1"/>
      <selection pane="bottomLeft" activeCell="A5" sqref="A5"/>
      <selection pane="bottomRight" activeCell="T346" sqref="T346"/>
    </sheetView>
  </sheetViews>
  <sheetFormatPr defaultRowHeight="12.75" outlineLevelCol="1"/>
  <cols>
    <col min="1" max="1" width="7.42578125" style="259" customWidth="1"/>
    <col min="2" max="2" width="10.7109375" style="250" customWidth="1"/>
    <col min="3" max="3" width="38.42578125" style="250" customWidth="1"/>
    <col min="4" max="4" width="6.5703125" style="250" customWidth="1"/>
    <col min="5" max="5" width="22.7109375" style="250" hidden="1" customWidth="1" outlineLevel="1"/>
    <col min="6" max="6" width="24" style="250" hidden="1" customWidth="1" outlineLevel="1"/>
    <col min="7" max="7" width="17.7109375" style="250" hidden="1" customWidth="1" outlineLevel="1"/>
    <col min="8" max="8" width="17.28515625" style="250" hidden="1" customWidth="1" outlineLevel="1"/>
    <col min="9" max="9" width="17.7109375" style="250" customWidth="1" collapsed="1"/>
    <col min="10" max="13" width="17.7109375" style="250" customWidth="1"/>
    <col min="14" max="14" width="9.140625" style="250" customWidth="1"/>
    <col min="15" max="15" width="13.85546875" style="250" customWidth="1"/>
    <col min="16" max="16" width="16.28515625" style="250" bestFit="1" customWidth="1"/>
    <col min="17" max="17" width="13.42578125" style="250" bestFit="1" customWidth="1"/>
    <col min="18" max="18" width="12.28515625" style="250" bestFit="1" customWidth="1"/>
    <col min="19" max="16384" width="9.140625" style="250"/>
  </cols>
  <sheetData>
    <row r="1" spans="1:18">
      <c r="A1" s="260"/>
      <c r="B1" s="261" t="s">
        <v>154</v>
      </c>
      <c r="C1" s="262"/>
      <c r="D1" s="262"/>
      <c r="E1" s="249" t="s">
        <v>36</v>
      </c>
      <c r="F1" s="263"/>
      <c r="G1" s="263"/>
      <c r="H1" s="263"/>
      <c r="I1" s="263"/>
      <c r="J1" s="263"/>
      <c r="K1" s="263"/>
      <c r="L1" s="449" t="s">
        <v>900</v>
      </c>
      <c r="M1" s="449" t="s">
        <v>901</v>
      </c>
      <c r="N1" s="264"/>
    </row>
    <row r="2" spans="1:18">
      <c r="A2" s="260"/>
      <c r="B2" s="265">
        <v>41274</v>
      </c>
      <c r="C2" s="266" t="s">
        <v>12</v>
      </c>
      <c r="D2" s="266"/>
      <c r="E2" s="263"/>
      <c r="F2" s="263"/>
      <c r="G2" s="263"/>
      <c r="H2" s="263"/>
      <c r="I2" s="263"/>
      <c r="J2" s="263"/>
      <c r="K2" s="263"/>
      <c r="L2" s="450">
        <f>SUM(L299:L440)</f>
        <v>3425454.845999999</v>
      </c>
      <c r="M2" s="450">
        <f>SUM(M299:M440)</f>
        <v>9180810.5696999989</v>
      </c>
      <c r="N2" s="264"/>
    </row>
    <row r="3" spans="1:18">
      <c r="A3" s="260"/>
      <c r="B3" s="267"/>
      <c r="C3" s="268"/>
      <c r="D3" s="269" t="s">
        <v>516</v>
      </c>
      <c r="E3" s="734" t="s">
        <v>6</v>
      </c>
      <c r="F3" s="735"/>
      <c r="G3" s="737" t="s">
        <v>10</v>
      </c>
      <c r="H3" s="737"/>
      <c r="I3" s="737" t="s">
        <v>9</v>
      </c>
      <c r="J3" s="737"/>
      <c r="K3" s="738" t="s">
        <v>878</v>
      </c>
      <c r="L3" s="738"/>
      <c r="M3" s="270" t="s">
        <v>663</v>
      </c>
      <c r="N3" s="251" t="s">
        <v>16</v>
      </c>
    </row>
    <row r="4" spans="1:18">
      <c r="A4" s="260" t="s">
        <v>156</v>
      </c>
      <c r="B4" s="267" t="s">
        <v>11</v>
      </c>
      <c r="C4" s="268" t="s">
        <v>5</v>
      </c>
      <c r="D4" s="268"/>
      <c r="E4" s="270" t="s">
        <v>7</v>
      </c>
      <c r="F4" s="270" t="s">
        <v>8</v>
      </c>
      <c r="G4" s="270" t="s">
        <v>7</v>
      </c>
      <c r="H4" s="270" t="s">
        <v>8</v>
      </c>
      <c r="I4" s="270" t="s">
        <v>7</v>
      </c>
      <c r="J4" s="270" t="s">
        <v>8</v>
      </c>
      <c r="K4" s="416" t="s">
        <v>7</v>
      </c>
      <c r="L4" s="416" t="s">
        <v>8</v>
      </c>
      <c r="M4" s="270" t="s">
        <v>37</v>
      </c>
      <c r="N4" s="251" t="s">
        <v>4</v>
      </c>
    </row>
    <row r="5" spans="1:18">
      <c r="A5" s="260">
        <v>2028</v>
      </c>
      <c r="B5" s="252">
        <v>101</v>
      </c>
      <c r="C5" s="253" t="s">
        <v>157</v>
      </c>
      <c r="D5" s="254" t="s">
        <v>511</v>
      </c>
      <c r="E5" s="255"/>
      <c r="F5" s="255"/>
      <c r="G5" s="255"/>
      <c r="H5" s="255"/>
      <c r="I5" s="255"/>
      <c r="J5" s="255"/>
      <c r="K5" s="255"/>
      <c r="L5" s="255"/>
      <c r="M5" s="255">
        <f>(+I5-J5)+K5-L5</f>
        <v>0</v>
      </c>
      <c r="N5" s="256"/>
      <c r="P5" s="257"/>
      <c r="Q5" s="9"/>
      <c r="R5" s="9"/>
    </row>
    <row r="6" spans="1:18">
      <c r="A6" s="260">
        <v>2032</v>
      </c>
      <c r="B6" s="252">
        <v>1071</v>
      </c>
      <c r="C6" s="253" t="s">
        <v>20</v>
      </c>
      <c r="D6" s="254" t="s">
        <v>511</v>
      </c>
      <c r="E6" s="255"/>
      <c r="F6" s="255"/>
      <c r="G6" s="255"/>
      <c r="H6" s="255"/>
      <c r="I6" s="255"/>
      <c r="J6" s="255"/>
      <c r="K6" s="255"/>
      <c r="L6" s="255"/>
      <c r="M6" s="255">
        <f t="shared" ref="M6:M69" si="0">(+I6-J6)+K6-L6</f>
        <v>0</v>
      </c>
      <c r="N6" s="256"/>
      <c r="P6" s="257"/>
      <c r="Q6" s="9"/>
      <c r="R6" s="9"/>
    </row>
    <row r="7" spans="1:18">
      <c r="A7" s="260">
        <v>2031</v>
      </c>
      <c r="B7" s="252">
        <v>1073</v>
      </c>
      <c r="C7" s="253" t="s">
        <v>158</v>
      </c>
      <c r="D7" s="254" t="s">
        <v>511</v>
      </c>
      <c r="E7" s="255"/>
      <c r="F7" s="255"/>
      <c r="G7" s="255"/>
      <c r="H7" s="255"/>
      <c r="I7" s="255"/>
      <c r="J7" s="255"/>
      <c r="K7" s="255"/>
      <c r="L7" s="255"/>
      <c r="M7" s="255">
        <f t="shared" si="0"/>
        <v>0</v>
      </c>
      <c r="N7" s="256"/>
      <c r="P7" s="257"/>
      <c r="Q7" s="9"/>
      <c r="R7" s="9"/>
    </row>
    <row r="8" spans="1:18">
      <c r="A8" s="260">
        <v>2033</v>
      </c>
      <c r="B8" s="252">
        <v>1078</v>
      </c>
      <c r="C8" s="253" t="s">
        <v>76</v>
      </c>
      <c r="D8" s="254" t="s">
        <v>511</v>
      </c>
      <c r="E8" s="255"/>
      <c r="F8" s="255"/>
      <c r="G8" s="255"/>
      <c r="H8" s="255"/>
      <c r="I8" s="255"/>
      <c r="J8" s="255"/>
      <c r="K8" s="255"/>
      <c r="L8" s="255"/>
      <c r="M8" s="255">
        <f t="shared" si="0"/>
        <v>0</v>
      </c>
      <c r="N8" s="256"/>
      <c r="P8" s="257"/>
      <c r="Q8" s="9"/>
      <c r="R8" s="9"/>
    </row>
    <row r="9" spans="1:18">
      <c r="A9" s="260">
        <v>2034</v>
      </c>
      <c r="B9" s="252">
        <v>108</v>
      </c>
      <c r="C9" s="253" t="s">
        <v>159</v>
      </c>
      <c r="D9" s="254" t="s">
        <v>511</v>
      </c>
      <c r="E9" s="255"/>
      <c r="F9" s="255"/>
      <c r="G9" s="255"/>
      <c r="H9" s="255"/>
      <c r="I9" s="255"/>
      <c r="J9" s="255"/>
      <c r="K9" s="255"/>
      <c r="L9" s="255"/>
      <c r="M9" s="255">
        <f t="shared" si="0"/>
        <v>0</v>
      </c>
      <c r="N9" s="256"/>
      <c r="P9" s="257"/>
      <c r="Q9" s="9"/>
      <c r="R9" s="9"/>
    </row>
    <row r="10" spans="1:18">
      <c r="A10" s="260">
        <v>2034</v>
      </c>
      <c r="B10" s="252">
        <v>1081</v>
      </c>
      <c r="C10" s="253" t="s">
        <v>160</v>
      </c>
      <c r="D10" s="254" t="s">
        <v>511</v>
      </c>
      <c r="E10" s="255"/>
      <c r="F10" s="255"/>
      <c r="G10" s="255"/>
      <c r="H10" s="255"/>
      <c r="I10" s="255"/>
      <c r="J10" s="255"/>
      <c r="K10" s="255"/>
      <c r="L10" s="255"/>
      <c r="M10" s="255">
        <f t="shared" si="0"/>
        <v>0</v>
      </c>
      <c r="N10" s="256"/>
      <c r="P10" s="257"/>
      <c r="Q10" s="9"/>
      <c r="R10" s="9"/>
    </row>
    <row r="11" spans="1:18">
      <c r="A11" s="260">
        <v>2034</v>
      </c>
      <c r="B11" s="252">
        <v>109</v>
      </c>
      <c r="C11" s="253" t="s">
        <v>161</v>
      </c>
      <c r="D11" s="254" t="s">
        <v>511</v>
      </c>
      <c r="E11" s="255"/>
      <c r="F11" s="255"/>
      <c r="G11" s="255"/>
      <c r="H11" s="255"/>
      <c r="I11" s="255"/>
      <c r="J11" s="255"/>
      <c r="K11" s="255"/>
      <c r="L11" s="255"/>
      <c r="M11" s="255">
        <f t="shared" si="0"/>
        <v>0</v>
      </c>
      <c r="N11" s="256"/>
      <c r="P11" s="257"/>
      <c r="Q11" s="9"/>
      <c r="R11" s="9"/>
    </row>
    <row r="12" spans="1:18">
      <c r="A12" s="260">
        <v>1020</v>
      </c>
      <c r="B12" s="252">
        <v>2110</v>
      </c>
      <c r="C12" s="253" t="s">
        <v>162</v>
      </c>
      <c r="D12" s="254" t="s">
        <v>511</v>
      </c>
      <c r="E12" s="255"/>
      <c r="F12" s="255"/>
      <c r="G12" s="255"/>
      <c r="H12" s="255"/>
      <c r="I12" s="255"/>
      <c r="J12" s="255"/>
      <c r="K12" s="255"/>
      <c r="L12" s="255"/>
      <c r="M12" s="255">
        <f t="shared" si="0"/>
        <v>0</v>
      </c>
      <c r="N12" s="256"/>
      <c r="P12" s="257"/>
      <c r="Q12" s="9"/>
      <c r="R12" s="9"/>
    </row>
    <row r="13" spans="1:18">
      <c r="A13" s="260">
        <v>1021</v>
      </c>
      <c r="B13" s="252">
        <v>212212</v>
      </c>
      <c r="C13" s="253" t="s">
        <v>163</v>
      </c>
      <c r="D13" s="254" t="s">
        <v>511</v>
      </c>
      <c r="E13" s="255"/>
      <c r="F13" s="255"/>
      <c r="G13" s="255"/>
      <c r="H13" s="255"/>
      <c r="I13" s="255"/>
      <c r="J13" s="255"/>
      <c r="K13" s="255"/>
      <c r="L13" s="255"/>
      <c r="M13" s="255">
        <f t="shared" si="0"/>
        <v>0</v>
      </c>
      <c r="N13" s="256"/>
      <c r="P13" s="257"/>
      <c r="Q13" s="9"/>
      <c r="R13" s="9"/>
    </row>
    <row r="14" spans="1:18">
      <c r="A14" s="260">
        <v>1022</v>
      </c>
      <c r="B14" s="252">
        <v>2130</v>
      </c>
      <c r="C14" s="253" t="s">
        <v>164</v>
      </c>
      <c r="D14" s="254" t="s">
        <v>511</v>
      </c>
      <c r="E14" s="255"/>
      <c r="F14" s="255"/>
      <c r="G14" s="255"/>
      <c r="H14" s="255"/>
      <c r="I14" s="255"/>
      <c r="J14" s="255"/>
      <c r="K14" s="255"/>
      <c r="L14" s="255"/>
      <c r="M14" s="255">
        <f t="shared" si="0"/>
        <v>0</v>
      </c>
      <c r="N14" s="256"/>
      <c r="P14" s="257"/>
      <c r="Q14" s="9"/>
      <c r="R14" s="9"/>
    </row>
    <row r="15" spans="1:18">
      <c r="A15" s="260">
        <v>1022</v>
      </c>
      <c r="B15" s="252">
        <v>21330</v>
      </c>
      <c r="C15" s="253" t="s">
        <v>164</v>
      </c>
      <c r="D15" s="254" t="s">
        <v>511</v>
      </c>
      <c r="E15" s="255"/>
      <c r="F15" s="255"/>
      <c r="G15" s="255"/>
      <c r="H15" s="255"/>
      <c r="I15" s="255"/>
      <c r="J15" s="255"/>
      <c r="K15" s="255"/>
      <c r="L15" s="255"/>
      <c r="M15" s="255">
        <f t="shared" si="0"/>
        <v>0</v>
      </c>
      <c r="N15" s="256"/>
      <c r="P15" s="257"/>
      <c r="Q15" s="9"/>
      <c r="R15" s="9"/>
    </row>
    <row r="16" spans="1:18">
      <c r="A16" s="260">
        <v>1023</v>
      </c>
      <c r="B16" s="252">
        <v>2150</v>
      </c>
      <c r="C16" s="253" t="s">
        <v>165</v>
      </c>
      <c r="D16" s="254" t="s">
        <v>511</v>
      </c>
      <c r="E16" s="255"/>
      <c r="F16" s="255"/>
      <c r="G16" s="255"/>
      <c r="H16" s="255"/>
      <c r="I16" s="255"/>
      <c r="J16" s="255"/>
      <c r="K16" s="255"/>
      <c r="L16" s="255"/>
      <c r="M16" s="255">
        <f t="shared" si="0"/>
        <v>0</v>
      </c>
      <c r="N16" s="256"/>
      <c r="P16" s="257"/>
      <c r="Q16" s="9"/>
      <c r="R16" s="9"/>
    </row>
    <row r="17" spans="1:18">
      <c r="A17" s="260">
        <v>1023</v>
      </c>
      <c r="B17" s="252">
        <v>21810</v>
      </c>
      <c r="C17" s="253" t="s">
        <v>166</v>
      </c>
      <c r="D17" s="254" t="s">
        <v>511</v>
      </c>
      <c r="E17" s="255"/>
      <c r="F17" s="255"/>
      <c r="G17" s="255"/>
      <c r="H17" s="255"/>
      <c r="I17" s="255"/>
      <c r="J17" s="255"/>
      <c r="K17" s="255"/>
      <c r="L17" s="255"/>
      <c r="M17" s="255">
        <f t="shared" si="0"/>
        <v>0</v>
      </c>
      <c r="N17" s="256"/>
      <c r="P17" s="257"/>
      <c r="Q17" s="9"/>
      <c r="R17" s="9"/>
    </row>
    <row r="18" spans="1:18">
      <c r="A18" s="260">
        <v>1023</v>
      </c>
      <c r="B18" s="252">
        <v>21820</v>
      </c>
      <c r="C18" s="253" t="s">
        <v>167</v>
      </c>
      <c r="D18" s="254" t="s">
        <v>511</v>
      </c>
      <c r="E18" s="255"/>
      <c r="F18" s="255"/>
      <c r="G18" s="255"/>
      <c r="H18" s="255"/>
      <c r="I18" s="255"/>
      <c r="J18" s="255"/>
      <c r="K18" s="255"/>
      <c r="L18" s="255"/>
      <c r="M18" s="255">
        <f t="shared" si="0"/>
        <v>0</v>
      </c>
      <c r="N18" s="256"/>
      <c r="P18" s="257"/>
      <c r="Q18" s="9"/>
      <c r="R18" s="9"/>
    </row>
    <row r="19" spans="1:18">
      <c r="A19" s="260">
        <v>1023</v>
      </c>
      <c r="B19" s="252">
        <v>2188</v>
      </c>
      <c r="C19" s="253" t="s">
        <v>168</v>
      </c>
      <c r="D19" s="254" t="s">
        <v>511</v>
      </c>
      <c r="E19" s="255"/>
      <c r="F19" s="255"/>
      <c r="G19" s="255"/>
      <c r="H19" s="255"/>
      <c r="I19" s="255"/>
      <c r="J19" s="255"/>
      <c r="K19" s="255"/>
      <c r="L19" s="255"/>
      <c r="M19" s="255">
        <f t="shared" si="0"/>
        <v>0</v>
      </c>
      <c r="N19" s="256"/>
      <c r="P19" s="257"/>
      <c r="Q19" s="9"/>
      <c r="R19" s="9"/>
    </row>
    <row r="20" spans="1:18">
      <c r="A20" s="260">
        <v>1023</v>
      </c>
      <c r="B20" s="252">
        <v>21880</v>
      </c>
      <c r="C20" s="253" t="s">
        <v>169</v>
      </c>
      <c r="D20" s="254" t="s">
        <v>511</v>
      </c>
      <c r="E20" s="255"/>
      <c r="F20" s="255"/>
      <c r="G20" s="255"/>
      <c r="H20" s="255"/>
      <c r="I20" s="255"/>
      <c r="J20" s="255"/>
      <c r="K20" s="255"/>
      <c r="L20" s="255"/>
      <c r="M20" s="255">
        <f t="shared" si="0"/>
        <v>0</v>
      </c>
      <c r="N20" s="256"/>
      <c r="P20" s="257"/>
      <c r="Q20" s="9"/>
      <c r="R20" s="9"/>
    </row>
    <row r="21" spans="1:18">
      <c r="A21" s="260">
        <v>1023</v>
      </c>
      <c r="B21" s="252">
        <v>21881</v>
      </c>
      <c r="C21" s="253" t="s">
        <v>170</v>
      </c>
      <c r="D21" s="254" t="s">
        <v>511</v>
      </c>
      <c r="E21" s="255"/>
      <c r="F21" s="255"/>
      <c r="G21" s="255"/>
      <c r="H21" s="255"/>
      <c r="I21" s="255"/>
      <c r="J21" s="255"/>
      <c r="K21" s="255"/>
      <c r="L21" s="255"/>
      <c r="M21" s="255">
        <f t="shared" si="0"/>
        <v>0</v>
      </c>
      <c r="N21" s="256"/>
      <c r="P21" s="257"/>
      <c r="Q21" s="9"/>
      <c r="R21" s="9"/>
    </row>
    <row r="22" spans="1:18">
      <c r="A22" s="260">
        <v>1028</v>
      </c>
      <c r="B22" s="252">
        <v>231</v>
      </c>
      <c r="C22" s="253" t="s">
        <v>171</v>
      </c>
      <c r="D22" s="254" t="s">
        <v>511</v>
      </c>
      <c r="E22" s="255"/>
      <c r="F22" s="255"/>
      <c r="G22" s="255"/>
      <c r="H22" s="255"/>
      <c r="I22" s="255"/>
      <c r="J22" s="255"/>
      <c r="K22" s="255"/>
      <c r="L22" s="255"/>
      <c r="M22" s="255">
        <f t="shared" si="0"/>
        <v>0</v>
      </c>
      <c r="N22" s="256"/>
      <c r="P22" s="257"/>
      <c r="Q22" s="9"/>
      <c r="R22" s="9"/>
    </row>
    <row r="23" spans="1:18">
      <c r="A23" s="260">
        <v>1028</v>
      </c>
      <c r="B23" s="252">
        <v>232</v>
      </c>
      <c r="C23" s="253" t="s">
        <v>172</v>
      </c>
      <c r="D23" s="254" t="s">
        <v>511</v>
      </c>
      <c r="E23" s="255"/>
      <c r="F23" s="255"/>
      <c r="G23" s="255"/>
      <c r="H23" s="255"/>
      <c r="I23" s="255"/>
      <c r="J23" s="255"/>
      <c r="K23" s="255"/>
      <c r="L23" s="255"/>
      <c r="M23" s="255">
        <f t="shared" si="0"/>
        <v>0</v>
      </c>
      <c r="N23" s="256"/>
      <c r="P23" s="257"/>
      <c r="Q23" s="9"/>
      <c r="R23" s="9"/>
    </row>
    <row r="24" spans="1:18">
      <c r="A24" s="260">
        <v>1005</v>
      </c>
      <c r="B24" s="252">
        <v>265</v>
      </c>
      <c r="C24" s="253" t="s">
        <v>180</v>
      </c>
      <c r="D24" s="254" t="s">
        <v>511</v>
      </c>
      <c r="E24" s="255"/>
      <c r="F24" s="255"/>
      <c r="G24" s="255"/>
      <c r="H24" s="255"/>
      <c r="I24" s="255"/>
      <c r="J24" s="255"/>
      <c r="K24" s="255"/>
      <c r="L24" s="255"/>
      <c r="M24" s="255">
        <f t="shared" si="0"/>
        <v>0</v>
      </c>
      <c r="N24" s="256"/>
      <c r="P24" s="257"/>
      <c r="Q24" s="9"/>
      <c r="R24" s="9"/>
    </row>
    <row r="25" spans="1:18">
      <c r="A25" s="260">
        <v>1031</v>
      </c>
      <c r="B25" s="252">
        <v>2812125</v>
      </c>
      <c r="C25" s="253" t="s">
        <v>173</v>
      </c>
      <c r="D25" s="254" t="s">
        <v>511</v>
      </c>
      <c r="E25" s="255"/>
      <c r="F25" s="255"/>
      <c r="G25" s="255"/>
      <c r="H25" s="255"/>
      <c r="I25" s="255"/>
      <c r="J25" s="255"/>
      <c r="K25" s="255"/>
      <c r="L25" s="255"/>
      <c r="M25" s="255">
        <f t="shared" si="0"/>
        <v>0</v>
      </c>
      <c r="N25" s="256"/>
      <c r="P25" s="257"/>
      <c r="Q25" s="9"/>
      <c r="R25" s="9"/>
    </row>
    <row r="26" spans="1:18">
      <c r="A26" s="260">
        <v>1032</v>
      </c>
      <c r="B26" s="252">
        <v>281213</v>
      </c>
      <c r="C26" s="253" t="s">
        <v>174</v>
      </c>
      <c r="D26" s="254" t="s">
        <v>511</v>
      </c>
      <c r="E26" s="255"/>
      <c r="F26" s="255"/>
      <c r="G26" s="255"/>
      <c r="H26" s="255"/>
      <c r="I26" s="255"/>
      <c r="J26" s="255"/>
      <c r="K26" s="255"/>
      <c r="L26" s="255"/>
      <c r="M26" s="255">
        <f t="shared" si="0"/>
        <v>0</v>
      </c>
      <c r="N26" s="256"/>
      <c r="P26" s="257"/>
      <c r="Q26" s="9"/>
      <c r="R26" s="9"/>
    </row>
    <row r="27" spans="1:18">
      <c r="A27" s="260">
        <v>1032</v>
      </c>
      <c r="B27" s="252">
        <v>281330</v>
      </c>
      <c r="C27" s="253" t="s">
        <v>517</v>
      </c>
      <c r="D27" s="254" t="s">
        <v>511</v>
      </c>
      <c r="E27" s="255"/>
      <c r="F27" s="255"/>
      <c r="G27" s="255"/>
      <c r="H27" s="255"/>
      <c r="I27" s="255"/>
      <c r="J27" s="255"/>
      <c r="K27" s="255"/>
      <c r="L27" s="255"/>
      <c r="M27" s="255">
        <f t="shared" si="0"/>
        <v>0</v>
      </c>
      <c r="N27" s="256"/>
      <c r="P27" s="257"/>
      <c r="Q27" s="9"/>
      <c r="R27" s="9"/>
    </row>
    <row r="28" spans="1:18">
      <c r="A28" s="260">
        <v>1033</v>
      </c>
      <c r="B28" s="252">
        <v>281215</v>
      </c>
      <c r="C28" s="253" t="s">
        <v>175</v>
      </c>
      <c r="D28" s="254" t="s">
        <v>511</v>
      </c>
      <c r="E28" s="255"/>
      <c r="F28" s="255"/>
      <c r="G28" s="255"/>
      <c r="H28" s="255"/>
      <c r="I28" s="255"/>
      <c r="J28" s="255"/>
      <c r="K28" s="255"/>
      <c r="L28" s="255"/>
      <c r="M28" s="255">
        <f t="shared" si="0"/>
        <v>0</v>
      </c>
      <c r="N28" s="256"/>
      <c r="P28" s="257"/>
      <c r="Q28" s="9"/>
      <c r="R28" s="9"/>
    </row>
    <row r="29" spans="1:18">
      <c r="A29" s="260">
        <v>1033</v>
      </c>
      <c r="B29" s="252">
        <v>2812181</v>
      </c>
      <c r="C29" s="253" t="s">
        <v>176</v>
      </c>
      <c r="D29" s="254" t="s">
        <v>511</v>
      </c>
      <c r="E29" s="255"/>
      <c r="F29" s="255"/>
      <c r="G29" s="255"/>
      <c r="H29" s="255"/>
      <c r="I29" s="255"/>
      <c r="J29" s="255"/>
      <c r="K29" s="255"/>
      <c r="L29" s="255"/>
      <c r="M29" s="255">
        <f t="shared" si="0"/>
        <v>0</v>
      </c>
      <c r="N29" s="256"/>
      <c r="P29" s="257"/>
      <c r="Q29" s="9"/>
      <c r="R29" s="9"/>
    </row>
    <row r="30" spans="1:18">
      <c r="A30" s="260">
        <v>1033</v>
      </c>
      <c r="B30" s="252">
        <v>2812182</v>
      </c>
      <c r="C30" s="253" t="s">
        <v>177</v>
      </c>
      <c r="D30" s="254" t="s">
        <v>511</v>
      </c>
      <c r="E30" s="255"/>
      <c r="F30" s="255"/>
      <c r="G30" s="255"/>
      <c r="H30" s="255"/>
      <c r="I30" s="255"/>
      <c r="J30" s="255"/>
      <c r="K30" s="255"/>
      <c r="L30" s="255"/>
      <c r="M30" s="255">
        <f t="shared" si="0"/>
        <v>0</v>
      </c>
      <c r="N30" s="256"/>
      <c r="P30" s="257"/>
      <c r="Q30" s="9"/>
      <c r="R30" s="9"/>
    </row>
    <row r="31" spans="1:18">
      <c r="A31" s="260">
        <v>1033</v>
      </c>
      <c r="B31" s="252">
        <v>281820</v>
      </c>
      <c r="C31" s="253" t="s">
        <v>167</v>
      </c>
      <c r="D31" s="254" t="s">
        <v>511</v>
      </c>
      <c r="E31" s="255"/>
      <c r="F31" s="255"/>
      <c r="G31" s="255"/>
      <c r="H31" s="255"/>
      <c r="I31" s="255"/>
      <c r="J31" s="255"/>
      <c r="K31" s="255"/>
      <c r="L31" s="255"/>
      <c r="M31" s="255">
        <f t="shared" si="0"/>
        <v>0</v>
      </c>
      <c r="N31" s="256"/>
      <c r="P31" s="257"/>
      <c r="Q31" s="9"/>
      <c r="R31" s="9"/>
    </row>
    <row r="32" spans="1:18">
      <c r="A32" s="260">
        <v>1033</v>
      </c>
      <c r="B32" s="252">
        <v>2818</v>
      </c>
      <c r="C32" s="253" t="s">
        <v>178</v>
      </c>
      <c r="D32" s="254" t="s">
        <v>511</v>
      </c>
      <c r="E32" s="255"/>
      <c r="F32" s="255"/>
      <c r="G32" s="255"/>
      <c r="H32" s="255"/>
      <c r="I32" s="255"/>
      <c r="J32" s="255"/>
      <c r="K32" s="255"/>
      <c r="L32" s="255"/>
      <c r="M32" s="255">
        <f t="shared" si="0"/>
        <v>0</v>
      </c>
      <c r="N32" s="256"/>
      <c r="P32" s="257"/>
      <c r="Q32" s="9"/>
      <c r="R32" s="9"/>
    </row>
    <row r="33" spans="1:18">
      <c r="A33" s="260">
        <v>1033</v>
      </c>
      <c r="B33" s="252">
        <v>281880</v>
      </c>
      <c r="C33" s="253" t="s">
        <v>179</v>
      </c>
      <c r="D33" s="254" t="s">
        <v>511</v>
      </c>
      <c r="E33" s="255"/>
      <c r="F33" s="255"/>
      <c r="G33" s="255"/>
      <c r="H33" s="255"/>
      <c r="I33" s="255"/>
      <c r="J33" s="255"/>
      <c r="K33" s="255"/>
      <c r="L33" s="255"/>
      <c r="M33" s="255">
        <f t="shared" si="0"/>
        <v>0</v>
      </c>
      <c r="N33" s="256"/>
      <c r="P33" s="257"/>
      <c r="Q33" s="9"/>
      <c r="R33" s="9"/>
    </row>
    <row r="34" spans="1:18">
      <c r="A34" s="260">
        <v>1005</v>
      </c>
      <c r="B34" s="252">
        <v>2660</v>
      </c>
      <c r="C34" s="253" t="s">
        <v>181</v>
      </c>
      <c r="D34" s="254" t="s">
        <v>511</v>
      </c>
      <c r="E34" s="255"/>
      <c r="F34" s="255"/>
      <c r="G34" s="255"/>
      <c r="H34" s="255"/>
      <c r="I34" s="255"/>
      <c r="J34" s="255"/>
      <c r="K34" s="255"/>
      <c r="L34" s="255"/>
      <c r="M34" s="255">
        <f t="shared" si="0"/>
        <v>0</v>
      </c>
      <c r="N34" s="256"/>
      <c r="P34" s="257"/>
      <c r="Q34" s="9"/>
      <c r="R34" s="9"/>
    </row>
    <row r="35" spans="1:18">
      <c r="A35" s="260">
        <v>1007</v>
      </c>
      <c r="B35" s="252">
        <v>3123</v>
      </c>
      <c r="C35" s="253" t="s">
        <v>182</v>
      </c>
      <c r="D35" s="254" t="s">
        <v>511</v>
      </c>
      <c r="E35" s="255"/>
      <c r="F35" s="255"/>
      <c r="G35" s="255"/>
      <c r="H35" s="255"/>
      <c r="I35" s="255"/>
      <c r="J35" s="255"/>
      <c r="K35" s="255"/>
      <c r="L35" s="255"/>
      <c r="M35" s="255">
        <f t="shared" si="0"/>
        <v>0</v>
      </c>
      <c r="N35" s="256"/>
      <c r="P35" s="257"/>
      <c r="Q35" s="9"/>
      <c r="R35" s="9"/>
    </row>
    <row r="36" spans="1:18">
      <c r="A36" s="260">
        <v>1007</v>
      </c>
      <c r="B36" s="252">
        <v>327</v>
      </c>
      <c r="C36" s="253" t="s">
        <v>183</v>
      </c>
      <c r="D36" s="254" t="s">
        <v>511</v>
      </c>
      <c r="E36" s="255"/>
      <c r="F36" s="255"/>
      <c r="G36" s="255"/>
      <c r="H36" s="255"/>
      <c r="I36" s="255"/>
      <c r="J36" s="255"/>
      <c r="K36" s="255"/>
      <c r="L36" s="255"/>
      <c r="M36" s="255">
        <f t="shared" si="0"/>
        <v>0</v>
      </c>
      <c r="N36" s="256"/>
      <c r="P36" s="257"/>
      <c r="Q36" s="9"/>
      <c r="R36" s="9"/>
    </row>
    <row r="37" spans="1:18">
      <c r="A37" s="260">
        <v>1007</v>
      </c>
      <c r="B37" s="252">
        <v>35</v>
      </c>
      <c r="C37" s="253" t="s">
        <v>184</v>
      </c>
      <c r="D37" s="254" t="s">
        <v>511</v>
      </c>
      <c r="E37" s="255"/>
      <c r="F37" s="255"/>
      <c r="G37" s="255"/>
      <c r="H37" s="255"/>
      <c r="I37" s="255"/>
      <c r="J37" s="255"/>
      <c r="K37" s="255"/>
      <c r="L37" s="255"/>
      <c r="M37" s="255">
        <f t="shared" si="0"/>
        <v>0</v>
      </c>
      <c r="N37" s="256"/>
      <c r="P37" s="257"/>
      <c r="Q37" s="9"/>
      <c r="R37" s="9"/>
    </row>
    <row r="38" spans="1:18">
      <c r="A38" s="260">
        <v>2005</v>
      </c>
      <c r="B38" s="252">
        <v>40111</v>
      </c>
      <c r="C38" s="253" t="s">
        <v>185</v>
      </c>
      <c r="D38" s="254" t="s">
        <v>511</v>
      </c>
      <c r="E38" s="255"/>
      <c r="F38" s="255"/>
      <c r="G38" s="255"/>
      <c r="H38" s="255"/>
      <c r="I38" s="255"/>
      <c r="J38" s="544">
        <f>260.85*139.59</f>
        <v>36412.051500000001</v>
      </c>
      <c r="K38" s="255"/>
      <c r="L38" s="255"/>
      <c r="M38" s="255">
        <f t="shared" si="0"/>
        <v>-36412.051500000001</v>
      </c>
      <c r="N38" s="256">
        <v>3001</v>
      </c>
      <c r="O38" s="532">
        <f>M38/139.59</f>
        <v>-260.85000000000002</v>
      </c>
      <c r="P38" s="257"/>
      <c r="Q38" s="9"/>
      <c r="R38" s="9"/>
    </row>
    <row r="39" spans="1:18">
      <c r="A39" s="260">
        <v>2005</v>
      </c>
      <c r="B39" s="252">
        <v>40112</v>
      </c>
      <c r="C39" s="253" t="s">
        <v>186</v>
      </c>
      <c r="D39" s="254" t="s">
        <v>512</v>
      </c>
      <c r="E39" s="255"/>
      <c r="F39" s="255"/>
      <c r="G39" s="255"/>
      <c r="H39" s="255"/>
      <c r="I39" s="255"/>
      <c r="J39" s="255"/>
      <c r="K39" s="255"/>
      <c r="L39" s="255"/>
      <c r="M39" s="255">
        <f t="shared" si="0"/>
        <v>0</v>
      </c>
      <c r="N39" s="256"/>
      <c r="O39" s="532">
        <f t="shared" ref="O39:O102" si="1">M39/139.59</f>
        <v>0</v>
      </c>
      <c r="P39" s="257"/>
      <c r="Q39" s="9"/>
      <c r="R39" s="9"/>
    </row>
    <row r="40" spans="1:18">
      <c r="A40" s="260">
        <v>2005</v>
      </c>
      <c r="B40" s="252">
        <v>40113</v>
      </c>
      <c r="C40" s="253" t="s">
        <v>187</v>
      </c>
      <c r="D40" s="254" t="s">
        <v>513</v>
      </c>
      <c r="E40" s="255"/>
      <c r="F40" s="255"/>
      <c r="G40" s="255"/>
      <c r="H40" s="255"/>
      <c r="I40" s="255"/>
      <c r="J40" s="255"/>
      <c r="K40" s="255"/>
      <c r="L40" s="255"/>
      <c r="M40" s="255">
        <f t="shared" si="0"/>
        <v>0</v>
      </c>
      <c r="N40" s="256"/>
      <c r="O40" s="532">
        <f t="shared" si="1"/>
        <v>0</v>
      </c>
      <c r="P40" s="257"/>
      <c r="Q40" s="9"/>
      <c r="R40" s="9"/>
    </row>
    <row r="41" spans="1:18">
      <c r="A41" s="260">
        <v>2005</v>
      </c>
      <c r="B41" s="252">
        <v>40114</v>
      </c>
      <c r="C41" s="253" t="s">
        <v>188</v>
      </c>
      <c r="D41" s="254" t="s">
        <v>514</v>
      </c>
      <c r="E41" s="255"/>
      <c r="F41" s="255"/>
      <c r="G41" s="255"/>
      <c r="H41" s="255"/>
      <c r="I41" s="255"/>
      <c r="J41" s="255"/>
      <c r="K41" s="255"/>
      <c r="L41" s="255"/>
      <c r="M41" s="255">
        <f t="shared" si="0"/>
        <v>0</v>
      </c>
      <c r="N41" s="256"/>
      <c r="O41" s="532">
        <f t="shared" si="1"/>
        <v>0</v>
      </c>
      <c r="P41" s="257"/>
      <c r="Q41" s="9"/>
      <c r="R41" s="9"/>
    </row>
    <row r="42" spans="1:18">
      <c r="A42" s="260">
        <v>2005</v>
      </c>
      <c r="B42" s="252">
        <v>40121</v>
      </c>
      <c r="C42" s="253" t="s">
        <v>189</v>
      </c>
      <c r="D42" s="254" t="s">
        <v>511</v>
      </c>
      <c r="E42" s="255"/>
      <c r="F42" s="255"/>
      <c r="G42" s="255"/>
      <c r="H42" s="255"/>
      <c r="I42" s="255"/>
      <c r="J42" s="255"/>
      <c r="K42" s="255"/>
      <c r="L42" s="255"/>
      <c r="M42" s="255">
        <f t="shared" si="0"/>
        <v>0</v>
      </c>
      <c r="N42" s="256"/>
      <c r="O42" s="532">
        <f t="shared" si="1"/>
        <v>0</v>
      </c>
      <c r="P42" s="257"/>
      <c r="Q42" s="9"/>
      <c r="R42" s="9"/>
    </row>
    <row r="43" spans="1:18">
      <c r="A43" s="260">
        <v>2005</v>
      </c>
      <c r="B43" s="252">
        <v>401210</v>
      </c>
      <c r="C43" s="253" t="s">
        <v>190</v>
      </c>
      <c r="D43" s="254" t="s">
        <v>511</v>
      </c>
      <c r="E43" s="255"/>
      <c r="F43" s="255"/>
      <c r="G43" s="255"/>
      <c r="H43" s="255"/>
      <c r="I43" s="255"/>
      <c r="J43" s="255"/>
      <c r="K43" s="255"/>
      <c r="L43" s="255"/>
      <c r="M43" s="255">
        <f t="shared" si="0"/>
        <v>0</v>
      </c>
      <c r="N43" s="256"/>
      <c r="O43" s="532">
        <f t="shared" si="1"/>
        <v>0</v>
      </c>
      <c r="P43" s="257"/>
      <c r="Q43" s="9"/>
      <c r="R43" s="9"/>
    </row>
    <row r="44" spans="1:18">
      <c r="A44" s="260">
        <v>2005</v>
      </c>
      <c r="B44" s="252">
        <v>40122</v>
      </c>
      <c r="C44" s="253" t="s">
        <v>191</v>
      </c>
      <c r="D44" s="254" t="s">
        <v>512</v>
      </c>
      <c r="E44" s="255"/>
      <c r="F44" s="255"/>
      <c r="G44" s="255"/>
      <c r="H44" s="255"/>
      <c r="I44" s="255"/>
      <c r="J44" s="255"/>
      <c r="K44" s="255"/>
      <c r="L44" s="255"/>
      <c r="M44" s="255">
        <f t="shared" si="0"/>
        <v>0</v>
      </c>
      <c r="N44" s="256"/>
      <c r="O44" s="532">
        <f t="shared" si="1"/>
        <v>0</v>
      </c>
      <c r="P44" s="257"/>
      <c r="Q44" s="9"/>
      <c r="R44" s="9"/>
    </row>
    <row r="45" spans="1:18">
      <c r="A45" s="260">
        <v>2005</v>
      </c>
      <c r="B45" s="252">
        <v>401220</v>
      </c>
      <c r="C45" s="253" t="s">
        <v>192</v>
      </c>
      <c r="D45" s="254" t="s">
        <v>512</v>
      </c>
      <c r="E45" s="255"/>
      <c r="F45" s="255"/>
      <c r="G45" s="255"/>
      <c r="H45" s="255"/>
      <c r="I45" s="255"/>
      <c r="J45" s="255"/>
      <c r="K45" s="255"/>
      <c r="L45" s="255"/>
      <c r="M45" s="255">
        <f t="shared" si="0"/>
        <v>0</v>
      </c>
      <c r="N45" s="256"/>
      <c r="O45" s="532">
        <f t="shared" si="1"/>
        <v>0</v>
      </c>
      <c r="P45" s="257"/>
      <c r="Q45" s="9"/>
      <c r="R45" s="9"/>
    </row>
    <row r="46" spans="1:18">
      <c r="A46" s="260">
        <v>2005</v>
      </c>
      <c r="B46" s="252">
        <v>40123</v>
      </c>
      <c r="C46" s="253" t="s">
        <v>193</v>
      </c>
      <c r="D46" s="254" t="s">
        <v>513</v>
      </c>
      <c r="E46" s="255"/>
      <c r="F46" s="255"/>
      <c r="G46" s="255"/>
      <c r="H46" s="255"/>
      <c r="I46" s="255"/>
      <c r="J46" s="255"/>
      <c r="K46" s="255"/>
      <c r="L46" s="255"/>
      <c r="M46" s="255">
        <f t="shared" si="0"/>
        <v>0</v>
      </c>
      <c r="N46" s="256"/>
      <c r="O46" s="532">
        <f t="shared" si="1"/>
        <v>0</v>
      </c>
      <c r="P46" s="257"/>
      <c r="Q46" s="9"/>
      <c r="R46" s="9"/>
    </row>
    <row r="47" spans="1:18">
      <c r="A47" s="260">
        <v>2005</v>
      </c>
      <c r="B47" s="252">
        <v>40131</v>
      </c>
      <c r="C47" s="253" t="s">
        <v>194</v>
      </c>
      <c r="D47" s="254" t="s">
        <v>511</v>
      </c>
      <c r="E47" s="255"/>
      <c r="F47" s="255"/>
      <c r="G47" s="255"/>
      <c r="H47" s="255"/>
      <c r="I47" s="255"/>
      <c r="J47" s="255"/>
      <c r="K47" s="255"/>
      <c r="L47" s="255"/>
      <c r="M47" s="255">
        <f t="shared" si="0"/>
        <v>0</v>
      </c>
      <c r="N47" s="256"/>
      <c r="O47" s="532">
        <f t="shared" si="1"/>
        <v>0</v>
      </c>
      <c r="P47" s="257"/>
      <c r="Q47" s="9"/>
      <c r="R47" s="9"/>
    </row>
    <row r="48" spans="1:18">
      <c r="A48" s="260">
        <v>2005</v>
      </c>
      <c r="B48" s="252">
        <v>40132</v>
      </c>
      <c r="C48" s="253" t="s">
        <v>195</v>
      </c>
      <c r="D48" s="254" t="s">
        <v>512</v>
      </c>
      <c r="E48" s="255"/>
      <c r="F48" s="255"/>
      <c r="G48" s="255"/>
      <c r="H48" s="255"/>
      <c r="I48" s="255"/>
      <c r="J48" s="255"/>
      <c r="K48" s="255"/>
      <c r="L48" s="255"/>
      <c r="M48" s="255">
        <f t="shared" si="0"/>
        <v>0</v>
      </c>
      <c r="N48" s="256"/>
      <c r="O48" s="532">
        <f t="shared" si="1"/>
        <v>0</v>
      </c>
      <c r="P48" s="257"/>
      <c r="Q48" s="9"/>
      <c r="R48" s="9"/>
    </row>
    <row r="49" spans="1:18">
      <c r="A49" s="260">
        <v>2005</v>
      </c>
      <c r="B49" s="252">
        <v>40133</v>
      </c>
      <c r="C49" s="253" t="s">
        <v>196</v>
      </c>
      <c r="D49" s="254" t="s">
        <v>513</v>
      </c>
      <c r="E49" s="255"/>
      <c r="F49" s="255"/>
      <c r="G49" s="255"/>
      <c r="H49" s="255"/>
      <c r="I49" s="255"/>
      <c r="J49" s="255"/>
      <c r="K49" s="255"/>
      <c r="L49" s="255"/>
      <c r="M49" s="255">
        <f t="shared" si="0"/>
        <v>0</v>
      </c>
      <c r="N49" s="256"/>
      <c r="O49" s="532">
        <f t="shared" si="1"/>
        <v>0</v>
      </c>
      <c r="P49" s="257"/>
      <c r="Q49" s="9"/>
      <c r="R49" s="9"/>
    </row>
    <row r="50" spans="1:18">
      <c r="A50" s="260">
        <v>2005</v>
      </c>
      <c r="B50" s="252">
        <v>40151</v>
      </c>
      <c r="C50" s="253" t="s">
        <v>197</v>
      </c>
      <c r="D50" s="254" t="s">
        <v>511</v>
      </c>
      <c r="E50" s="255"/>
      <c r="F50" s="255"/>
      <c r="G50" s="255"/>
      <c r="H50" s="255"/>
      <c r="I50" s="255"/>
      <c r="J50" s="255"/>
      <c r="K50" s="255"/>
      <c r="L50" s="255"/>
      <c r="M50" s="255">
        <f t="shared" si="0"/>
        <v>0</v>
      </c>
      <c r="N50" s="256"/>
      <c r="O50" s="532">
        <f t="shared" si="1"/>
        <v>0</v>
      </c>
      <c r="P50" s="257">
        <f>+I49+I50+I51+I52-J46-J47-J48</f>
        <v>0</v>
      </c>
      <c r="Q50" s="9"/>
      <c r="R50" s="9"/>
    </row>
    <row r="51" spans="1:18">
      <c r="A51" s="260">
        <v>2005</v>
      </c>
      <c r="B51" s="252">
        <v>40152</v>
      </c>
      <c r="C51" s="253" t="s">
        <v>198</v>
      </c>
      <c r="D51" s="254" t="s">
        <v>512</v>
      </c>
      <c r="E51" s="255"/>
      <c r="F51" s="255"/>
      <c r="G51" s="255"/>
      <c r="H51" s="255"/>
      <c r="I51" s="255"/>
      <c r="J51" s="255"/>
      <c r="K51" s="255"/>
      <c r="L51" s="255"/>
      <c r="M51" s="255">
        <f t="shared" si="0"/>
        <v>0</v>
      </c>
      <c r="N51" s="256"/>
      <c r="O51" s="532">
        <f t="shared" si="1"/>
        <v>0</v>
      </c>
      <c r="P51" s="257"/>
      <c r="Q51" s="9"/>
      <c r="R51" s="9"/>
    </row>
    <row r="52" spans="1:18">
      <c r="A52" s="260">
        <v>2005</v>
      </c>
      <c r="B52" s="252">
        <v>40153</v>
      </c>
      <c r="C52" s="253" t="s">
        <v>199</v>
      </c>
      <c r="D52" s="254" t="s">
        <v>513</v>
      </c>
      <c r="E52" s="255"/>
      <c r="F52" s="255"/>
      <c r="G52" s="255"/>
      <c r="H52" s="255"/>
      <c r="I52" s="255"/>
      <c r="J52" s="255"/>
      <c r="K52" s="255"/>
      <c r="L52" s="255"/>
      <c r="M52" s="255">
        <f t="shared" si="0"/>
        <v>0</v>
      </c>
      <c r="N52" s="256"/>
      <c r="O52" s="532">
        <f t="shared" si="1"/>
        <v>0</v>
      </c>
      <c r="P52" s="257"/>
      <c r="Q52" s="9"/>
      <c r="R52" s="9"/>
    </row>
    <row r="53" spans="1:18">
      <c r="A53" s="260">
        <v>2005</v>
      </c>
      <c r="B53" s="252">
        <v>40154</v>
      </c>
      <c r="C53" s="253" t="s">
        <v>200</v>
      </c>
      <c r="D53" s="254" t="s">
        <v>511</v>
      </c>
      <c r="E53" s="255"/>
      <c r="F53" s="255"/>
      <c r="G53" s="255"/>
      <c r="H53" s="255"/>
      <c r="I53" s="255"/>
      <c r="J53" s="255"/>
      <c r="K53" s="255"/>
      <c r="L53" s="255"/>
      <c r="M53" s="255">
        <f t="shared" si="0"/>
        <v>0</v>
      </c>
      <c r="N53" s="256"/>
      <c r="O53" s="532">
        <f t="shared" si="1"/>
        <v>0</v>
      </c>
      <c r="P53" s="257"/>
      <c r="Q53" s="9"/>
      <c r="R53" s="9"/>
    </row>
    <row r="54" spans="1:18">
      <c r="A54" s="260">
        <v>2005</v>
      </c>
      <c r="B54" s="252">
        <v>40161</v>
      </c>
      <c r="C54" s="253" t="s">
        <v>201</v>
      </c>
      <c r="D54" s="254" t="s">
        <v>511</v>
      </c>
      <c r="E54" s="255"/>
      <c r="F54" s="255"/>
      <c r="G54" s="255"/>
      <c r="H54" s="255"/>
      <c r="I54" s="255"/>
      <c r="J54" s="255"/>
      <c r="K54" s="255"/>
      <c r="L54" s="255"/>
      <c r="M54" s="255">
        <f t="shared" si="0"/>
        <v>0</v>
      </c>
      <c r="N54" s="256"/>
      <c r="O54" s="532">
        <f t="shared" si="1"/>
        <v>0</v>
      </c>
      <c r="P54" s="257"/>
      <c r="Q54" s="9"/>
      <c r="R54" s="9"/>
    </row>
    <row r="55" spans="1:18">
      <c r="A55" s="260">
        <v>2005</v>
      </c>
      <c r="B55" s="252">
        <v>40162</v>
      </c>
      <c r="C55" s="253" t="s">
        <v>202</v>
      </c>
      <c r="D55" s="254" t="s">
        <v>512</v>
      </c>
      <c r="E55" s="255"/>
      <c r="F55" s="255"/>
      <c r="G55" s="255"/>
      <c r="H55" s="255"/>
      <c r="I55" s="255"/>
      <c r="J55" s="255"/>
      <c r="K55" s="255"/>
      <c r="L55" s="255"/>
      <c r="M55" s="255">
        <f t="shared" si="0"/>
        <v>0</v>
      </c>
      <c r="N55" s="256"/>
      <c r="O55" s="532">
        <f t="shared" si="1"/>
        <v>0</v>
      </c>
      <c r="P55" s="257"/>
      <c r="Q55" s="9"/>
      <c r="R55" s="9"/>
    </row>
    <row r="56" spans="1:18">
      <c r="A56" s="260">
        <v>2005</v>
      </c>
      <c r="B56" s="252">
        <v>40163</v>
      </c>
      <c r="C56" s="253" t="s">
        <v>203</v>
      </c>
      <c r="D56" s="254" t="s">
        <v>513</v>
      </c>
      <c r="E56" s="255"/>
      <c r="F56" s="255"/>
      <c r="G56" s="255"/>
      <c r="H56" s="255"/>
      <c r="I56" s="255"/>
      <c r="J56" s="255"/>
      <c r="K56" s="255"/>
      <c r="L56" s="255"/>
      <c r="M56" s="255">
        <f t="shared" si="0"/>
        <v>0</v>
      </c>
      <c r="N56" s="256"/>
      <c r="O56" s="532">
        <f t="shared" si="1"/>
        <v>0</v>
      </c>
      <c r="P56" s="257"/>
      <c r="Q56" s="9"/>
      <c r="R56" s="9"/>
    </row>
    <row r="57" spans="1:18">
      <c r="A57" s="260">
        <v>2005</v>
      </c>
      <c r="B57" s="252">
        <v>40171</v>
      </c>
      <c r="C57" s="253" t="s">
        <v>204</v>
      </c>
      <c r="D57" s="254" t="s">
        <v>512</v>
      </c>
      <c r="E57" s="255"/>
      <c r="F57" s="255"/>
      <c r="G57" s="255"/>
      <c r="H57" s="255"/>
      <c r="I57" s="255"/>
      <c r="J57" s="255"/>
      <c r="K57" s="255"/>
      <c r="L57" s="255"/>
      <c r="M57" s="255">
        <f t="shared" si="0"/>
        <v>0</v>
      </c>
      <c r="N57" s="256"/>
      <c r="O57" s="532">
        <f t="shared" si="1"/>
        <v>0</v>
      </c>
      <c r="P57" s="257"/>
      <c r="Q57" s="9"/>
      <c r="R57" s="9"/>
    </row>
    <row r="58" spans="1:18">
      <c r="A58" s="260">
        <v>2005</v>
      </c>
      <c r="B58" s="252">
        <v>40441</v>
      </c>
      <c r="C58" s="253" t="s">
        <v>205</v>
      </c>
      <c r="D58" s="254" t="s">
        <v>511</v>
      </c>
      <c r="E58" s="255"/>
      <c r="F58" s="255"/>
      <c r="G58" s="255"/>
      <c r="H58" s="255"/>
      <c r="I58" s="255"/>
      <c r="J58" s="255"/>
      <c r="K58" s="255"/>
      <c r="L58" s="255"/>
      <c r="M58" s="255">
        <f t="shared" si="0"/>
        <v>0</v>
      </c>
      <c r="N58" s="256"/>
      <c r="O58" s="532">
        <f t="shared" si="1"/>
        <v>0</v>
      </c>
      <c r="P58" s="257"/>
      <c r="Q58" s="9"/>
      <c r="R58" s="9"/>
    </row>
    <row r="59" spans="1:18">
      <c r="A59" s="260">
        <v>2005</v>
      </c>
      <c r="B59" s="252">
        <v>40442</v>
      </c>
      <c r="C59" s="253" t="s">
        <v>206</v>
      </c>
      <c r="D59" s="254" t="s">
        <v>512</v>
      </c>
      <c r="E59" s="255"/>
      <c r="F59" s="255"/>
      <c r="G59" s="255"/>
      <c r="H59" s="255"/>
      <c r="I59" s="255"/>
      <c r="J59" s="255"/>
      <c r="K59" s="255"/>
      <c r="L59" s="255"/>
      <c r="M59" s="255">
        <f t="shared" si="0"/>
        <v>0</v>
      </c>
      <c r="N59" s="256"/>
      <c r="O59" s="532">
        <f t="shared" si="1"/>
        <v>0</v>
      </c>
      <c r="P59" s="257"/>
      <c r="Q59" s="9"/>
      <c r="R59" s="9"/>
    </row>
    <row r="60" spans="1:18">
      <c r="A60" s="260">
        <v>2005</v>
      </c>
      <c r="B60" s="252">
        <v>40443</v>
      </c>
      <c r="C60" s="253" t="s">
        <v>207</v>
      </c>
      <c r="D60" s="254" t="s">
        <v>513</v>
      </c>
      <c r="E60" s="255"/>
      <c r="F60" s="255"/>
      <c r="G60" s="255"/>
      <c r="H60" s="255"/>
      <c r="I60" s="255"/>
      <c r="J60" s="255"/>
      <c r="K60" s="255"/>
      <c r="L60" s="255"/>
      <c r="M60" s="255">
        <f t="shared" si="0"/>
        <v>0</v>
      </c>
      <c r="N60" s="256"/>
      <c r="O60" s="532">
        <f t="shared" si="1"/>
        <v>0</v>
      </c>
      <c r="P60" s="257"/>
      <c r="Q60" s="9"/>
      <c r="R60" s="9"/>
    </row>
    <row r="61" spans="1:18">
      <c r="A61" s="260">
        <v>2005</v>
      </c>
      <c r="B61" s="252">
        <v>40444</v>
      </c>
      <c r="C61" s="253" t="s">
        <v>208</v>
      </c>
      <c r="D61" s="254" t="s">
        <v>514</v>
      </c>
      <c r="E61" s="255"/>
      <c r="F61" s="255"/>
      <c r="G61" s="255"/>
      <c r="H61" s="255"/>
      <c r="I61" s="255"/>
      <c r="J61" s="255"/>
      <c r="K61" s="255"/>
      <c r="L61" s="255"/>
      <c r="M61" s="255">
        <f t="shared" si="0"/>
        <v>0</v>
      </c>
      <c r="N61" s="256"/>
      <c r="O61" s="532">
        <f t="shared" si="1"/>
        <v>0</v>
      </c>
      <c r="P61" s="257"/>
      <c r="Q61" s="9"/>
      <c r="R61" s="9"/>
    </row>
    <row r="62" spans="1:18">
      <c r="A62" s="260">
        <v>1004</v>
      </c>
      <c r="B62" s="252">
        <v>41111</v>
      </c>
      <c r="C62" s="253" t="s">
        <v>209</v>
      </c>
      <c r="D62" s="254" t="s">
        <v>511</v>
      </c>
      <c r="E62" s="255"/>
      <c r="F62" s="255"/>
      <c r="G62" s="255"/>
      <c r="H62" s="255"/>
      <c r="I62" s="255"/>
      <c r="J62" s="255"/>
      <c r="K62" s="255"/>
      <c r="L62" s="255"/>
      <c r="M62" s="255">
        <f t="shared" si="0"/>
        <v>0</v>
      </c>
      <c r="N62" s="256"/>
      <c r="O62" s="532">
        <f t="shared" si="1"/>
        <v>0</v>
      </c>
      <c r="P62" s="257"/>
      <c r="Q62" s="9"/>
      <c r="R62" s="9"/>
    </row>
    <row r="63" spans="1:18">
      <c r="A63" s="260">
        <v>1004</v>
      </c>
      <c r="B63" s="252">
        <v>41112</v>
      </c>
      <c r="C63" s="253" t="s">
        <v>210</v>
      </c>
      <c r="D63" s="254" t="s">
        <v>512</v>
      </c>
      <c r="E63" s="255"/>
      <c r="F63" s="255"/>
      <c r="G63" s="255"/>
      <c r="H63" s="255"/>
      <c r="I63" s="255"/>
      <c r="J63" s="255"/>
      <c r="K63" s="255"/>
      <c r="L63" s="255"/>
      <c r="M63" s="255">
        <f t="shared" si="0"/>
        <v>0</v>
      </c>
      <c r="N63" s="256"/>
      <c r="O63" s="532">
        <f t="shared" si="1"/>
        <v>0</v>
      </c>
      <c r="P63" s="257"/>
      <c r="Q63" s="9"/>
      <c r="R63" s="9"/>
    </row>
    <row r="64" spans="1:18">
      <c r="A64" s="260">
        <v>1004</v>
      </c>
      <c r="B64" s="252">
        <v>41113</v>
      </c>
      <c r="C64" s="253" t="s">
        <v>211</v>
      </c>
      <c r="D64" s="254" t="s">
        <v>513</v>
      </c>
      <c r="E64" s="255"/>
      <c r="F64" s="255"/>
      <c r="G64" s="255"/>
      <c r="H64" s="255"/>
      <c r="I64" s="255"/>
      <c r="J64" s="255"/>
      <c r="K64" s="255"/>
      <c r="L64" s="255"/>
      <c r="M64" s="255">
        <f t="shared" si="0"/>
        <v>0</v>
      </c>
      <c r="N64" s="256"/>
      <c r="O64" s="532">
        <f t="shared" si="1"/>
        <v>0</v>
      </c>
      <c r="P64" s="257"/>
      <c r="Q64" s="9"/>
      <c r="R64" s="9"/>
    </row>
    <row r="65" spans="1:18">
      <c r="A65" s="260">
        <v>1004</v>
      </c>
      <c r="B65" s="252">
        <v>41122</v>
      </c>
      <c r="C65" s="253" t="s">
        <v>212</v>
      </c>
      <c r="D65" s="254" t="s">
        <v>515</v>
      </c>
      <c r="E65" s="255"/>
      <c r="F65" s="255"/>
      <c r="G65" s="255"/>
      <c r="H65" s="255"/>
      <c r="I65" s="255"/>
      <c r="J65" s="255"/>
      <c r="K65" s="255"/>
      <c r="L65" s="255"/>
      <c r="M65" s="255">
        <f t="shared" si="0"/>
        <v>0</v>
      </c>
      <c r="N65" s="256"/>
      <c r="O65" s="532">
        <f t="shared" si="1"/>
        <v>0</v>
      </c>
      <c r="P65" s="257"/>
      <c r="Q65" s="9"/>
      <c r="R65" s="9"/>
    </row>
    <row r="66" spans="1:18">
      <c r="A66" s="260">
        <v>1004</v>
      </c>
      <c r="B66" s="252">
        <v>41123</v>
      </c>
      <c r="C66" s="253" t="s">
        <v>213</v>
      </c>
      <c r="D66" s="254" t="s">
        <v>512</v>
      </c>
      <c r="E66" s="255"/>
      <c r="F66" s="255"/>
      <c r="G66" s="255"/>
      <c r="H66" s="255"/>
      <c r="I66" s="255"/>
      <c r="J66" s="255"/>
      <c r="K66" s="255"/>
      <c r="L66" s="255"/>
      <c r="M66" s="255">
        <f t="shared" si="0"/>
        <v>0</v>
      </c>
      <c r="N66" s="256"/>
      <c r="O66" s="532">
        <f t="shared" si="1"/>
        <v>0</v>
      </c>
      <c r="P66" s="257"/>
      <c r="Q66" s="9"/>
      <c r="R66" s="9"/>
    </row>
    <row r="67" spans="1:18">
      <c r="A67" s="260">
        <v>1004</v>
      </c>
      <c r="B67" s="252">
        <v>41124</v>
      </c>
      <c r="C67" s="253" t="s">
        <v>214</v>
      </c>
      <c r="D67" s="254" t="s">
        <v>513</v>
      </c>
      <c r="E67" s="255"/>
      <c r="F67" s="255"/>
      <c r="G67" s="255"/>
      <c r="H67" s="255"/>
      <c r="I67" s="255"/>
      <c r="J67" s="255"/>
      <c r="K67" s="255"/>
      <c r="L67" s="255"/>
      <c r="M67" s="255">
        <f t="shared" si="0"/>
        <v>0</v>
      </c>
      <c r="N67" s="256"/>
      <c r="O67" s="532">
        <f t="shared" si="1"/>
        <v>0</v>
      </c>
      <c r="P67" s="257"/>
      <c r="Q67" s="9"/>
      <c r="R67" s="9"/>
    </row>
    <row r="68" spans="1:18">
      <c r="A68" s="260">
        <v>1004</v>
      </c>
      <c r="B68" s="252">
        <v>41131</v>
      </c>
      <c r="C68" s="253" t="s">
        <v>215</v>
      </c>
      <c r="D68" s="254" t="s">
        <v>511</v>
      </c>
      <c r="E68" s="255"/>
      <c r="F68" s="255"/>
      <c r="G68" s="255"/>
      <c r="H68" s="255"/>
      <c r="I68" s="255"/>
      <c r="J68" s="255"/>
      <c r="K68" s="255"/>
      <c r="L68" s="255"/>
      <c r="M68" s="255">
        <f t="shared" si="0"/>
        <v>0</v>
      </c>
      <c r="N68" s="256"/>
      <c r="O68" s="532">
        <f t="shared" si="1"/>
        <v>0</v>
      </c>
      <c r="P68" s="257"/>
      <c r="Q68" s="9"/>
      <c r="R68" s="9"/>
    </row>
    <row r="69" spans="1:18">
      <c r="A69" s="260">
        <v>1004</v>
      </c>
      <c r="B69" s="252">
        <v>41132</v>
      </c>
      <c r="C69" s="253" t="s">
        <v>216</v>
      </c>
      <c r="D69" s="254" t="s">
        <v>512</v>
      </c>
      <c r="E69" s="255"/>
      <c r="F69" s="255"/>
      <c r="G69" s="255"/>
      <c r="H69" s="255"/>
      <c r="I69" s="255"/>
      <c r="J69" s="255"/>
      <c r="K69" s="255"/>
      <c r="L69" s="255"/>
      <c r="M69" s="255">
        <f t="shared" si="0"/>
        <v>0</v>
      </c>
      <c r="N69" s="256"/>
      <c r="O69" s="532">
        <f t="shared" si="1"/>
        <v>0</v>
      </c>
      <c r="P69" s="257"/>
      <c r="Q69" s="9"/>
      <c r="R69" s="9"/>
    </row>
    <row r="70" spans="1:18">
      <c r="A70" s="260">
        <v>1004</v>
      </c>
      <c r="B70" s="252">
        <v>41133</v>
      </c>
      <c r="C70" s="253" t="s">
        <v>217</v>
      </c>
      <c r="D70" s="254" t="s">
        <v>513</v>
      </c>
      <c r="E70" s="255"/>
      <c r="F70" s="255"/>
      <c r="G70" s="255"/>
      <c r="H70" s="255"/>
      <c r="I70" s="255"/>
      <c r="J70" s="255"/>
      <c r="K70" s="255"/>
      <c r="L70" s="255"/>
      <c r="M70" s="255">
        <f t="shared" ref="M70:M133" si="2">(+I70-J70)+K70-L70</f>
        <v>0</v>
      </c>
      <c r="N70" s="256"/>
      <c r="O70" s="532">
        <f t="shared" si="1"/>
        <v>0</v>
      </c>
      <c r="P70" s="257"/>
      <c r="Q70" s="9"/>
      <c r="R70" s="9"/>
    </row>
    <row r="71" spans="1:18">
      <c r="A71" s="260">
        <v>1004</v>
      </c>
      <c r="B71" s="252">
        <v>41141</v>
      </c>
      <c r="C71" s="253" t="s">
        <v>520</v>
      </c>
      <c r="D71" s="254" t="s">
        <v>511</v>
      </c>
      <c r="E71" s="255"/>
      <c r="F71" s="255"/>
      <c r="G71" s="255"/>
      <c r="H71" s="255"/>
      <c r="I71" s="255"/>
      <c r="J71" s="255"/>
      <c r="K71" s="255"/>
      <c r="L71" s="255"/>
      <c r="M71" s="255">
        <f t="shared" si="2"/>
        <v>0</v>
      </c>
      <c r="N71" s="256"/>
      <c r="O71" s="532">
        <f t="shared" si="1"/>
        <v>0</v>
      </c>
      <c r="P71" s="257"/>
      <c r="Q71" s="9"/>
      <c r="R71" s="9"/>
    </row>
    <row r="72" spans="1:18">
      <c r="A72" s="260">
        <v>1004</v>
      </c>
      <c r="B72" s="252">
        <v>41142</v>
      </c>
      <c r="C72" s="253" t="s">
        <v>521</v>
      </c>
      <c r="D72" s="254" t="s">
        <v>513</v>
      </c>
      <c r="E72" s="255"/>
      <c r="F72" s="255"/>
      <c r="G72" s="255"/>
      <c r="H72" s="255"/>
      <c r="I72" s="255"/>
      <c r="J72" s="255"/>
      <c r="K72" s="255"/>
      <c r="L72" s="255"/>
      <c r="M72" s="255">
        <f t="shared" si="2"/>
        <v>0</v>
      </c>
      <c r="N72" s="256"/>
      <c r="O72" s="532">
        <f t="shared" si="1"/>
        <v>0</v>
      </c>
      <c r="P72" s="257"/>
      <c r="Q72" s="9"/>
      <c r="R72" s="9"/>
    </row>
    <row r="73" spans="1:18">
      <c r="A73" s="260">
        <v>1004</v>
      </c>
      <c r="B73" s="252">
        <v>41151</v>
      </c>
      <c r="C73" s="253" t="s">
        <v>218</v>
      </c>
      <c r="D73" s="254" t="s">
        <v>511</v>
      </c>
      <c r="E73" s="255"/>
      <c r="F73" s="255"/>
      <c r="G73" s="255"/>
      <c r="H73" s="255"/>
      <c r="I73" s="255"/>
      <c r="J73" s="255"/>
      <c r="K73" s="255"/>
      <c r="L73" s="255"/>
      <c r="M73" s="255">
        <f t="shared" si="2"/>
        <v>0</v>
      </c>
      <c r="N73" s="256"/>
      <c r="O73" s="532">
        <f t="shared" si="1"/>
        <v>0</v>
      </c>
      <c r="P73" s="257"/>
      <c r="Q73" s="9"/>
      <c r="R73" s="9"/>
    </row>
    <row r="74" spans="1:18">
      <c r="A74" s="260">
        <v>1004</v>
      </c>
      <c r="B74" s="252">
        <v>41152</v>
      </c>
      <c r="C74" s="253" t="s">
        <v>219</v>
      </c>
      <c r="D74" s="254" t="s">
        <v>512</v>
      </c>
      <c r="E74" s="255"/>
      <c r="F74" s="255"/>
      <c r="G74" s="255"/>
      <c r="H74" s="255"/>
      <c r="I74" s="255"/>
      <c r="J74" s="255"/>
      <c r="K74" s="255"/>
      <c r="L74" s="255"/>
      <c r="M74" s="255">
        <f t="shared" si="2"/>
        <v>0</v>
      </c>
      <c r="N74" s="256"/>
      <c r="O74" s="532">
        <f t="shared" si="1"/>
        <v>0</v>
      </c>
      <c r="P74" s="257"/>
      <c r="Q74" s="9"/>
      <c r="R74" s="9"/>
    </row>
    <row r="75" spans="1:18">
      <c r="A75" s="271">
        <v>1004</v>
      </c>
      <c r="B75" s="252">
        <v>41161</v>
      </c>
      <c r="C75" s="253" t="s">
        <v>220</v>
      </c>
      <c r="D75" s="254" t="s">
        <v>511</v>
      </c>
      <c r="E75" s="255"/>
      <c r="F75" s="255"/>
      <c r="G75" s="255"/>
      <c r="H75" s="255"/>
      <c r="I75" s="255"/>
      <c r="J75" s="255"/>
      <c r="K75" s="255"/>
      <c r="L75" s="255"/>
      <c r="M75" s="255">
        <f t="shared" si="2"/>
        <v>0</v>
      </c>
      <c r="N75" s="256"/>
      <c r="O75" s="532">
        <f t="shared" si="1"/>
        <v>0</v>
      </c>
      <c r="P75" s="257"/>
      <c r="Q75" s="9"/>
      <c r="R75" s="9"/>
    </row>
    <row r="76" spans="1:18">
      <c r="A76" s="271">
        <v>1004</v>
      </c>
      <c r="B76" s="252">
        <v>41162</v>
      </c>
      <c r="C76" s="253" t="s">
        <v>221</v>
      </c>
      <c r="D76" s="254" t="s">
        <v>512</v>
      </c>
      <c r="E76" s="255"/>
      <c r="F76" s="255"/>
      <c r="G76" s="255"/>
      <c r="H76" s="255"/>
      <c r="I76" s="255"/>
      <c r="J76" s="255"/>
      <c r="K76" s="255"/>
      <c r="L76" s="255"/>
      <c r="M76" s="255">
        <f t="shared" si="2"/>
        <v>0</v>
      </c>
      <c r="N76" s="256"/>
      <c r="O76" s="532">
        <f t="shared" si="1"/>
        <v>0</v>
      </c>
      <c r="P76" s="257"/>
      <c r="Q76" s="9"/>
      <c r="R76" s="9"/>
    </row>
    <row r="77" spans="1:18">
      <c r="A77" s="271">
        <v>1004</v>
      </c>
      <c r="B77" s="252">
        <v>463</v>
      </c>
      <c r="C77" s="253" t="s">
        <v>222</v>
      </c>
      <c r="D77" s="254" t="s">
        <v>511</v>
      </c>
      <c r="E77" s="255"/>
      <c r="F77" s="255"/>
      <c r="G77" s="255"/>
      <c r="H77" s="255"/>
      <c r="I77" s="255"/>
      <c r="J77" s="255"/>
      <c r="K77" s="255"/>
      <c r="L77" s="255"/>
      <c r="M77" s="255">
        <f t="shared" si="2"/>
        <v>0</v>
      </c>
      <c r="N77" s="256"/>
      <c r="O77" s="532">
        <f t="shared" si="1"/>
        <v>0</v>
      </c>
      <c r="P77" s="257"/>
      <c r="Q77" s="9"/>
      <c r="R77" s="9"/>
    </row>
    <row r="78" spans="1:18">
      <c r="A78" s="271">
        <v>2009</v>
      </c>
      <c r="B78" s="252">
        <v>41901</v>
      </c>
      <c r="C78" s="253" t="s">
        <v>522</v>
      </c>
      <c r="D78" s="254" t="s">
        <v>512</v>
      </c>
      <c r="E78" s="255"/>
      <c r="F78" s="255"/>
      <c r="G78" s="255"/>
      <c r="H78" s="255"/>
      <c r="I78" s="255"/>
      <c r="J78" s="255"/>
      <c r="K78" s="255"/>
      <c r="L78" s="255"/>
      <c r="M78" s="255">
        <f t="shared" si="2"/>
        <v>0</v>
      </c>
      <c r="N78" s="256"/>
      <c r="O78" s="532">
        <f t="shared" si="1"/>
        <v>0</v>
      </c>
      <c r="P78" s="257"/>
      <c r="Q78" s="9"/>
      <c r="R78" s="9"/>
    </row>
    <row r="79" spans="1:18">
      <c r="A79" s="271">
        <v>1012</v>
      </c>
      <c r="B79" s="252">
        <v>41902</v>
      </c>
      <c r="C79" s="253" t="s">
        <v>523</v>
      </c>
      <c r="D79" s="254" t="s">
        <v>512</v>
      </c>
      <c r="E79" s="255"/>
      <c r="F79" s="255"/>
      <c r="G79" s="255"/>
      <c r="H79" s="255"/>
      <c r="I79" s="255"/>
      <c r="J79" s="255"/>
      <c r="K79" s="255"/>
      <c r="L79" s="255"/>
      <c r="M79" s="255">
        <f t="shared" si="2"/>
        <v>0</v>
      </c>
      <c r="N79" s="256"/>
      <c r="O79" s="532">
        <f t="shared" si="1"/>
        <v>0</v>
      </c>
      <c r="P79" s="257"/>
      <c r="Q79" s="9"/>
      <c r="R79" s="9"/>
    </row>
    <row r="80" spans="1:18">
      <c r="A80" s="271">
        <v>1012</v>
      </c>
      <c r="B80" s="252">
        <v>4191</v>
      </c>
      <c r="C80" s="253" t="s">
        <v>524</v>
      </c>
      <c r="D80" s="254" t="s">
        <v>512</v>
      </c>
      <c r="E80" s="255"/>
      <c r="F80" s="255"/>
      <c r="G80" s="255"/>
      <c r="H80" s="255"/>
      <c r="I80" s="255"/>
      <c r="J80" s="255"/>
      <c r="K80" s="255"/>
      <c r="L80" s="255"/>
      <c r="M80" s="255">
        <f t="shared" si="2"/>
        <v>0</v>
      </c>
      <c r="N80" s="256"/>
      <c r="O80" s="532">
        <f t="shared" si="1"/>
        <v>0</v>
      </c>
      <c r="P80" s="257"/>
      <c r="Q80" s="9"/>
      <c r="R80" s="9"/>
    </row>
    <row r="81" spans="1:18">
      <c r="A81" s="271">
        <v>1012</v>
      </c>
      <c r="B81" s="252">
        <v>40910</v>
      </c>
      <c r="C81" s="253" t="s">
        <v>223</v>
      </c>
      <c r="D81" s="254" t="s">
        <v>513</v>
      </c>
      <c r="E81" s="255"/>
      <c r="F81" s="255"/>
      <c r="G81" s="255"/>
      <c r="H81" s="255"/>
      <c r="I81" s="255"/>
      <c r="J81" s="255"/>
      <c r="K81" s="255"/>
      <c r="L81" s="255"/>
      <c r="M81" s="255">
        <f t="shared" si="2"/>
        <v>0</v>
      </c>
      <c r="N81" s="256"/>
      <c r="O81" s="532">
        <f t="shared" si="1"/>
        <v>0</v>
      </c>
      <c r="P81" s="257"/>
      <c r="Q81" s="9"/>
      <c r="R81" s="9"/>
    </row>
    <row r="82" spans="1:18">
      <c r="A82" s="271">
        <v>2005</v>
      </c>
      <c r="B82" s="252">
        <v>4097</v>
      </c>
      <c r="C82" s="253" t="s">
        <v>224</v>
      </c>
      <c r="D82" s="254" t="s">
        <v>513</v>
      </c>
      <c r="E82" s="255"/>
      <c r="F82" s="255"/>
      <c r="G82" s="255"/>
      <c r="H82" s="255"/>
      <c r="I82" s="255"/>
      <c r="J82" s="255"/>
      <c r="K82" s="255"/>
      <c r="L82" s="255"/>
      <c r="M82" s="255">
        <f t="shared" si="2"/>
        <v>0</v>
      </c>
      <c r="N82" s="256"/>
      <c r="O82" s="532">
        <f t="shared" si="1"/>
        <v>0</v>
      </c>
      <c r="P82" s="257"/>
      <c r="Q82" s="9"/>
      <c r="R82" s="9"/>
    </row>
    <row r="83" spans="1:18">
      <c r="A83" s="260">
        <v>2005</v>
      </c>
      <c r="B83" s="252">
        <v>418</v>
      </c>
      <c r="C83" s="253" t="s">
        <v>225</v>
      </c>
      <c r="D83" s="254" t="s">
        <v>511</v>
      </c>
      <c r="E83" s="255"/>
      <c r="F83" s="255"/>
      <c r="G83" s="255"/>
      <c r="H83" s="255"/>
      <c r="I83" s="255"/>
      <c r="J83" s="255"/>
      <c r="K83" s="255"/>
      <c r="L83" s="255"/>
      <c r="M83" s="255">
        <f t="shared" si="2"/>
        <v>0</v>
      </c>
      <c r="N83" s="256"/>
      <c r="O83" s="532">
        <f t="shared" si="1"/>
        <v>0</v>
      </c>
      <c r="P83" s="257"/>
      <c r="Q83" s="9"/>
      <c r="R83" s="9"/>
    </row>
    <row r="84" spans="1:18">
      <c r="A84" s="260">
        <v>2005</v>
      </c>
      <c r="B84" s="252">
        <v>4181</v>
      </c>
      <c r="C84" s="253" t="s">
        <v>226</v>
      </c>
      <c r="D84" s="254" t="s">
        <v>512</v>
      </c>
      <c r="E84" s="255"/>
      <c r="F84" s="255"/>
      <c r="G84" s="255"/>
      <c r="H84" s="255"/>
      <c r="I84" s="255"/>
      <c r="J84" s="255"/>
      <c r="K84" s="255"/>
      <c r="L84" s="255"/>
      <c r="M84" s="255">
        <f t="shared" si="2"/>
        <v>0</v>
      </c>
      <c r="N84" s="256"/>
      <c r="O84" s="532">
        <f t="shared" si="1"/>
        <v>0</v>
      </c>
      <c r="P84" s="257"/>
      <c r="Q84" s="9"/>
      <c r="R84" s="9"/>
    </row>
    <row r="85" spans="1:18">
      <c r="A85" s="260">
        <v>2005</v>
      </c>
      <c r="B85" s="252">
        <v>41840</v>
      </c>
      <c r="C85" s="253" t="s">
        <v>227</v>
      </c>
      <c r="D85" s="254" t="s">
        <v>513</v>
      </c>
      <c r="E85" s="255"/>
      <c r="F85" s="255"/>
      <c r="G85" s="255"/>
      <c r="H85" s="255"/>
      <c r="I85" s="255"/>
      <c r="J85" s="255"/>
      <c r="K85" s="255"/>
      <c r="L85" s="255"/>
      <c r="M85" s="255">
        <f t="shared" si="2"/>
        <v>0</v>
      </c>
      <c r="N85" s="256"/>
      <c r="O85" s="532">
        <f t="shared" si="1"/>
        <v>0</v>
      </c>
      <c r="P85" s="257"/>
      <c r="Q85" s="9"/>
      <c r="R85" s="9"/>
    </row>
    <row r="86" spans="1:18">
      <c r="A86" s="260">
        <v>2005</v>
      </c>
      <c r="B86" s="252">
        <v>4185</v>
      </c>
      <c r="C86" s="253" t="s">
        <v>228</v>
      </c>
      <c r="D86" s="254" t="s">
        <v>512</v>
      </c>
      <c r="E86" s="255"/>
      <c r="F86" s="255"/>
      <c r="G86" s="255"/>
      <c r="H86" s="255"/>
      <c r="I86" s="255"/>
      <c r="J86" s="255"/>
      <c r="K86" s="255"/>
      <c r="L86" s="255"/>
      <c r="M86" s="255">
        <f t="shared" si="2"/>
        <v>0</v>
      </c>
      <c r="N86" s="256"/>
      <c r="O86" s="532">
        <f t="shared" si="1"/>
        <v>0</v>
      </c>
      <c r="P86" s="257"/>
      <c r="Q86" s="9"/>
      <c r="R86" s="9"/>
    </row>
    <row r="87" spans="1:18">
      <c r="A87" s="260">
        <v>2005</v>
      </c>
      <c r="B87" s="252">
        <v>408</v>
      </c>
      <c r="C87" s="253" t="s">
        <v>229</v>
      </c>
      <c r="D87" s="254" t="s">
        <v>511</v>
      </c>
      <c r="E87" s="255"/>
      <c r="F87" s="255"/>
      <c r="G87" s="255"/>
      <c r="H87" s="255"/>
      <c r="I87" s="255"/>
      <c r="J87" s="255"/>
      <c r="K87" s="255"/>
      <c r="L87" s="255"/>
      <c r="M87" s="255">
        <f t="shared" si="2"/>
        <v>0</v>
      </c>
      <c r="N87" s="256"/>
      <c r="O87" s="532">
        <f t="shared" si="1"/>
        <v>0</v>
      </c>
      <c r="P87" s="257"/>
      <c r="Q87" s="9"/>
      <c r="R87" s="9"/>
    </row>
    <row r="88" spans="1:18">
      <c r="A88" s="260">
        <v>2005</v>
      </c>
      <c r="B88" s="252">
        <v>409</v>
      </c>
      <c r="C88" s="253" t="s">
        <v>230</v>
      </c>
      <c r="D88" s="254" t="s">
        <v>511</v>
      </c>
      <c r="E88" s="255"/>
      <c r="F88" s="255"/>
      <c r="G88" s="255"/>
      <c r="H88" s="255"/>
      <c r="I88" s="255"/>
      <c r="J88" s="255"/>
      <c r="K88" s="255"/>
      <c r="L88" s="255"/>
      <c r="M88" s="255">
        <f t="shared" si="2"/>
        <v>0</v>
      </c>
      <c r="N88" s="256"/>
      <c r="O88" s="532">
        <f t="shared" si="1"/>
        <v>0</v>
      </c>
      <c r="P88" s="257"/>
      <c r="Q88" s="9"/>
      <c r="R88" s="9"/>
    </row>
    <row r="89" spans="1:18">
      <c r="A89" s="260">
        <v>1012</v>
      </c>
      <c r="B89" s="252">
        <v>40911</v>
      </c>
      <c r="C89" s="253" t="s">
        <v>231</v>
      </c>
      <c r="D89" s="254" t="s">
        <v>511</v>
      </c>
      <c r="E89" s="255"/>
      <c r="F89" s="255"/>
      <c r="G89" s="255"/>
      <c r="H89" s="255"/>
      <c r="I89" s="255"/>
      <c r="J89" s="255"/>
      <c r="K89" s="255"/>
      <c r="L89" s="255"/>
      <c r="M89" s="255">
        <f t="shared" si="2"/>
        <v>0</v>
      </c>
      <c r="N89" s="256"/>
      <c r="O89" s="532">
        <f t="shared" si="1"/>
        <v>0</v>
      </c>
      <c r="P89" s="257"/>
      <c r="Q89" s="9"/>
      <c r="R89" s="9"/>
    </row>
    <row r="90" spans="1:18">
      <c r="A90" s="260">
        <v>1012</v>
      </c>
      <c r="B90" s="252">
        <v>40912</v>
      </c>
      <c r="C90" s="253" t="s">
        <v>232</v>
      </c>
      <c r="D90" s="254" t="s">
        <v>511</v>
      </c>
      <c r="E90" s="255"/>
      <c r="F90" s="255"/>
      <c r="G90" s="255"/>
      <c r="H90" s="255"/>
      <c r="I90" s="255"/>
      <c r="J90" s="255"/>
      <c r="K90" s="255"/>
      <c r="L90" s="255"/>
      <c r="M90" s="255">
        <f t="shared" si="2"/>
        <v>0</v>
      </c>
      <c r="N90" s="256"/>
      <c r="O90" s="532">
        <f t="shared" si="1"/>
        <v>0</v>
      </c>
      <c r="P90" s="257"/>
      <c r="Q90" s="9"/>
      <c r="R90" s="9"/>
    </row>
    <row r="91" spans="1:18">
      <c r="A91" s="260">
        <v>1012</v>
      </c>
      <c r="B91" s="252">
        <v>40914</v>
      </c>
      <c r="C91" s="253" t="s">
        <v>233</v>
      </c>
      <c r="D91" s="254" t="s">
        <v>511</v>
      </c>
      <c r="E91" s="255"/>
      <c r="F91" s="255"/>
      <c r="G91" s="255"/>
      <c r="H91" s="255"/>
      <c r="I91" s="255"/>
      <c r="J91" s="255"/>
      <c r="K91" s="255"/>
      <c r="L91" s="255"/>
      <c r="M91" s="255">
        <f t="shared" si="2"/>
        <v>0</v>
      </c>
      <c r="N91" s="256"/>
      <c r="O91" s="532">
        <f t="shared" si="1"/>
        <v>0</v>
      </c>
      <c r="P91" s="257"/>
      <c r="Q91" s="9"/>
      <c r="R91" s="9"/>
    </row>
    <row r="92" spans="1:18">
      <c r="A92" s="260">
        <v>1012</v>
      </c>
      <c r="B92" s="252">
        <v>4097</v>
      </c>
      <c r="C92" s="253" t="s">
        <v>224</v>
      </c>
      <c r="D92" s="254" t="s">
        <v>511</v>
      </c>
      <c r="E92" s="255"/>
      <c r="F92" s="255"/>
      <c r="G92" s="255"/>
      <c r="H92" s="255"/>
      <c r="I92" s="255"/>
      <c r="J92" s="255"/>
      <c r="K92" s="255"/>
      <c r="L92" s="255"/>
      <c r="M92" s="255">
        <f t="shared" si="2"/>
        <v>0</v>
      </c>
      <c r="N92" s="256"/>
      <c r="O92" s="532">
        <f t="shared" si="1"/>
        <v>0</v>
      </c>
      <c r="P92" s="257"/>
      <c r="Q92" s="9"/>
      <c r="R92" s="9"/>
    </row>
    <row r="93" spans="1:18">
      <c r="A93" s="260">
        <v>1012</v>
      </c>
      <c r="B93" s="252">
        <v>40902</v>
      </c>
      <c r="C93" s="253" t="s">
        <v>234</v>
      </c>
      <c r="D93" s="254" t="s">
        <v>513</v>
      </c>
      <c r="E93" s="255"/>
      <c r="F93" s="255"/>
      <c r="G93" s="255"/>
      <c r="H93" s="255"/>
      <c r="I93" s="255"/>
      <c r="J93" s="255"/>
      <c r="K93" s="255"/>
      <c r="L93" s="255"/>
      <c r="M93" s="255">
        <f t="shared" si="2"/>
        <v>0</v>
      </c>
      <c r="N93" s="256"/>
      <c r="O93" s="532">
        <f t="shared" si="1"/>
        <v>0</v>
      </c>
      <c r="P93" s="257"/>
      <c r="Q93" s="9"/>
      <c r="R93" s="9"/>
    </row>
    <row r="94" spans="1:18">
      <c r="A94" s="260">
        <v>1012</v>
      </c>
      <c r="B94" s="252">
        <v>40904</v>
      </c>
      <c r="C94" s="253" t="s">
        <v>518</v>
      </c>
      <c r="D94" s="254" t="s">
        <v>511</v>
      </c>
      <c r="E94" s="255"/>
      <c r="F94" s="255"/>
      <c r="G94" s="255"/>
      <c r="H94" s="255"/>
      <c r="I94" s="255"/>
      <c r="J94" s="255"/>
      <c r="K94" s="255"/>
      <c r="L94" s="255"/>
      <c r="M94" s="255">
        <f t="shared" si="2"/>
        <v>0</v>
      </c>
      <c r="N94" s="256"/>
      <c r="O94" s="532">
        <f t="shared" si="1"/>
        <v>0</v>
      </c>
      <c r="P94" s="257"/>
      <c r="Q94" s="9"/>
      <c r="R94" s="9"/>
    </row>
    <row r="95" spans="1:18">
      <c r="A95" s="260">
        <v>1012</v>
      </c>
      <c r="B95" s="252">
        <v>40905</v>
      </c>
      <c r="C95" s="253" t="s">
        <v>235</v>
      </c>
      <c r="D95" s="254" t="s">
        <v>512</v>
      </c>
      <c r="E95" s="255"/>
      <c r="F95" s="255"/>
      <c r="G95" s="255"/>
      <c r="H95" s="255"/>
      <c r="I95" s="255"/>
      <c r="J95" s="255"/>
      <c r="K95" s="255"/>
      <c r="L95" s="255"/>
      <c r="M95" s="255">
        <f t="shared" si="2"/>
        <v>0</v>
      </c>
      <c r="N95" s="256"/>
      <c r="O95" s="532">
        <f t="shared" si="1"/>
        <v>0</v>
      </c>
      <c r="P95" s="257"/>
      <c r="Q95" s="9"/>
      <c r="R95" s="9"/>
    </row>
    <row r="96" spans="1:18">
      <c r="A96" s="260">
        <v>2009</v>
      </c>
      <c r="B96" s="252">
        <v>40906</v>
      </c>
      <c r="C96" s="253" t="s">
        <v>236</v>
      </c>
      <c r="D96" s="254" t="s">
        <v>512</v>
      </c>
      <c r="E96" s="255"/>
      <c r="F96" s="255"/>
      <c r="G96" s="255"/>
      <c r="H96" s="255"/>
      <c r="I96" s="255"/>
      <c r="J96" s="255"/>
      <c r="K96" s="255"/>
      <c r="L96" s="255"/>
      <c r="M96" s="255">
        <f t="shared" si="2"/>
        <v>0</v>
      </c>
      <c r="N96" s="256"/>
      <c r="O96" s="532">
        <f t="shared" si="1"/>
        <v>0</v>
      </c>
      <c r="P96" s="257"/>
      <c r="Q96" s="9"/>
      <c r="R96" s="9"/>
    </row>
    <row r="97" spans="1:18">
      <c r="A97" s="260">
        <v>1012</v>
      </c>
      <c r="B97" s="252">
        <v>4091</v>
      </c>
      <c r="C97" s="253" t="s">
        <v>226</v>
      </c>
      <c r="D97" s="254" t="s">
        <v>512</v>
      </c>
      <c r="E97" s="255"/>
      <c r="F97" s="255"/>
      <c r="G97" s="255"/>
      <c r="H97" s="255"/>
      <c r="I97" s="255"/>
      <c r="J97" s="255"/>
      <c r="K97" s="255"/>
      <c r="L97" s="255"/>
      <c r="M97" s="255">
        <f t="shared" si="2"/>
        <v>0</v>
      </c>
      <c r="N97" s="256"/>
      <c r="O97" s="532">
        <f t="shared" si="1"/>
        <v>0</v>
      </c>
      <c r="P97" s="257"/>
      <c r="Q97" s="9"/>
      <c r="R97" s="9"/>
    </row>
    <row r="98" spans="1:18">
      <c r="A98" s="272">
        <v>1012</v>
      </c>
      <c r="B98" s="252">
        <v>409100</v>
      </c>
      <c r="C98" s="258" t="s">
        <v>519</v>
      </c>
      <c r="D98" s="254" t="s">
        <v>511</v>
      </c>
      <c r="E98" s="255"/>
      <c r="F98" s="255"/>
      <c r="G98" s="255"/>
      <c r="H98" s="255"/>
      <c r="I98" s="255"/>
      <c r="J98" s="255"/>
      <c r="K98" s="255"/>
      <c r="L98" s="255"/>
      <c r="M98" s="255">
        <f t="shared" si="2"/>
        <v>0</v>
      </c>
      <c r="N98" s="256"/>
      <c r="O98" s="532">
        <f t="shared" si="1"/>
        <v>0</v>
      </c>
      <c r="P98" s="257"/>
      <c r="Q98" s="9"/>
      <c r="R98" s="9"/>
    </row>
    <row r="99" spans="1:18">
      <c r="A99" s="260">
        <v>2009</v>
      </c>
      <c r="B99" s="252">
        <v>4188</v>
      </c>
      <c r="C99" s="253" t="s">
        <v>237</v>
      </c>
      <c r="D99" s="254" t="s">
        <v>513</v>
      </c>
      <c r="E99" s="255"/>
      <c r="F99" s="255"/>
      <c r="G99" s="255"/>
      <c r="H99" s="255"/>
      <c r="I99" s="255"/>
      <c r="J99" s="255"/>
      <c r="K99" s="255"/>
      <c r="L99" s="255"/>
      <c r="M99" s="255">
        <f t="shared" si="2"/>
        <v>0</v>
      </c>
      <c r="N99" s="256"/>
      <c r="O99" s="532">
        <f t="shared" si="1"/>
        <v>0</v>
      </c>
      <c r="P99" s="257"/>
      <c r="Q99" s="9"/>
      <c r="R99" s="9"/>
    </row>
    <row r="100" spans="1:18">
      <c r="A100" s="260">
        <v>2009</v>
      </c>
      <c r="B100" s="252">
        <v>4189</v>
      </c>
      <c r="C100" s="253" t="s">
        <v>238</v>
      </c>
      <c r="D100" s="254" t="s">
        <v>513</v>
      </c>
      <c r="E100" s="255"/>
      <c r="F100" s="255"/>
      <c r="G100" s="255"/>
      <c r="H100" s="255"/>
      <c r="I100" s="255"/>
      <c r="J100" s="255"/>
      <c r="K100" s="255"/>
      <c r="L100" s="255"/>
      <c r="M100" s="255">
        <f t="shared" si="2"/>
        <v>0</v>
      </c>
      <c r="N100" s="256"/>
      <c r="O100" s="532">
        <f t="shared" si="1"/>
        <v>0</v>
      </c>
      <c r="P100" s="257"/>
      <c r="Q100" s="9"/>
      <c r="R100" s="9"/>
    </row>
    <row r="101" spans="1:18">
      <c r="A101" s="260">
        <v>2009</v>
      </c>
      <c r="B101" s="252">
        <v>419</v>
      </c>
      <c r="C101" s="253" t="s">
        <v>239</v>
      </c>
      <c r="D101" s="254" t="s">
        <v>511</v>
      </c>
      <c r="E101" s="255"/>
      <c r="F101" s="255"/>
      <c r="G101" s="255"/>
      <c r="H101" s="255"/>
      <c r="I101" s="255"/>
      <c r="J101" s="255"/>
      <c r="K101" s="255"/>
      <c r="L101" s="255"/>
      <c r="M101" s="255">
        <f t="shared" si="2"/>
        <v>0</v>
      </c>
      <c r="N101" s="256"/>
      <c r="O101" s="532">
        <f t="shared" si="1"/>
        <v>0</v>
      </c>
      <c r="P101" s="257"/>
      <c r="Q101" s="9"/>
      <c r="R101" s="9"/>
    </row>
    <row r="102" spans="1:18">
      <c r="A102" s="260">
        <v>2009</v>
      </c>
      <c r="B102" s="252">
        <v>4192</v>
      </c>
      <c r="C102" s="253" t="s">
        <v>240</v>
      </c>
      <c r="D102" s="254" t="s">
        <v>512</v>
      </c>
      <c r="E102" s="255"/>
      <c r="F102" s="255"/>
      <c r="G102" s="255"/>
      <c r="H102" s="255"/>
      <c r="I102" s="255"/>
      <c r="J102" s="255"/>
      <c r="K102" s="255"/>
      <c r="L102" s="255"/>
      <c r="M102" s="255">
        <f t="shared" si="2"/>
        <v>0</v>
      </c>
      <c r="N102" s="256"/>
      <c r="O102" s="532">
        <f t="shared" si="1"/>
        <v>0</v>
      </c>
      <c r="P102" s="257"/>
      <c r="Q102" s="9"/>
      <c r="R102" s="9"/>
    </row>
    <row r="103" spans="1:18">
      <c r="A103" s="260">
        <v>2009</v>
      </c>
      <c r="B103" s="252">
        <v>4193</v>
      </c>
      <c r="C103" s="253" t="s">
        <v>241</v>
      </c>
      <c r="D103" s="254" t="s">
        <v>512</v>
      </c>
      <c r="E103" s="255"/>
      <c r="F103" s="255"/>
      <c r="G103" s="255"/>
      <c r="H103" s="255"/>
      <c r="I103" s="255"/>
      <c r="J103" s="255"/>
      <c r="K103" s="255"/>
      <c r="L103" s="255"/>
      <c r="M103" s="255">
        <f t="shared" si="2"/>
        <v>0</v>
      </c>
      <c r="N103" s="256"/>
      <c r="O103" s="532">
        <f t="shared" ref="O103:O166" si="3">M103/139.59</f>
        <v>0</v>
      </c>
      <c r="P103" s="257"/>
      <c r="Q103" s="9"/>
      <c r="R103" s="9"/>
    </row>
    <row r="104" spans="1:18">
      <c r="A104" s="260">
        <v>2009</v>
      </c>
      <c r="B104" s="252">
        <v>4194</v>
      </c>
      <c r="C104" s="253" t="s">
        <v>242</v>
      </c>
      <c r="D104" s="254" t="s">
        <v>511</v>
      </c>
      <c r="E104" s="255"/>
      <c r="F104" s="255"/>
      <c r="G104" s="255"/>
      <c r="H104" s="255"/>
      <c r="I104" s="255"/>
      <c r="J104" s="255"/>
      <c r="K104" s="255"/>
      <c r="L104" s="255"/>
      <c r="M104" s="255">
        <f t="shared" si="2"/>
        <v>0</v>
      </c>
      <c r="N104" s="256"/>
      <c r="O104" s="532">
        <f t="shared" si="3"/>
        <v>0</v>
      </c>
      <c r="P104" s="257"/>
      <c r="Q104" s="9"/>
      <c r="R104" s="9"/>
    </row>
    <row r="105" spans="1:18">
      <c r="A105" s="260">
        <v>2009</v>
      </c>
      <c r="B105" s="252">
        <v>4195</v>
      </c>
      <c r="C105" s="253" t="s">
        <v>243</v>
      </c>
      <c r="D105" s="254" t="s">
        <v>512</v>
      </c>
      <c r="E105" s="255"/>
      <c r="F105" s="255"/>
      <c r="G105" s="255"/>
      <c r="H105" s="255"/>
      <c r="I105" s="255"/>
      <c r="J105" s="255"/>
      <c r="K105" s="255"/>
      <c r="L105" s="255"/>
      <c r="M105" s="255">
        <f t="shared" si="2"/>
        <v>0</v>
      </c>
      <c r="N105" s="256"/>
      <c r="O105" s="532">
        <f t="shared" si="3"/>
        <v>0</v>
      </c>
      <c r="P105" s="257"/>
      <c r="Q105" s="9"/>
      <c r="R105" s="9"/>
    </row>
    <row r="106" spans="1:18">
      <c r="A106" s="260">
        <v>2009</v>
      </c>
      <c r="B106" s="252">
        <v>4196</v>
      </c>
      <c r="C106" s="253" t="s">
        <v>244</v>
      </c>
      <c r="D106" s="254" t="s">
        <v>512</v>
      </c>
      <c r="E106" s="255"/>
      <c r="F106" s="255"/>
      <c r="G106" s="255"/>
      <c r="H106" s="255"/>
      <c r="I106" s="255"/>
      <c r="J106" s="255"/>
      <c r="K106" s="255"/>
      <c r="L106" s="255"/>
      <c r="M106" s="255">
        <f t="shared" si="2"/>
        <v>0</v>
      </c>
      <c r="N106" s="256"/>
      <c r="O106" s="532">
        <f t="shared" si="3"/>
        <v>0</v>
      </c>
      <c r="P106" s="257"/>
      <c r="Q106" s="9"/>
      <c r="R106" s="9"/>
    </row>
    <row r="107" spans="1:18">
      <c r="A107" s="260">
        <v>2009</v>
      </c>
      <c r="B107" s="252">
        <v>4197</v>
      </c>
      <c r="C107" s="253" t="s">
        <v>245</v>
      </c>
      <c r="D107" s="254" t="s">
        <v>512</v>
      </c>
      <c r="E107" s="255"/>
      <c r="F107" s="255"/>
      <c r="G107" s="255"/>
      <c r="H107" s="255"/>
      <c r="I107" s="255"/>
      <c r="J107" s="255"/>
      <c r="K107" s="255"/>
      <c r="L107" s="255"/>
      <c r="M107" s="255">
        <f t="shared" si="2"/>
        <v>0</v>
      </c>
      <c r="N107" s="256"/>
      <c r="O107" s="532">
        <f t="shared" si="3"/>
        <v>0</v>
      </c>
      <c r="P107" s="257"/>
      <c r="Q107" s="9"/>
      <c r="R107" s="9"/>
    </row>
    <row r="108" spans="1:18">
      <c r="A108" s="260">
        <v>2009</v>
      </c>
      <c r="B108" s="252">
        <v>4198</v>
      </c>
      <c r="C108" s="253" t="s">
        <v>246</v>
      </c>
      <c r="D108" s="254" t="s">
        <v>512</v>
      </c>
      <c r="E108" s="255"/>
      <c r="F108" s="255"/>
      <c r="G108" s="255"/>
      <c r="H108" s="255"/>
      <c r="I108" s="255"/>
      <c r="J108" s="255"/>
      <c r="K108" s="255"/>
      <c r="L108" s="255"/>
      <c r="M108" s="255">
        <f t="shared" si="2"/>
        <v>0</v>
      </c>
      <c r="N108" s="256"/>
      <c r="O108" s="532">
        <f t="shared" si="3"/>
        <v>0</v>
      </c>
      <c r="P108" s="257"/>
      <c r="Q108" s="9"/>
      <c r="R108" s="9"/>
    </row>
    <row r="109" spans="1:18">
      <c r="A109" s="260">
        <v>2009</v>
      </c>
      <c r="B109" s="252">
        <v>4199</v>
      </c>
      <c r="C109" s="253" t="s">
        <v>247</v>
      </c>
      <c r="D109" s="254" t="s">
        <v>511</v>
      </c>
      <c r="E109" s="255"/>
      <c r="F109" s="255"/>
      <c r="G109" s="255"/>
      <c r="H109" s="255"/>
      <c r="I109" s="255"/>
      <c r="J109" s="255"/>
      <c r="K109" s="255"/>
      <c r="L109" s="255"/>
      <c r="M109" s="255">
        <f t="shared" si="2"/>
        <v>0</v>
      </c>
      <c r="N109" s="256"/>
      <c r="O109" s="532">
        <f t="shared" si="3"/>
        <v>0</v>
      </c>
      <c r="P109" s="257"/>
      <c r="Q109" s="9"/>
      <c r="R109" s="9"/>
    </row>
    <row r="110" spans="1:18">
      <c r="A110" s="260">
        <v>2006</v>
      </c>
      <c r="B110" s="252">
        <v>42101</v>
      </c>
      <c r="C110" s="253" t="s">
        <v>248</v>
      </c>
      <c r="D110" s="254" t="s">
        <v>511</v>
      </c>
      <c r="E110" s="255"/>
      <c r="F110" s="255"/>
      <c r="G110" s="255"/>
      <c r="H110" s="255"/>
      <c r="I110" s="255"/>
      <c r="J110" s="255"/>
      <c r="K110" s="255"/>
      <c r="L110" s="255"/>
      <c r="M110" s="255">
        <f t="shared" si="2"/>
        <v>0</v>
      </c>
      <c r="N110" s="256"/>
      <c r="O110" s="532">
        <f t="shared" si="3"/>
        <v>0</v>
      </c>
      <c r="P110" s="257"/>
      <c r="Q110" s="9"/>
      <c r="R110" s="9"/>
    </row>
    <row r="111" spans="1:18">
      <c r="A111" s="260">
        <v>1005</v>
      </c>
      <c r="B111" s="252">
        <v>423</v>
      </c>
      <c r="C111" s="253" t="s">
        <v>249</v>
      </c>
      <c r="D111" s="254" t="s">
        <v>511</v>
      </c>
      <c r="E111" s="255"/>
      <c r="F111" s="255"/>
      <c r="G111" s="255"/>
      <c r="H111" s="255"/>
      <c r="I111" s="255"/>
      <c r="J111" s="255"/>
      <c r="K111" s="255"/>
      <c r="L111" s="255"/>
      <c r="M111" s="255">
        <f t="shared" si="2"/>
        <v>0</v>
      </c>
      <c r="N111" s="256"/>
      <c r="O111" s="532">
        <f t="shared" si="3"/>
        <v>0</v>
      </c>
      <c r="P111" s="257"/>
      <c r="Q111" s="9"/>
      <c r="R111" s="9"/>
    </row>
    <row r="112" spans="1:18">
      <c r="A112" s="260">
        <v>1005</v>
      </c>
      <c r="B112" s="252">
        <v>4230</v>
      </c>
      <c r="C112" s="253" t="s">
        <v>525</v>
      </c>
      <c r="D112" s="254" t="s">
        <v>511</v>
      </c>
      <c r="E112" s="255"/>
      <c r="F112" s="255"/>
      <c r="G112" s="255"/>
      <c r="H112" s="255"/>
      <c r="I112" s="255"/>
      <c r="J112" s="255"/>
      <c r="K112" s="255"/>
      <c r="L112" s="255"/>
      <c r="M112" s="255">
        <f t="shared" si="2"/>
        <v>0</v>
      </c>
      <c r="N112" s="256"/>
      <c r="O112" s="532">
        <f t="shared" si="3"/>
        <v>0</v>
      </c>
      <c r="P112" s="257"/>
      <c r="Q112" s="9"/>
      <c r="R112" s="9"/>
    </row>
    <row r="113" spans="1:18">
      <c r="A113" s="260">
        <v>1005</v>
      </c>
      <c r="B113" s="252">
        <v>4231</v>
      </c>
      <c r="C113" s="253" t="s">
        <v>526</v>
      </c>
      <c r="D113" s="254" t="s">
        <v>511</v>
      </c>
      <c r="E113" s="255"/>
      <c r="F113" s="255"/>
      <c r="G113" s="255"/>
      <c r="H113" s="255"/>
      <c r="I113" s="255"/>
      <c r="J113" s="255"/>
      <c r="K113" s="255"/>
      <c r="L113" s="255"/>
      <c r="M113" s="255">
        <f t="shared" si="2"/>
        <v>0</v>
      </c>
      <c r="N113" s="256"/>
      <c r="O113" s="532">
        <f t="shared" si="3"/>
        <v>0</v>
      </c>
      <c r="P113" s="257"/>
      <c r="Q113" s="9"/>
      <c r="R113" s="9"/>
    </row>
    <row r="114" spans="1:18">
      <c r="A114" s="260">
        <v>2007</v>
      </c>
      <c r="B114" s="252">
        <v>43101</v>
      </c>
      <c r="C114" s="253" t="s">
        <v>250</v>
      </c>
      <c r="D114" s="254" t="s">
        <v>511</v>
      </c>
      <c r="E114" s="255"/>
      <c r="F114" s="255"/>
      <c r="G114" s="255"/>
      <c r="H114" s="255"/>
      <c r="I114" s="255"/>
      <c r="J114" s="255"/>
      <c r="K114" s="255"/>
      <c r="L114" s="255"/>
      <c r="M114" s="255">
        <f t="shared" si="2"/>
        <v>0</v>
      </c>
      <c r="N114" s="256"/>
      <c r="O114" s="532">
        <f t="shared" si="3"/>
        <v>0</v>
      </c>
      <c r="P114" s="257"/>
      <c r="Q114" s="9"/>
      <c r="R114" s="9"/>
    </row>
    <row r="115" spans="1:18">
      <c r="A115" s="260">
        <v>2007</v>
      </c>
      <c r="B115" s="252">
        <v>44201</v>
      </c>
      <c r="C115" s="253" t="s">
        <v>251</v>
      </c>
      <c r="D115" s="254" t="s">
        <v>511</v>
      </c>
      <c r="E115" s="255"/>
      <c r="F115" s="255"/>
      <c r="G115" s="255"/>
      <c r="H115" s="255"/>
      <c r="I115" s="255"/>
      <c r="J115" s="255"/>
      <c r="K115" s="255"/>
      <c r="L115" s="255"/>
      <c r="M115" s="255">
        <f t="shared" si="2"/>
        <v>0</v>
      </c>
      <c r="N115" s="256"/>
      <c r="O115" s="532">
        <f t="shared" si="3"/>
        <v>0</v>
      </c>
      <c r="P115" s="257"/>
      <c r="Q115" s="9"/>
      <c r="R115" s="9"/>
    </row>
    <row r="116" spans="1:18">
      <c r="A116" s="260">
        <v>2007</v>
      </c>
      <c r="B116" s="252">
        <v>4421</v>
      </c>
      <c r="C116" s="253" t="s">
        <v>41</v>
      </c>
      <c r="D116" s="254" t="s">
        <v>511</v>
      </c>
      <c r="E116" s="255"/>
      <c r="F116" s="255"/>
      <c r="G116" s="255"/>
      <c r="H116" s="255"/>
      <c r="I116" s="255"/>
      <c r="J116" s="255"/>
      <c r="K116" s="255"/>
      <c r="L116" s="255"/>
      <c r="M116" s="255">
        <f t="shared" si="2"/>
        <v>0</v>
      </c>
      <c r="N116" s="256"/>
      <c r="O116" s="532">
        <f t="shared" si="3"/>
        <v>0</v>
      </c>
      <c r="P116" s="257"/>
      <c r="Q116" s="9"/>
      <c r="R116" s="9"/>
    </row>
    <row r="117" spans="1:18">
      <c r="A117" s="260">
        <v>2007</v>
      </c>
      <c r="B117" s="252">
        <v>441</v>
      </c>
      <c r="C117" s="253" t="s">
        <v>527</v>
      </c>
      <c r="D117" s="254" t="s">
        <v>511</v>
      </c>
      <c r="E117" s="255"/>
      <c r="F117" s="255"/>
      <c r="G117" s="255"/>
      <c r="H117" s="255"/>
      <c r="I117" s="255"/>
      <c r="J117" s="255"/>
      <c r="K117" s="255"/>
      <c r="L117" s="255"/>
      <c r="M117" s="255">
        <f t="shared" si="2"/>
        <v>0</v>
      </c>
      <c r="N117" s="256"/>
      <c r="O117" s="532">
        <f t="shared" si="3"/>
        <v>0</v>
      </c>
      <c r="P117" s="257"/>
      <c r="Q117" s="9"/>
      <c r="R117" s="9"/>
    </row>
    <row r="118" spans="1:18">
      <c r="A118" s="260">
        <v>1005</v>
      </c>
      <c r="B118" s="252">
        <v>444</v>
      </c>
      <c r="C118" s="253" t="s">
        <v>252</v>
      </c>
      <c r="D118" s="254" t="s">
        <v>511</v>
      </c>
      <c r="E118" s="255"/>
      <c r="F118" s="255"/>
      <c r="G118" s="255"/>
      <c r="H118" s="255"/>
      <c r="I118" s="255"/>
      <c r="J118" s="255"/>
      <c r="K118" s="255"/>
      <c r="L118" s="255"/>
      <c r="M118" s="255">
        <f t="shared" si="2"/>
        <v>0</v>
      </c>
      <c r="N118" s="256"/>
      <c r="O118" s="532">
        <f t="shared" si="3"/>
        <v>0</v>
      </c>
      <c r="P118" s="257"/>
      <c r="Q118" s="9"/>
      <c r="R118" s="9"/>
    </row>
    <row r="119" spans="1:18">
      <c r="A119" s="260">
        <v>1005</v>
      </c>
      <c r="B119" s="252">
        <v>4443</v>
      </c>
      <c r="C119" s="253" t="s">
        <v>253</v>
      </c>
      <c r="D119" s="254" t="s">
        <v>511</v>
      </c>
      <c r="E119" s="255"/>
      <c r="F119" s="255"/>
      <c r="G119" s="255"/>
      <c r="H119" s="255"/>
      <c r="I119" s="255"/>
      <c r="J119" s="255"/>
      <c r="K119" s="255"/>
      <c r="L119" s="255"/>
      <c r="M119" s="255">
        <f t="shared" si="2"/>
        <v>0</v>
      </c>
      <c r="N119" s="256"/>
      <c r="O119" s="532">
        <f t="shared" si="3"/>
        <v>0</v>
      </c>
      <c r="P119" s="257"/>
      <c r="Q119" s="9"/>
      <c r="R119" s="9"/>
    </row>
    <row r="120" spans="1:18">
      <c r="A120" s="260">
        <v>1005</v>
      </c>
      <c r="B120" s="252">
        <v>4444</v>
      </c>
      <c r="C120" s="253" t="s">
        <v>254</v>
      </c>
      <c r="D120" s="254" t="s">
        <v>511</v>
      </c>
      <c r="E120" s="255"/>
      <c r="F120" s="255"/>
      <c r="G120" s="255"/>
      <c r="H120" s="255"/>
      <c r="I120" s="255"/>
      <c r="J120" s="255"/>
      <c r="K120" s="255"/>
      <c r="L120" s="255"/>
      <c r="M120" s="255">
        <f t="shared" si="2"/>
        <v>0</v>
      </c>
      <c r="N120" s="256"/>
      <c r="O120" s="532">
        <f t="shared" si="3"/>
        <v>0</v>
      </c>
      <c r="P120" s="257"/>
      <c r="Q120" s="9"/>
      <c r="R120" s="9"/>
    </row>
    <row r="121" spans="1:18">
      <c r="A121" s="260">
        <v>1005</v>
      </c>
      <c r="B121" s="252">
        <v>4445</v>
      </c>
      <c r="C121" s="253" t="s">
        <v>528</v>
      </c>
      <c r="D121" s="254" t="s">
        <v>511</v>
      </c>
      <c r="E121" s="255"/>
      <c r="F121" s="255"/>
      <c r="G121" s="255"/>
      <c r="H121" s="255"/>
      <c r="I121" s="255"/>
      <c r="J121" s="255"/>
      <c r="K121" s="255"/>
      <c r="L121" s="255"/>
      <c r="M121" s="255">
        <f t="shared" si="2"/>
        <v>0</v>
      </c>
      <c r="N121" s="256"/>
      <c r="O121" s="532">
        <f t="shared" si="3"/>
        <v>0</v>
      </c>
      <c r="P121" s="257"/>
      <c r="Q121" s="9"/>
      <c r="R121" s="9"/>
    </row>
    <row r="122" spans="1:18">
      <c r="A122" s="260">
        <v>2007</v>
      </c>
      <c r="B122" s="252">
        <v>4454</v>
      </c>
      <c r="C122" s="253" t="s">
        <v>255</v>
      </c>
      <c r="D122" s="254" t="s">
        <v>511</v>
      </c>
      <c r="E122" s="255"/>
      <c r="F122" s="255"/>
      <c r="G122" s="255"/>
      <c r="H122" s="255"/>
      <c r="I122" s="255"/>
      <c r="J122" s="255"/>
      <c r="K122" s="255"/>
      <c r="L122" s="255"/>
      <c r="M122" s="255">
        <f t="shared" si="2"/>
        <v>0</v>
      </c>
      <c r="N122" s="256"/>
      <c r="O122" s="532">
        <f t="shared" si="3"/>
        <v>0</v>
      </c>
      <c r="P122" s="257"/>
      <c r="Q122" s="9"/>
      <c r="R122" s="9"/>
    </row>
    <row r="123" spans="1:18">
      <c r="A123" s="260">
        <v>2007</v>
      </c>
      <c r="B123" s="252">
        <v>4456</v>
      </c>
      <c r="C123" s="253" t="s">
        <v>256</v>
      </c>
      <c r="D123" s="254" t="s">
        <v>511</v>
      </c>
      <c r="E123" s="255"/>
      <c r="F123" s="255"/>
      <c r="G123" s="255"/>
      <c r="H123" s="255"/>
      <c r="I123" s="255"/>
      <c r="J123" s="255"/>
      <c r="K123" s="255"/>
      <c r="L123" s="255"/>
      <c r="M123" s="255">
        <f t="shared" si="2"/>
        <v>0</v>
      </c>
      <c r="N123" s="256"/>
      <c r="O123" s="532">
        <f t="shared" si="3"/>
        <v>0</v>
      </c>
      <c r="P123" s="257"/>
      <c r="Q123" s="9"/>
      <c r="R123" s="9"/>
    </row>
    <row r="124" spans="1:18">
      <c r="A124" s="260">
        <v>2007</v>
      </c>
      <c r="B124" s="252">
        <v>44560</v>
      </c>
      <c r="C124" s="253" t="s">
        <v>529</v>
      </c>
      <c r="D124" s="254" t="s">
        <v>511</v>
      </c>
      <c r="E124" s="255"/>
      <c r="F124" s="255"/>
      <c r="G124" s="255"/>
      <c r="H124" s="255"/>
      <c r="I124" s="255"/>
      <c r="J124" s="255"/>
      <c r="K124" s="255"/>
      <c r="L124" s="255"/>
      <c r="M124" s="255">
        <f t="shared" si="2"/>
        <v>0</v>
      </c>
      <c r="N124" s="256"/>
      <c r="O124" s="532">
        <f t="shared" si="3"/>
        <v>0</v>
      </c>
      <c r="P124" s="257"/>
      <c r="Q124" s="9"/>
      <c r="R124" s="9"/>
    </row>
    <row r="125" spans="1:18">
      <c r="A125" s="260">
        <v>2007</v>
      </c>
      <c r="B125" s="252">
        <v>4457</v>
      </c>
      <c r="C125" s="253" t="s">
        <v>257</v>
      </c>
      <c r="D125" s="254" t="s">
        <v>511</v>
      </c>
      <c r="E125" s="255"/>
      <c r="F125" s="255"/>
      <c r="G125" s="255"/>
      <c r="H125" s="255"/>
      <c r="I125" s="255"/>
      <c r="J125" s="255"/>
      <c r="K125" s="255"/>
      <c r="L125" s="255"/>
      <c r="M125" s="255">
        <f t="shared" si="2"/>
        <v>0</v>
      </c>
      <c r="N125" s="256"/>
      <c r="O125" s="532">
        <f t="shared" si="3"/>
        <v>0</v>
      </c>
      <c r="P125" s="257"/>
      <c r="Q125" s="9"/>
      <c r="R125" s="9"/>
    </row>
    <row r="126" spans="1:18">
      <c r="A126" s="260">
        <v>2007</v>
      </c>
      <c r="B126" s="252">
        <v>4458</v>
      </c>
      <c r="C126" s="253" t="s">
        <v>258</v>
      </c>
      <c r="D126" s="254" t="s">
        <v>511</v>
      </c>
      <c r="E126" s="255"/>
      <c r="F126" s="255"/>
      <c r="G126" s="255"/>
      <c r="H126" s="255"/>
      <c r="I126" s="255"/>
      <c r="J126" s="255"/>
      <c r="K126" s="255"/>
      <c r="L126" s="255"/>
      <c r="M126" s="255">
        <f t="shared" si="2"/>
        <v>0</v>
      </c>
      <c r="N126" s="256"/>
      <c r="O126" s="532">
        <f t="shared" si="3"/>
        <v>0</v>
      </c>
      <c r="P126" s="257"/>
      <c r="Q126" s="9"/>
      <c r="R126" s="9"/>
    </row>
    <row r="127" spans="1:18">
      <c r="A127" s="260">
        <v>2007</v>
      </c>
      <c r="B127" s="252">
        <v>4453</v>
      </c>
      <c r="C127" s="253" t="s">
        <v>259</v>
      </c>
      <c r="D127" s="254" t="s">
        <v>511</v>
      </c>
      <c r="E127" s="255"/>
      <c r="F127" s="255"/>
      <c r="G127" s="255"/>
      <c r="H127" s="255"/>
      <c r="I127" s="255"/>
      <c r="J127" s="255"/>
      <c r="K127" s="255"/>
      <c r="L127" s="255"/>
      <c r="M127" s="255">
        <f t="shared" si="2"/>
        <v>0</v>
      </c>
      <c r="N127" s="256"/>
      <c r="O127" s="532">
        <f t="shared" si="3"/>
        <v>0</v>
      </c>
      <c r="P127" s="257"/>
      <c r="Q127" s="9"/>
      <c r="R127" s="9"/>
    </row>
    <row r="128" spans="1:18">
      <c r="A128" s="260">
        <v>2007</v>
      </c>
      <c r="B128" s="252">
        <v>447</v>
      </c>
      <c r="C128" s="253" t="s">
        <v>260</v>
      </c>
      <c r="D128" s="254" t="s">
        <v>511</v>
      </c>
      <c r="E128" s="255"/>
      <c r="F128" s="255"/>
      <c r="G128" s="255"/>
      <c r="H128" s="255"/>
      <c r="I128" s="255"/>
      <c r="J128" s="255"/>
      <c r="K128" s="255"/>
      <c r="L128" s="255"/>
      <c r="M128" s="255">
        <f t="shared" si="2"/>
        <v>0</v>
      </c>
      <c r="N128" s="256"/>
      <c r="O128" s="532">
        <f t="shared" si="3"/>
        <v>0</v>
      </c>
      <c r="P128" s="257"/>
      <c r="Q128" s="9"/>
      <c r="R128" s="9"/>
    </row>
    <row r="129" spans="1:18">
      <c r="A129" s="260">
        <v>2007</v>
      </c>
      <c r="B129" s="252">
        <v>456</v>
      </c>
      <c r="C129" s="253" t="s">
        <v>261</v>
      </c>
      <c r="D129" s="254" t="s">
        <v>511</v>
      </c>
      <c r="E129" s="255"/>
      <c r="F129" s="255"/>
      <c r="G129" s="255"/>
      <c r="H129" s="255"/>
      <c r="I129" s="255"/>
      <c r="J129" s="255"/>
      <c r="K129" s="255"/>
      <c r="L129" s="255"/>
      <c r="M129" s="255">
        <f t="shared" si="2"/>
        <v>0</v>
      </c>
      <c r="N129" s="256"/>
      <c r="O129" s="532">
        <f t="shared" si="3"/>
        <v>0</v>
      </c>
      <c r="P129" s="257"/>
      <c r="Q129" s="9"/>
      <c r="R129" s="9"/>
    </row>
    <row r="130" spans="1:18">
      <c r="A130" s="260">
        <v>2023</v>
      </c>
      <c r="B130" s="252">
        <v>45601</v>
      </c>
      <c r="C130" s="253" t="s">
        <v>262</v>
      </c>
      <c r="D130" s="254" t="s">
        <v>511</v>
      </c>
      <c r="E130" s="255"/>
      <c r="F130" s="255"/>
      <c r="G130" s="255"/>
      <c r="H130" s="255"/>
      <c r="I130" s="255"/>
      <c r="J130" s="255"/>
      <c r="K130" s="255"/>
      <c r="L130" s="255"/>
      <c r="M130" s="255">
        <f t="shared" si="2"/>
        <v>0</v>
      </c>
      <c r="N130" s="256"/>
      <c r="O130" s="532">
        <f t="shared" si="3"/>
        <v>0</v>
      </c>
      <c r="P130" s="257"/>
      <c r="Q130" s="9"/>
      <c r="R130" s="9"/>
    </row>
    <row r="131" spans="1:18">
      <c r="A131" s="260">
        <v>2023</v>
      </c>
      <c r="B131" s="252">
        <v>4561</v>
      </c>
      <c r="C131" s="253" t="s">
        <v>263</v>
      </c>
      <c r="D131" s="254" t="s">
        <v>512</v>
      </c>
      <c r="E131" s="255"/>
      <c r="F131" s="255"/>
      <c r="G131" s="255"/>
      <c r="H131" s="255"/>
      <c r="I131" s="255"/>
      <c r="J131" s="255"/>
      <c r="K131" s="255"/>
      <c r="L131" s="255"/>
      <c r="M131" s="255">
        <f t="shared" si="2"/>
        <v>0</v>
      </c>
      <c r="N131" s="256"/>
      <c r="O131" s="532">
        <f t="shared" si="3"/>
        <v>0</v>
      </c>
      <c r="P131" s="257"/>
      <c r="Q131" s="9"/>
      <c r="R131" s="9"/>
    </row>
    <row r="132" spans="1:18">
      <c r="A132" s="260">
        <v>2023</v>
      </c>
      <c r="B132" s="252">
        <v>4562</v>
      </c>
      <c r="C132" s="253" t="s">
        <v>264</v>
      </c>
      <c r="D132" s="254" t="s">
        <v>513</v>
      </c>
      <c r="E132" s="255"/>
      <c r="F132" s="255"/>
      <c r="G132" s="255"/>
      <c r="H132" s="255"/>
      <c r="I132" s="255"/>
      <c r="J132" s="255"/>
      <c r="K132" s="255"/>
      <c r="L132" s="255"/>
      <c r="M132" s="255">
        <f t="shared" si="2"/>
        <v>0</v>
      </c>
      <c r="N132" s="256"/>
      <c r="O132" s="532">
        <f t="shared" si="3"/>
        <v>0</v>
      </c>
      <c r="P132" s="257"/>
      <c r="Q132" s="9"/>
      <c r="R132" s="9"/>
    </row>
    <row r="133" spans="1:18">
      <c r="A133" s="260">
        <v>2023</v>
      </c>
      <c r="B133" s="252">
        <v>4568</v>
      </c>
      <c r="C133" s="253" t="s">
        <v>530</v>
      </c>
      <c r="D133" s="254" t="s">
        <v>512</v>
      </c>
      <c r="E133" s="255"/>
      <c r="F133" s="255"/>
      <c r="G133" s="255"/>
      <c r="H133" s="255"/>
      <c r="I133" s="255"/>
      <c r="J133" s="255"/>
      <c r="K133" s="255"/>
      <c r="L133" s="255"/>
      <c r="M133" s="255">
        <f t="shared" si="2"/>
        <v>0</v>
      </c>
      <c r="N133" s="256"/>
      <c r="O133" s="532">
        <f t="shared" si="3"/>
        <v>0</v>
      </c>
      <c r="P133" s="257"/>
      <c r="Q133" s="9"/>
      <c r="R133" s="9"/>
    </row>
    <row r="134" spans="1:18">
      <c r="A134" s="260">
        <v>1005</v>
      </c>
      <c r="B134" s="252">
        <v>467</v>
      </c>
      <c r="C134" s="253" t="s">
        <v>265</v>
      </c>
      <c r="D134" s="254" t="s">
        <v>511</v>
      </c>
      <c r="E134" s="255"/>
      <c r="F134" s="255"/>
      <c r="G134" s="255"/>
      <c r="H134" s="255"/>
      <c r="I134" s="543">
        <f>427.05*139.59</f>
        <v>59611.909500000002</v>
      </c>
      <c r="J134" s="255"/>
      <c r="K134" s="255"/>
      <c r="L134" s="255"/>
      <c r="M134" s="255">
        <f t="shared" ref="M134:M197" si="4">(+I134-J134)+K134-L134</f>
        <v>59611.909500000002</v>
      </c>
      <c r="N134" s="256">
        <v>2022</v>
      </c>
      <c r="O134" s="532">
        <f t="shared" si="3"/>
        <v>427.05</v>
      </c>
      <c r="P134" s="257"/>
      <c r="Q134" s="9"/>
      <c r="R134" s="9"/>
    </row>
    <row r="135" spans="1:18">
      <c r="A135" s="260">
        <v>1005</v>
      </c>
      <c r="B135" s="252">
        <v>4670</v>
      </c>
      <c r="C135" s="253" t="s">
        <v>266</v>
      </c>
      <c r="D135" s="254" t="s">
        <v>511</v>
      </c>
      <c r="E135" s="255"/>
      <c r="F135" s="255"/>
      <c r="G135" s="255"/>
      <c r="H135" s="255"/>
      <c r="I135" s="255"/>
      <c r="J135" s="255"/>
      <c r="K135" s="255"/>
      <c r="L135" s="255"/>
      <c r="M135" s="255">
        <f t="shared" si="4"/>
        <v>0</v>
      </c>
      <c r="N135" s="256"/>
      <c r="O135" s="532">
        <f t="shared" si="3"/>
        <v>0</v>
      </c>
      <c r="P135" s="257"/>
      <c r="Q135" s="9"/>
      <c r="R135" s="9"/>
    </row>
    <row r="136" spans="1:18">
      <c r="A136" s="260">
        <v>1005</v>
      </c>
      <c r="B136" s="252">
        <v>46700</v>
      </c>
      <c r="C136" s="253" t="s">
        <v>531</v>
      </c>
      <c r="D136" s="254" t="s">
        <v>511</v>
      </c>
      <c r="E136" s="255"/>
      <c r="F136" s="255"/>
      <c r="G136" s="255"/>
      <c r="H136" s="255"/>
      <c r="I136" s="255"/>
      <c r="J136" s="255"/>
      <c r="K136" s="255"/>
      <c r="L136" s="255"/>
      <c r="M136" s="255">
        <f t="shared" si="4"/>
        <v>0</v>
      </c>
      <c r="N136" s="256"/>
      <c r="O136" s="532">
        <f t="shared" si="3"/>
        <v>0</v>
      </c>
      <c r="P136" s="257"/>
      <c r="Q136" s="9"/>
      <c r="R136" s="9"/>
    </row>
    <row r="137" spans="1:18">
      <c r="A137" s="260">
        <v>1005</v>
      </c>
      <c r="B137" s="252">
        <v>46701</v>
      </c>
      <c r="C137" s="253" t="s">
        <v>533</v>
      </c>
      <c r="D137" s="254" t="s">
        <v>511</v>
      </c>
      <c r="E137" s="255"/>
      <c r="F137" s="255"/>
      <c r="G137" s="255"/>
      <c r="H137" s="255"/>
      <c r="I137" s="255"/>
      <c r="J137" s="255"/>
      <c r="K137" s="255"/>
      <c r="L137" s="255"/>
      <c r="M137" s="255">
        <f t="shared" si="4"/>
        <v>0</v>
      </c>
      <c r="N137" s="256"/>
      <c r="O137" s="532">
        <f t="shared" si="3"/>
        <v>0</v>
      </c>
      <c r="P137" s="257"/>
      <c r="Q137" s="9"/>
      <c r="R137" s="9"/>
    </row>
    <row r="138" spans="1:18">
      <c r="A138" s="260">
        <v>1005</v>
      </c>
      <c r="B138" s="252">
        <v>46703</v>
      </c>
      <c r="C138" s="253" t="s">
        <v>267</v>
      </c>
      <c r="D138" s="254" t="s">
        <v>511</v>
      </c>
      <c r="E138" s="255"/>
      <c r="F138" s="255"/>
      <c r="G138" s="255"/>
      <c r="H138" s="255"/>
      <c r="I138" s="255"/>
      <c r="J138" s="255"/>
      <c r="K138" s="255"/>
      <c r="L138" s="255"/>
      <c r="M138" s="255">
        <f t="shared" si="4"/>
        <v>0</v>
      </c>
      <c r="N138" s="256"/>
      <c r="O138" s="532">
        <f t="shared" si="3"/>
        <v>0</v>
      </c>
      <c r="P138" s="257"/>
      <c r="Q138" s="9"/>
      <c r="R138" s="9"/>
    </row>
    <row r="139" spans="1:18">
      <c r="A139" s="260">
        <v>1005</v>
      </c>
      <c r="B139" s="252">
        <v>467002</v>
      </c>
      <c r="C139" s="253" t="s">
        <v>268</v>
      </c>
      <c r="D139" s="254" t="s">
        <v>512</v>
      </c>
      <c r="E139" s="255"/>
      <c r="F139" s="255"/>
      <c r="G139" s="255"/>
      <c r="H139" s="255"/>
      <c r="I139" s="255"/>
      <c r="J139" s="255"/>
      <c r="K139" s="255"/>
      <c r="L139" s="255"/>
      <c r="M139" s="255">
        <f t="shared" si="4"/>
        <v>0</v>
      </c>
      <c r="N139" s="256"/>
      <c r="O139" s="532">
        <f t="shared" si="3"/>
        <v>0</v>
      </c>
      <c r="P139" s="257"/>
      <c r="Q139" s="9"/>
      <c r="R139" s="9"/>
    </row>
    <row r="140" spans="1:18">
      <c r="A140" s="260">
        <v>2044</v>
      </c>
      <c r="B140" s="252">
        <v>4670020</v>
      </c>
      <c r="C140" s="253" t="s">
        <v>269</v>
      </c>
      <c r="D140" s="254" t="s">
        <v>512</v>
      </c>
      <c r="E140" s="255"/>
      <c r="F140" s="255"/>
      <c r="G140" s="255"/>
      <c r="H140" s="255"/>
      <c r="I140" s="255"/>
      <c r="J140" s="540">
        <f>(9345.87+72635)*139.59</f>
        <v>11443709.643299999</v>
      </c>
      <c r="K140" s="255"/>
      <c r="L140" s="255"/>
      <c r="M140" s="255">
        <f>(+I140-J140)+K140-L140</f>
        <v>-11443709.643299999</v>
      </c>
      <c r="N140" s="256"/>
      <c r="O140" s="532">
        <f t="shared" si="3"/>
        <v>-81980.87</v>
      </c>
      <c r="P140" s="257"/>
      <c r="Q140" s="9"/>
      <c r="R140" s="9"/>
    </row>
    <row r="141" spans="1:18">
      <c r="A141" s="260">
        <v>1005</v>
      </c>
      <c r="B141" s="252">
        <v>4670021</v>
      </c>
      <c r="C141" s="253" t="s">
        <v>532</v>
      </c>
      <c r="D141" s="254" t="s">
        <v>511</v>
      </c>
      <c r="E141" s="255"/>
      <c r="F141" s="255"/>
      <c r="G141" s="255"/>
      <c r="H141" s="255"/>
      <c r="I141" s="255"/>
      <c r="J141" s="255"/>
      <c r="K141" s="255"/>
      <c r="L141" s="255"/>
      <c r="M141" s="255">
        <f t="shared" si="4"/>
        <v>0</v>
      </c>
      <c r="N141" s="256"/>
      <c r="O141" s="532">
        <f t="shared" si="3"/>
        <v>0</v>
      </c>
      <c r="P141" s="257"/>
      <c r="Q141" s="9"/>
      <c r="R141" s="9"/>
    </row>
    <row r="142" spans="1:18">
      <c r="A142" s="260">
        <v>1005</v>
      </c>
      <c r="B142" s="252">
        <v>467003</v>
      </c>
      <c r="C142" s="253" t="s">
        <v>270</v>
      </c>
      <c r="D142" s="254" t="s">
        <v>511</v>
      </c>
      <c r="E142" s="255"/>
      <c r="F142" s="255"/>
      <c r="G142" s="255"/>
      <c r="H142" s="255"/>
      <c r="I142" s="255"/>
      <c r="J142" s="255"/>
      <c r="K142" s="255"/>
      <c r="L142" s="255"/>
      <c r="M142" s="255">
        <f t="shared" si="4"/>
        <v>0</v>
      </c>
      <c r="N142" s="256"/>
      <c r="O142" s="532">
        <f t="shared" si="3"/>
        <v>0</v>
      </c>
      <c r="P142" s="257"/>
      <c r="Q142" s="9"/>
      <c r="R142" s="9"/>
    </row>
    <row r="143" spans="1:18">
      <c r="A143" s="260">
        <v>1005</v>
      </c>
      <c r="B143" s="252">
        <v>467004</v>
      </c>
      <c r="C143" s="253" t="s">
        <v>271</v>
      </c>
      <c r="D143" s="254" t="s">
        <v>511</v>
      </c>
      <c r="E143" s="255"/>
      <c r="F143" s="255"/>
      <c r="G143" s="255"/>
      <c r="H143" s="255"/>
      <c r="I143" s="255"/>
      <c r="J143" s="255"/>
      <c r="K143" s="255"/>
      <c r="L143" s="255"/>
      <c r="M143" s="255">
        <f t="shared" si="4"/>
        <v>0</v>
      </c>
      <c r="N143" s="256"/>
      <c r="O143" s="532">
        <f t="shared" si="3"/>
        <v>0</v>
      </c>
      <c r="P143" s="257"/>
      <c r="Q143" s="9"/>
      <c r="R143" s="9"/>
    </row>
    <row r="144" spans="1:18">
      <c r="A144" s="260">
        <v>1005</v>
      </c>
      <c r="B144" s="252">
        <v>467005</v>
      </c>
      <c r="C144" s="253" t="s">
        <v>272</v>
      </c>
      <c r="D144" s="254" t="s">
        <v>511</v>
      </c>
      <c r="E144" s="255"/>
      <c r="F144" s="255"/>
      <c r="G144" s="255"/>
      <c r="H144" s="255"/>
      <c r="I144" s="255"/>
      <c r="J144" s="255"/>
      <c r="K144" s="255"/>
      <c r="L144" s="255"/>
      <c r="M144" s="255">
        <f t="shared" si="4"/>
        <v>0</v>
      </c>
      <c r="N144" s="256"/>
      <c r="O144" s="532">
        <f t="shared" si="3"/>
        <v>0</v>
      </c>
      <c r="P144" s="257"/>
      <c r="Q144" s="9"/>
      <c r="R144" s="9"/>
    </row>
    <row r="145" spans="1:18">
      <c r="A145" s="260">
        <v>1005</v>
      </c>
      <c r="B145" s="252">
        <v>467006</v>
      </c>
      <c r="C145" s="253" t="s">
        <v>273</v>
      </c>
      <c r="D145" s="254" t="s">
        <v>511</v>
      </c>
      <c r="E145" s="255"/>
      <c r="F145" s="255"/>
      <c r="G145" s="255"/>
      <c r="H145" s="255"/>
      <c r="I145" s="255"/>
      <c r="J145" s="255"/>
      <c r="K145" s="255"/>
      <c r="L145" s="255"/>
      <c r="M145" s="255">
        <f t="shared" si="4"/>
        <v>0</v>
      </c>
      <c r="N145" s="256"/>
      <c r="O145" s="532">
        <f t="shared" si="3"/>
        <v>0</v>
      </c>
      <c r="P145" s="257"/>
      <c r="Q145" s="9"/>
      <c r="R145" s="9"/>
    </row>
    <row r="146" spans="1:18">
      <c r="A146" s="260">
        <v>1005</v>
      </c>
      <c r="B146" s="252">
        <v>467007</v>
      </c>
      <c r="C146" s="253" t="s">
        <v>274</v>
      </c>
      <c r="D146" s="254" t="s">
        <v>511</v>
      </c>
      <c r="E146" s="255"/>
      <c r="F146" s="255"/>
      <c r="G146" s="255"/>
      <c r="H146" s="255"/>
      <c r="I146" s="255"/>
      <c r="J146" s="255"/>
      <c r="K146" s="255"/>
      <c r="L146" s="255"/>
      <c r="M146" s="255">
        <f t="shared" si="4"/>
        <v>0</v>
      </c>
      <c r="N146" s="256"/>
      <c r="O146" s="532">
        <f t="shared" si="3"/>
        <v>0</v>
      </c>
      <c r="P146" s="257"/>
      <c r="Q146" s="9"/>
      <c r="R146" s="9"/>
    </row>
    <row r="147" spans="1:18">
      <c r="A147" s="260">
        <v>1005</v>
      </c>
      <c r="B147" s="252">
        <v>467009</v>
      </c>
      <c r="C147" s="253" t="s">
        <v>275</v>
      </c>
      <c r="D147" s="254" t="s">
        <v>511</v>
      </c>
      <c r="E147" s="255"/>
      <c r="F147" s="255"/>
      <c r="G147" s="255"/>
      <c r="H147" s="255"/>
      <c r="I147" s="255"/>
      <c r="J147" s="255"/>
      <c r="K147" s="255"/>
      <c r="L147" s="255"/>
      <c r="M147" s="255">
        <f t="shared" si="4"/>
        <v>0</v>
      </c>
      <c r="N147" s="256"/>
      <c r="O147" s="532">
        <f t="shared" si="3"/>
        <v>0</v>
      </c>
      <c r="P147" s="257"/>
      <c r="Q147" s="9"/>
      <c r="R147" s="9"/>
    </row>
    <row r="148" spans="1:18">
      <c r="A148" s="260">
        <v>1005</v>
      </c>
      <c r="B148" s="252">
        <v>467010</v>
      </c>
      <c r="C148" s="253" t="s">
        <v>276</v>
      </c>
      <c r="D148" s="254" t="s">
        <v>511</v>
      </c>
      <c r="E148" s="255"/>
      <c r="F148" s="255"/>
      <c r="G148" s="255"/>
      <c r="H148" s="255"/>
      <c r="I148" s="255"/>
      <c r="J148" s="255"/>
      <c r="K148" s="255"/>
      <c r="L148" s="255"/>
      <c r="M148" s="255">
        <f t="shared" si="4"/>
        <v>0</v>
      </c>
      <c r="N148" s="256"/>
      <c r="O148" s="532">
        <f t="shared" si="3"/>
        <v>0</v>
      </c>
      <c r="P148" s="257"/>
      <c r="Q148" s="9"/>
      <c r="R148" s="9"/>
    </row>
    <row r="149" spans="1:18">
      <c r="A149" s="260">
        <v>2008</v>
      </c>
      <c r="B149" s="252">
        <v>467011</v>
      </c>
      <c r="C149" s="253" t="s">
        <v>277</v>
      </c>
      <c r="D149" s="254" t="s">
        <v>511</v>
      </c>
      <c r="E149" s="255"/>
      <c r="F149" s="255"/>
      <c r="G149" s="255"/>
      <c r="H149" s="255"/>
      <c r="I149" s="255"/>
      <c r="J149" s="255"/>
      <c r="K149" s="255"/>
      <c r="L149" s="255"/>
      <c r="M149" s="255">
        <f t="shared" si="4"/>
        <v>0</v>
      </c>
      <c r="N149" s="256"/>
      <c r="O149" s="532">
        <f t="shared" si="3"/>
        <v>0</v>
      </c>
      <c r="P149" s="257"/>
      <c r="Q149" s="9"/>
      <c r="R149" s="9"/>
    </row>
    <row r="150" spans="1:18">
      <c r="A150" s="260">
        <v>1005</v>
      </c>
      <c r="B150" s="252">
        <v>46704</v>
      </c>
      <c r="C150" s="253" t="s">
        <v>278</v>
      </c>
      <c r="D150" s="254" t="s">
        <v>511</v>
      </c>
      <c r="E150" s="255"/>
      <c r="F150" s="255"/>
      <c r="G150" s="255"/>
      <c r="H150" s="255"/>
      <c r="I150" s="255"/>
      <c r="J150" s="255"/>
      <c r="K150" s="255"/>
      <c r="L150" s="255"/>
      <c r="M150" s="255">
        <f t="shared" si="4"/>
        <v>0</v>
      </c>
      <c r="N150" s="256"/>
      <c r="O150" s="532">
        <f t="shared" si="3"/>
        <v>0</v>
      </c>
      <c r="P150" s="257"/>
      <c r="Q150" s="9"/>
      <c r="R150" s="9"/>
    </row>
    <row r="151" spans="1:18">
      <c r="A151" s="260">
        <v>1005</v>
      </c>
      <c r="B151" s="252">
        <v>46705</v>
      </c>
      <c r="C151" s="253" t="s">
        <v>279</v>
      </c>
      <c r="D151" s="254" t="s">
        <v>511</v>
      </c>
      <c r="E151" s="255"/>
      <c r="F151" s="255"/>
      <c r="G151" s="255"/>
      <c r="H151" s="255"/>
      <c r="I151" s="255"/>
      <c r="J151" s="255"/>
      <c r="K151" s="255"/>
      <c r="L151" s="255"/>
      <c r="M151" s="255">
        <f t="shared" si="4"/>
        <v>0</v>
      </c>
      <c r="N151" s="256"/>
      <c r="O151" s="532">
        <f t="shared" si="3"/>
        <v>0</v>
      </c>
      <c r="P151" s="257"/>
      <c r="Q151" s="9"/>
      <c r="R151" s="9"/>
    </row>
    <row r="152" spans="1:18">
      <c r="A152" s="260">
        <v>1005</v>
      </c>
      <c r="B152" s="252">
        <v>46706</v>
      </c>
      <c r="C152" s="253" t="s">
        <v>280</v>
      </c>
      <c r="D152" s="254" t="s">
        <v>511</v>
      </c>
      <c r="E152" s="255"/>
      <c r="F152" s="255"/>
      <c r="G152" s="255"/>
      <c r="H152" s="255"/>
      <c r="I152" s="255"/>
      <c r="J152" s="255"/>
      <c r="K152" s="255"/>
      <c r="L152" s="255"/>
      <c r="M152" s="255">
        <f t="shared" si="4"/>
        <v>0</v>
      </c>
      <c r="N152" s="256"/>
      <c r="O152" s="532">
        <f t="shared" si="3"/>
        <v>0</v>
      </c>
      <c r="P152" s="257"/>
      <c r="Q152" s="9"/>
      <c r="R152" s="9"/>
    </row>
    <row r="153" spans="1:18">
      <c r="A153" s="260">
        <v>1005</v>
      </c>
      <c r="B153" s="252">
        <v>46707</v>
      </c>
      <c r="C153" s="253" t="s">
        <v>281</v>
      </c>
      <c r="D153" s="254" t="s">
        <v>511</v>
      </c>
      <c r="E153" s="255"/>
      <c r="F153" s="255"/>
      <c r="G153" s="255"/>
      <c r="H153" s="255"/>
      <c r="I153" s="255"/>
      <c r="J153" s="255"/>
      <c r="K153" s="255"/>
      <c r="L153" s="255"/>
      <c r="M153" s="255">
        <f t="shared" si="4"/>
        <v>0</v>
      </c>
      <c r="N153" s="256"/>
      <c r="O153" s="532">
        <f t="shared" si="3"/>
        <v>0</v>
      </c>
      <c r="P153" s="257"/>
      <c r="Q153" s="9"/>
      <c r="R153" s="9"/>
    </row>
    <row r="154" spans="1:18">
      <c r="A154" s="260">
        <v>1005</v>
      </c>
      <c r="B154" s="252">
        <v>46708</v>
      </c>
      <c r="C154" s="253" t="s">
        <v>282</v>
      </c>
      <c r="D154" s="254" t="s">
        <v>511</v>
      </c>
      <c r="E154" s="255"/>
      <c r="F154" s="255"/>
      <c r="G154" s="255"/>
      <c r="H154" s="255"/>
      <c r="I154" s="255"/>
      <c r="J154" s="255"/>
      <c r="K154" s="255"/>
      <c r="L154" s="255"/>
      <c r="M154" s="255">
        <f t="shared" si="4"/>
        <v>0</v>
      </c>
      <c r="N154" s="256"/>
      <c r="O154" s="532">
        <f t="shared" si="3"/>
        <v>0</v>
      </c>
      <c r="P154" s="257"/>
      <c r="Q154" s="9"/>
      <c r="R154" s="9"/>
    </row>
    <row r="155" spans="1:18">
      <c r="A155" s="260">
        <v>1005</v>
      </c>
      <c r="B155" s="252">
        <v>46709</v>
      </c>
      <c r="C155" s="253" t="s">
        <v>283</v>
      </c>
      <c r="D155" s="254" t="s">
        <v>511</v>
      </c>
      <c r="E155" s="255"/>
      <c r="F155" s="255"/>
      <c r="G155" s="255"/>
      <c r="H155" s="255"/>
      <c r="I155" s="255"/>
      <c r="J155" s="255"/>
      <c r="K155" s="255"/>
      <c r="L155" s="255"/>
      <c r="M155" s="255">
        <f t="shared" si="4"/>
        <v>0</v>
      </c>
      <c r="N155" s="256"/>
      <c r="O155" s="532">
        <f t="shared" si="3"/>
        <v>0</v>
      </c>
      <c r="P155" s="257"/>
      <c r="Q155" s="9"/>
      <c r="R155" s="9"/>
    </row>
    <row r="156" spans="1:18">
      <c r="A156" s="260">
        <v>1005</v>
      </c>
      <c r="B156" s="252">
        <v>46711</v>
      </c>
      <c r="C156" s="253" t="s">
        <v>534</v>
      </c>
      <c r="D156" s="254" t="s">
        <v>512</v>
      </c>
      <c r="E156" s="255"/>
      <c r="F156" s="255"/>
      <c r="G156" s="255"/>
      <c r="H156" s="255"/>
      <c r="I156" s="255"/>
      <c r="J156" s="255"/>
      <c r="K156" s="255"/>
      <c r="L156" s="255"/>
      <c r="M156" s="255">
        <f t="shared" si="4"/>
        <v>0</v>
      </c>
      <c r="N156" s="256"/>
      <c r="O156" s="532">
        <f t="shared" si="3"/>
        <v>0</v>
      </c>
      <c r="P156" s="257"/>
      <c r="Q156" s="9"/>
      <c r="R156" s="9"/>
    </row>
    <row r="157" spans="1:18">
      <c r="A157" s="260">
        <v>1005</v>
      </c>
      <c r="B157" s="252">
        <v>46712</v>
      </c>
      <c r="C157" s="253" t="s">
        <v>535</v>
      </c>
      <c r="D157" s="254" t="s">
        <v>511</v>
      </c>
      <c r="E157" s="255"/>
      <c r="F157" s="255"/>
      <c r="G157" s="255"/>
      <c r="H157" s="255"/>
      <c r="I157" s="255"/>
      <c r="J157" s="255"/>
      <c r="K157" s="255"/>
      <c r="L157" s="255"/>
      <c r="M157" s="255">
        <f t="shared" si="4"/>
        <v>0</v>
      </c>
      <c r="N157" s="256"/>
      <c r="O157" s="532">
        <f t="shared" si="3"/>
        <v>0</v>
      </c>
      <c r="P157" s="257"/>
      <c r="Q157" s="9"/>
      <c r="R157" s="9"/>
    </row>
    <row r="158" spans="1:18">
      <c r="A158" s="260">
        <v>1005</v>
      </c>
      <c r="B158" s="252">
        <v>46713</v>
      </c>
      <c r="C158" s="253" t="s">
        <v>536</v>
      </c>
      <c r="D158" s="254" t="s">
        <v>511</v>
      </c>
      <c r="E158" s="255"/>
      <c r="F158" s="255"/>
      <c r="G158" s="255"/>
      <c r="H158" s="255"/>
      <c r="I158" s="255"/>
      <c r="J158" s="255"/>
      <c r="K158" s="255"/>
      <c r="L158" s="255"/>
      <c r="M158" s="255">
        <f t="shared" si="4"/>
        <v>0</v>
      </c>
      <c r="N158" s="256"/>
      <c r="O158" s="532">
        <f t="shared" si="3"/>
        <v>0</v>
      </c>
      <c r="P158" s="257"/>
      <c r="Q158" s="9"/>
      <c r="R158" s="9"/>
    </row>
    <row r="159" spans="1:18">
      <c r="A159" s="260">
        <v>1005</v>
      </c>
      <c r="B159" s="252">
        <v>46714</v>
      </c>
      <c r="C159" s="253" t="s">
        <v>537</v>
      </c>
      <c r="D159" s="254" t="s">
        <v>511</v>
      </c>
      <c r="E159" s="255"/>
      <c r="F159" s="255"/>
      <c r="G159" s="255"/>
      <c r="H159" s="255"/>
      <c r="I159" s="255"/>
      <c r="J159" s="255"/>
      <c r="K159" s="255"/>
      <c r="L159" s="255"/>
      <c r="M159" s="255">
        <f t="shared" si="4"/>
        <v>0</v>
      </c>
      <c r="N159" s="256"/>
      <c r="O159" s="532">
        <f t="shared" si="3"/>
        <v>0</v>
      </c>
      <c r="P159" s="257"/>
      <c r="Q159" s="9"/>
      <c r="R159" s="9"/>
    </row>
    <row r="160" spans="1:18">
      <c r="A160" s="260">
        <v>1005</v>
      </c>
      <c r="B160" s="252">
        <v>4672</v>
      </c>
      <c r="C160" s="253" t="s">
        <v>284</v>
      </c>
      <c r="D160" s="254" t="s">
        <v>512</v>
      </c>
      <c r="E160" s="255"/>
      <c r="F160" s="255"/>
      <c r="G160" s="255"/>
      <c r="H160" s="255"/>
      <c r="I160" s="255"/>
      <c r="J160" s="255"/>
      <c r="K160" s="255"/>
      <c r="L160" s="255"/>
      <c r="M160" s="255">
        <f t="shared" si="4"/>
        <v>0</v>
      </c>
      <c r="N160" s="256"/>
      <c r="O160" s="532">
        <f t="shared" si="3"/>
        <v>0</v>
      </c>
      <c r="P160" s="257"/>
      <c r="Q160" s="9"/>
      <c r="R160" s="9"/>
    </row>
    <row r="161" spans="1:18">
      <c r="A161" s="260">
        <v>1005</v>
      </c>
      <c r="B161" s="252">
        <v>46721</v>
      </c>
      <c r="C161" s="253" t="s">
        <v>285</v>
      </c>
      <c r="D161" s="254" t="s">
        <v>511</v>
      </c>
      <c r="E161" s="255"/>
      <c r="F161" s="255"/>
      <c r="G161" s="255"/>
      <c r="H161" s="255"/>
      <c r="I161" s="255"/>
      <c r="J161" s="255"/>
      <c r="K161" s="255"/>
      <c r="L161" s="255"/>
      <c r="M161" s="255">
        <f t="shared" si="4"/>
        <v>0</v>
      </c>
      <c r="N161" s="256"/>
      <c r="O161" s="532">
        <f t="shared" si="3"/>
        <v>0</v>
      </c>
      <c r="P161" s="257"/>
      <c r="Q161" s="9"/>
      <c r="R161" s="9"/>
    </row>
    <row r="162" spans="1:18">
      <c r="A162" s="260">
        <v>1005</v>
      </c>
      <c r="B162" s="252">
        <v>4673</v>
      </c>
      <c r="C162" s="253" t="s">
        <v>286</v>
      </c>
      <c r="D162" s="254" t="s">
        <v>512</v>
      </c>
      <c r="E162" s="255"/>
      <c r="F162" s="255"/>
      <c r="G162" s="255"/>
      <c r="H162" s="255"/>
      <c r="I162" s="255"/>
      <c r="J162" s="255"/>
      <c r="K162" s="255"/>
      <c r="L162" s="255"/>
      <c r="M162" s="255">
        <f t="shared" si="4"/>
        <v>0</v>
      </c>
      <c r="N162" s="256"/>
      <c r="O162" s="532">
        <f t="shared" si="3"/>
        <v>0</v>
      </c>
      <c r="P162" s="257"/>
      <c r="Q162" s="9"/>
      <c r="R162" s="9"/>
    </row>
    <row r="163" spans="1:18">
      <c r="A163" s="260">
        <v>1005</v>
      </c>
      <c r="B163" s="252">
        <v>46730</v>
      </c>
      <c r="C163" s="253" t="s">
        <v>287</v>
      </c>
      <c r="D163" s="254" t="s">
        <v>511</v>
      </c>
      <c r="E163" s="255"/>
      <c r="F163" s="255"/>
      <c r="G163" s="255"/>
      <c r="H163" s="255"/>
      <c r="I163" s="255"/>
      <c r="J163" s="255"/>
      <c r="K163" s="255"/>
      <c r="L163" s="255"/>
      <c r="M163" s="255">
        <f t="shared" si="4"/>
        <v>0</v>
      </c>
      <c r="N163" s="256"/>
      <c r="O163" s="532">
        <f t="shared" si="3"/>
        <v>0</v>
      </c>
      <c r="P163" s="257"/>
      <c r="Q163" s="9"/>
      <c r="R163" s="9"/>
    </row>
    <row r="164" spans="1:18">
      <c r="A164" s="260">
        <v>1005</v>
      </c>
      <c r="B164" s="252">
        <v>4675</v>
      </c>
      <c r="C164" s="253" t="s">
        <v>288</v>
      </c>
      <c r="D164" s="254" t="s">
        <v>512</v>
      </c>
      <c r="E164" s="255"/>
      <c r="F164" s="255"/>
      <c r="G164" s="255"/>
      <c r="H164" s="255"/>
      <c r="I164" s="255"/>
      <c r="J164" s="255"/>
      <c r="K164" s="255"/>
      <c r="L164" s="255"/>
      <c r="M164" s="255">
        <f t="shared" si="4"/>
        <v>0</v>
      </c>
      <c r="N164" s="256"/>
      <c r="O164" s="532">
        <f t="shared" si="3"/>
        <v>0</v>
      </c>
      <c r="P164" s="257"/>
      <c r="Q164" s="9"/>
      <c r="R164" s="9"/>
    </row>
    <row r="165" spans="1:18">
      <c r="A165" s="260">
        <v>1005</v>
      </c>
      <c r="B165" s="252">
        <v>4676</v>
      </c>
      <c r="C165" s="253" t="s">
        <v>289</v>
      </c>
      <c r="D165" s="254" t="s">
        <v>511</v>
      </c>
      <c r="E165" s="255"/>
      <c r="F165" s="255"/>
      <c r="G165" s="255"/>
      <c r="H165" s="255"/>
      <c r="I165" s="255"/>
      <c r="J165" s="255"/>
      <c r="K165" s="255"/>
      <c r="L165" s="255"/>
      <c r="M165" s="255">
        <f t="shared" si="4"/>
        <v>0</v>
      </c>
      <c r="N165" s="256"/>
      <c r="O165" s="532">
        <f t="shared" si="3"/>
        <v>0</v>
      </c>
      <c r="P165" s="257"/>
      <c r="Q165" s="9"/>
      <c r="R165" s="9"/>
    </row>
    <row r="166" spans="1:18">
      <c r="A166" s="260">
        <v>1005</v>
      </c>
      <c r="B166" s="252">
        <v>4677</v>
      </c>
      <c r="C166" s="253" t="s">
        <v>290</v>
      </c>
      <c r="D166" s="254" t="s">
        <v>511</v>
      </c>
      <c r="E166" s="255"/>
      <c r="F166" s="255"/>
      <c r="G166" s="255"/>
      <c r="H166" s="255"/>
      <c r="I166" s="255"/>
      <c r="J166" s="255"/>
      <c r="K166" s="255"/>
      <c r="L166" s="255"/>
      <c r="M166" s="255">
        <f t="shared" si="4"/>
        <v>0</v>
      </c>
      <c r="N166" s="256"/>
      <c r="O166" s="532">
        <f t="shared" si="3"/>
        <v>0</v>
      </c>
      <c r="P166" s="257"/>
      <c r="Q166" s="9"/>
      <c r="R166" s="9"/>
    </row>
    <row r="167" spans="1:18">
      <c r="A167" s="260">
        <v>1005</v>
      </c>
      <c r="B167" s="252">
        <v>4678</v>
      </c>
      <c r="C167" s="253" t="s">
        <v>291</v>
      </c>
      <c r="D167" s="254" t="s">
        <v>511</v>
      </c>
      <c r="E167" s="255"/>
      <c r="F167" s="255"/>
      <c r="G167" s="255"/>
      <c r="H167" s="255"/>
      <c r="I167" s="255"/>
      <c r="J167" s="255"/>
      <c r="K167" s="255"/>
      <c r="L167" s="255"/>
      <c r="M167" s="255">
        <f t="shared" si="4"/>
        <v>0</v>
      </c>
      <c r="N167" s="256"/>
      <c r="O167" s="532">
        <f t="shared" ref="O167:O230" si="5">M167/139.59</f>
        <v>0</v>
      </c>
      <c r="P167" s="257"/>
      <c r="Q167" s="9"/>
      <c r="R167" s="9"/>
    </row>
    <row r="168" spans="1:18">
      <c r="A168" s="260">
        <v>1005</v>
      </c>
      <c r="B168" s="252">
        <v>46799</v>
      </c>
      <c r="C168" s="253" t="s">
        <v>292</v>
      </c>
      <c r="D168" s="254" t="s">
        <v>512</v>
      </c>
      <c r="E168" s="255"/>
      <c r="F168" s="255"/>
      <c r="G168" s="255"/>
      <c r="H168" s="255"/>
      <c r="I168" s="255"/>
      <c r="J168" s="255"/>
      <c r="K168" s="255"/>
      <c r="L168" s="255"/>
      <c r="M168" s="255">
        <f t="shared" si="4"/>
        <v>0</v>
      </c>
      <c r="N168" s="256"/>
      <c r="O168" s="532">
        <f t="shared" si="5"/>
        <v>0</v>
      </c>
      <c r="P168" s="257"/>
      <c r="Q168" s="9"/>
      <c r="R168" s="9"/>
    </row>
    <row r="169" spans="1:18">
      <c r="A169" s="260">
        <v>1005</v>
      </c>
      <c r="B169" s="252">
        <v>4679</v>
      </c>
      <c r="C169" s="253" t="s">
        <v>293</v>
      </c>
      <c r="D169" s="254" t="s">
        <v>511</v>
      </c>
      <c r="E169" s="255"/>
      <c r="F169" s="255"/>
      <c r="G169" s="255"/>
      <c r="H169" s="255"/>
      <c r="I169" s="255"/>
      <c r="J169" s="255"/>
      <c r="K169" s="255"/>
      <c r="L169" s="255"/>
      <c r="M169" s="255">
        <f t="shared" si="4"/>
        <v>0</v>
      </c>
      <c r="N169" s="256"/>
      <c r="O169" s="532">
        <f t="shared" si="5"/>
        <v>0</v>
      </c>
      <c r="P169" s="257"/>
      <c r="Q169" s="9"/>
      <c r="R169" s="9"/>
    </row>
    <row r="170" spans="1:18">
      <c r="A170" s="260">
        <v>2021</v>
      </c>
      <c r="B170" s="252">
        <v>468120</v>
      </c>
      <c r="C170" s="253" t="s">
        <v>294</v>
      </c>
      <c r="D170" s="254" t="s">
        <v>512</v>
      </c>
      <c r="E170" s="255"/>
      <c r="F170" s="255"/>
      <c r="G170" s="255"/>
      <c r="H170" s="255"/>
      <c r="I170" s="255"/>
      <c r="J170" s="255"/>
      <c r="K170" s="255"/>
      <c r="L170" s="255"/>
      <c r="M170" s="255">
        <f t="shared" si="4"/>
        <v>0</v>
      </c>
      <c r="N170" s="256"/>
      <c r="O170" s="532">
        <f t="shared" si="5"/>
        <v>0</v>
      </c>
      <c r="P170" s="257"/>
      <c r="Q170" s="9"/>
      <c r="R170" s="9"/>
    </row>
    <row r="171" spans="1:18">
      <c r="A171" s="260">
        <v>2021</v>
      </c>
      <c r="B171" s="252">
        <v>468122</v>
      </c>
      <c r="C171" s="253" t="s">
        <v>295</v>
      </c>
      <c r="D171" s="254" t="s">
        <v>512</v>
      </c>
      <c r="E171" s="255"/>
      <c r="F171" s="255"/>
      <c r="G171" s="255"/>
      <c r="H171" s="255"/>
      <c r="I171" s="255"/>
      <c r="J171" s="255"/>
      <c r="K171" s="255"/>
      <c r="L171" s="255"/>
      <c r="M171" s="255">
        <f t="shared" si="4"/>
        <v>0</v>
      </c>
      <c r="N171" s="256"/>
      <c r="O171" s="532">
        <f t="shared" si="5"/>
        <v>0</v>
      </c>
      <c r="P171" s="257"/>
      <c r="Q171" s="9"/>
      <c r="R171" s="9"/>
    </row>
    <row r="172" spans="1:18">
      <c r="A172" s="260">
        <v>2021</v>
      </c>
      <c r="B172" s="252">
        <v>468123</v>
      </c>
      <c r="C172" s="253" t="s">
        <v>296</v>
      </c>
      <c r="D172" s="254" t="s">
        <v>511</v>
      </c>
      <c r="E172" s="255"/>
      <c r="F172" s="255"/>
      <c r="G172" s="255"/>
      <c r="H172" s="255"/>
      <c r="I172" s="255"/>
      <c r="J172" s="255"/>
      <c r="K172" s="255"/>
      <c r="L172" s="255"/>
      <c r="M172" s="255">
        <f t="shared" si="4"/>
        <v>0</v>
      </c>
      <c r="N172" s="256"/>
      <c r="O172" s="532">
        <f t="shared" si="5"/>
        <v>0</v>
      </c>
      <c r="P172" s="257"/>
      <c r="Q172" s="9"/>
      <c r="R172" s="9"/>
    </row>
    <row r="173" spans="1:18">
      <c r="A173" s="260">
        <v>2021</v>
      </c>
      <c r="B173" s="252">
        <v>468124</v>
      </c>
      <c r="C173" s="253" t="s">
        <v>297</v>
      </c>
      <c r="D173" s="254" t="s">
        <v>512</v>
      </c>
      <c r="E173" s="255"/>
      <c r="F173" s="255"/>
      <c r="G173" s="255"/>
      <c r="H173" s="255"/>
      <c r="I173" s="255"/>
      <c r="J173" s="255"/>
      <c r="K173" s="255"/>
      <c r="L173" s="255"/>
      <c r="M173" s="255">
        <f t="shared" si="4"/>
        <v>0</v>
      </c>
      <c r="N173" s="256"/>
      <c r="O173" s="532">
        <f t="shared" si="5"/>
        <v>0</v>
      </c>
      <c r="P173" s="257"/>
      <c r="Q173" s="9"/>
      <c r="R173" s="9"/>
    </row>
    <row r="174" spans="1:18">
      <c r="A174" s="260">
        <v>2021</v>
      </c>
      <c r="B174" s="252">
        <v>468125</v>
      </c>
      <c r="C174" s="253" t="s">
        <v>298</v>
      </c>
      <c r="D174" s="254" t="s">
        <v>512</v>
      </c>
      <c r="E174" s="255"/>
      <c r="F174" s="255"/>
      <c r="G174" s="255"/>
      <c r="H174" s="255"/>
      <c r="I174" s="255"/>
      <c r="J174" s="255"/>
      <c r="K174" s="255"/>
      <c r="L174" s="255"/>
      <c r="M174" s="255">
        <f t="shared" si="4"/>
        <v>0</v>
      </c>
      <c r="N174" s="256"/>
      <c r="O174" s="532">
        <f t="shared" si="5"/>
        <v>0</v>
      </c>
      <c r="P174" s="257"/>
      <c r="Q174" s="9"/>
      <c r="R174" s="9"/>
    </row>
    <row r="175" spans="1:18">
      <c r="A175" s="260">
        <v>2021</v>
      </c>
      <c r="B175" s="252">
        <v>468126</v>
      </c>
      <c r="C175" s="253" t="s">
        <v>299</v>
      </c>
      <c r="D175" s="254" t="s">
        <v>512</v>
      </c>
      <c r="E175" s="255"/>
      <c r="F175" s="255"/>
      <c r="G175" s="255"/>
      <c r="H175" s="255"/>
      <c r="I175" s="255"/>
      <c r="J175" s="255"/>
      <c r="K175" s="255"/>
      <c r="L175" s="255"/>
      <c r="M175" s="255">
        <f t="shared" si="4"/>
        <v>0</v>
      </c>
      <c r="N175" s="256"/>
      <c r="O175" s="532">
        <f t="shared" si="5"/>
        <v>0</v>
      </c>
      <c r="P175" s="257"/>
      <c r="Q175" s="9"/>
      <c r="R175" s="9"/>
    </row>
    <row r="176" spans="1:18">
      <c r="A176" s="260">
        <v>2021</v>
      </c>
      <c r="B176" s="252">
        <v>468127</v>
      </c>
      <c r="C176" s="253" t="s">
        <v>300</v>
      </c>
      <c r="D176" s="254" t="s">
        <v>512</v>
      </c>
      <c r="E176" s="255"/>
      <c r="F176" s="255"/>
      <c r="G176" s="255"/>
      <c r="H176" s="255"/>
      <c r="I176" s="255"/>
      <c r="J176" s="255"/>
      <c r="K176" s="255"/>
      <c r="L176" s="255"/>
      <c r="M176" s="255">
        <f t="shared" si="4"/>
        <v>0</v>
      </c>
      <c r="N176" s="256"/>
      <c r="O176" s="532">
        <f t="shared" si="5"/>
        <v>0</v>
      </c>
      <c r="P176" s="257"/>
      <c r="Q176" s="9"/>
      <c r="R176" s="9"/>
    </row>
    <row r="177" spans="1:18">
      <c r="A177" s="260">
        <v>2021</v>
      </c>
      <c r="B177" s="252">
        <v>4681240</v>
      </c>
      <c r="C177" s="253" t="s">
        <v>301</v>
      </c>
      <c r="D177" s="254" t="s">
        <v>512</v>
      </c>
      <c r="E177" s="255"/>
      <c r="F177" s="255"/>
      <c r="G177" s="255"/>
      <c r="H177" s="255"/>
      <c r="I177" s="255"/>
      <c r="J177" s="255"/>
      <c r="K177" s="255"/>
      <c r="L177" s="255"/>
      <c r="M177" s="255">
        <f t="shared" si="4"/>
        <v>0</v>
      </c>
      <c r="N177" s="256"/>
      <c r="O177" s="532">
        <f t="shared" si="5"/>
        <v>0</v>
      </c>
      <c r="P177" s="257"/>
      <c r="Q177" s="9"/>
      <c r="R177" s="9"/>
    </row>
    <row r="178" spans="1:18">
      <c r="A178" s="260">
        <v>2021</v>
      </c>
      <c r="B178" s="252">
        <v>4683</v>
      </c>
      <c r="C178" s="253" t="s">
        <v>302</v>
      </c>
      <c r="D178" s="254" t="s">
        <v>512</v>
      </c>
      <c r="E178" s="255"/>
      <c r="F178" s="255"/>
      <c r="G178" s="255"/>
      <c r="H178" s="255"/>
      <c r="I178" s="255"/>
      <c r="J178" s="255"/>
      <c r="K178" s="255"/>
      <c r="L178" s="255"/>
      <c r="M178" s="255">
        <f t="shared" si="4"/>
        <v>0</v>
      </c>
      <c r="N178" s="256"/>
      <c r="O178" s="532">
        <f t="shared" si="5"/>
        <v>0</v>
      </c>
      <c r="P178" s="257"/>
      <c r="Q178" s="9"/>
      <c r="R178" s="9"/>
    </row>
    <row r="179" spans="1:18">
      <c r="A179" s="260">
        <v>2021</v>
      </c>
      <c r="B179" s="252">
        <v>4685</v>
      </c>
      <c r="C179" s="253" t="s">
        <v>303</v>
      </c>
      <c r="D179" s="254" t="s">
        <v>511</v>
      </c>
      <c r="E179" s="255"/>
      <c r="F179" s="255"/>
      <c r="G179" s="255"/>
      <c r="H179" s="255"/>
      <c r="I179" s="255"/>
      <c r="J179" s="255"/>
      <c r="K179" s="255"/>
      <c r="L179" s="255"/>
      <c r="M179" s="255">
        <f t="shared" si="4"/>
        <v>0</v>
      </c>
      <c r="N179" s="256"/>
      <c r="O179" s="532">
        <f t="shared" si="5"/>
        <v>0</v>
      </c>
      <c r="P179" s="257"/>
      <c r="Q179" s="9"/>
      <c r="R179" s="9"/>
    </row>
    <row r="180" spans="1:18">
      <c r="A180" s="260">
        <v>2021</v>
      </c>
      <c r="B180" s="252">
        <v>4686</v>
      </c>
      <c r="C180" s="253" t="s">
        <v>304</v>
      </c>
      <c r="D180" s="254" t="s">
        <v>511</v>
      </c>
      <c r="E180" s="255"/>
      <c r="F180" s="255"/>
      <c r="G180" s="255"/>
      <c r="H180" s="255"/>
      <c r="I180" s="255"/>
      <c r="J180" s="255"/>
      <c r="K180" s="255"/>
      <c r="L180" s="255"/>
      <c r="M180" s="255">
        <f t="shared" si="4"/>
        <v>0</v>
      </c>
      <c r="N180" s="256"/>
      <c r="O180" s="532">
        <f t="shared" si="5"/>
        <v>0</v>
      </c>
      <c r="P180" s="257"/>
      <c r="Q180" s="9"/>
      <c r="R180" s="9"/>
    </row>
    <row r="181" spans="1:18">
      <c r="A181" s="260">
        <v>2021</v>
      </c>
      <c r="B181" s="252">
        <v>4687</v>
      </c>
      <c r="C181" s="253" t="s">
        <v>305</v>
      </c>
      <c r="D181" s="254" t="s">
        <v>511</v>
      </c>
      <c r="E181" s="255"/>
      <c r="F181" s="255"/>
      <c r="G181" s="255"/>
      <c r="H181" s="255"/>
      <c r="I181" s="255"/>
      <c r="J181" s="255"/>
      <c r="K181" s="255"/>
      <c r="L181" s="255"/>
      <c r="M181" s="255">
        <f t="shared" si="4"/>
        <v>0</v>
      </c>
      <c r="N181" s="256"/>
      <c r="O181" s="532">
        <f t="shared" si="5"/>
        <v>0</v>
      </c>
      <c r="P181" s="257"/>
      <c r="Q181" s="9"/>
      <c r="R181" s="9"/>
    </row>
    <row r="182" spans="1:18">
      <c r="A182" s="260">
        <v>1006</v>
      </c>
      <c r="B182" s="252">
        <v>46901</v>
      </c>
      <c r="C182" s="253" t="s">
        <v>300</v>
      </c>
      <c r="D182" s="254" t="s">
        <v>511</v>
      </c>
      <c r="E182" s="255"/>
      <c r="F182" s="255"/>
      <c r="G182" s="255"/>
      <c r="H182" s="255"/>
      <c r="I182" s="255"/>
      <c r="J182" s="255"/>
      <c r="K182" s="255"/>
      <c r="L182" s="255"/>
      <c r="M182" s="255">
        <f t="shared" si="4"/>
        <v>0</v>
      </c>
      <c r="N182" s="256"/>
      <c r="O182" s="532">
        <f t="shared" si="5"/>
        <v>0</v>
      </c>
      <c r="P182" s="257"/>
      <c r="Q182" s="9"/>
      <c r="R182" s="9"/>
    </row>
    <row r="183" spans="1:18">
      <c r="A183" s="260">
        <v>1015</v>
      </c>
      <c r="B183" s="252">
        <v>48111</v>
      </c>
      <c r="C183" s="253" t="s">
        <v>306</v>
      </c>
      <c r="D183" s="254" t="s">
        <v>511</v>
      </c>
      <c r="E183" s="255"/>
      <c r="F183" s="255"/>
      <c r="G183" s="255"/>
      <c r="H183" s="255"/>
      <c r="I183" s="255"/>
      <c r="J183" s="255"/>
      <c r="K183" s="255"/>
      <c r="L183" s="255"/>
      <c r="M183" s="255">
        <f t="shared" si="4"/>
        <v>0</v>
      </c>
      <c r="N183" s="256"/>
      <c r="O183" s="532">
        <f t="shared" si="5"/>
        <v>0</v>
      </c>
      <c r="P183" s="257"/>
      <c r="Q183" s="9"/>
      <c r="R183" s="9"/>
    </row>
    <row r="184" spans="1:18">
      <c r="A184" s="260">
        <v>1015</v>
      </c>
      <c r="B184" s="252">
        <v>48110</v>
      </c>
      <c r="C184" s="253" t="s">
        <v>307</v>
      </c>
      <c r="D184" s="254" t="s">
        <v>511</v>
      </c>
      <c r="E184" s="255"/>
      <c r="F184" s="255"/>
      <c r="G184" s="255"/>
      <c r="H184" s="255"/>
      <c r="I184" s="255"/>
      <c r="J184" s="255"/>
      <c r="K184" s="255"/>
      <c r="L184" s="255"/>
      <c r="M184" s="255">
        <f t="shared" si="4"/>
        <v>0</v>
      </c>
      <c r="N184" s="256"/>
      <c r="O184" s="532">
        <f t="shared" si="5"/>
        <v>0</v>
      </c>
      <c r="P184" s="257"/>
      <c r="Q184" s="9"/>
      <c r="R184" s="9"/>
    </row>
    <row r="185" spans="1:18">
      <c r="A185" s="260">
        <v>1015</v>
      </c>
      <c r="B185" s="252">
        <v>4811126</v>
      </c>
      <c r="C185" s="253" t="s">
        <v>308</v>
      </c>
      <c r="D185" s="254" t="s">
        <v>511</v>
      </c>
      <c r="E185" s="255"/>
      <c r="F185" s="255"/>
      <c r="G185" s="255"/>
      <c r="H185" s="255"/>
      <c r="I185" s="255"/>
      <c r="J185" s="255"/>
      <c r="K185" s="255"/>
      <c r="L185" s="255"/>
      <c r="M185" s="255">
        <f t="shared" si="4"/>
        <v>0</v>
      </c>
      <c r="N185" s="256"/>
      <c r="O185" s="532">
        <f t="shared" si="5"/>
        <v>0</v>
      </c>
      <c r="P185" s="257"/>
      <c r="Q185" s="9"/>
      <c r="R185" s="9"/>
    </row>
    <row r="186" spans="1:18">
      <c r="A186" s="260">
        <v>1015</v>
      </c>
      <c r="B186" s="252">
        <v>4811128</v>
      </c>
      <c r="C186" s="253" t="s">
        <v>538</v>
      </c>
      <c r="D186" s="254" t="s">
        <v>511</v>
      </c>
      <c r="E186" s="255"/>
      <c r="F186" s="255"/>
      <c r="G186" s="255"/>
      <c r="H186" s="255"/>
      <c r="I186" s="255"/>
      <c r="J186" s="255"/>
      <c r="K186" s="255"/>
      <c r="L186" s="255"/>
      <c r="M186" s="255">
        <f t="shared" si="4"/>
        <v>0</v>
      </c>
      <c r="N186" s="256"/>
      <c r="O186" s="532">
        <f t="shared" si="5"/>
        <v>0</v>
      </c>
      <c r="P186" s="257"/>
      <c r="Q186" s="9"/>
      <c r="R186" s="9"/>
    </row>
    <row r="187" spans="1:18">
      <c r="A187" s="260">
        <v>1015</v>
      </c>
      <c r="B187" s="252">
        <v>4811127</v>
      </c>
      <c r="C187" s="253" t="s">
        <v>309</v>
      </c>
      <c r="D187" s="254" t="s">
        <v>511</v>
      </c>
      <c r="E187" s="255"/>
      <c r="F187" s="255"/>
      <c r="G187" s="255"/>
      <c r="H187" s="255"/>
      <c r="I187" s="255"/>
      <c r="J187" s="255"/>
      <c r="K187" s="255"/>
      <c r="L187" s="255"/>
      <c r="M187" s="255">
        <f t="shared" si="4"/>
        <v>0</v>
      </c>
      <c r="N187" s="256"/>
      <c r="O187" s="532">
        <f t="shared" si="5"/>
        <v>0</v>
      </c>
      <c r="P187" s="257"/>
      <c r="Q187" s="9"/>
      <c r="R187" s="9"/>
    </row>
    <row r="188" spans="1:18">
      <c r="A188" s="260">
        <v>1015</v>
      </c>
      <c r="B188" s="252">
        <v>481121</v>
      </c>
      <c r="C188" s="253" t="s">
        <v>310</v>
      </c>
      <c r="D188" s="254" t="s">
        <v>511</v>
      </c>
      <c r="E188" s="255"/>
      <c r="F188" s="255"/>
      <c r="G188" s="255"/>
      <c r="H188" s="255"/>
      <c r="I188" s="255"/>
      <c r="J188" s="255"/>
      <c r="K188" s="255"/>
      <c r="L188" s="255"/>
      <c r="M188" s="255">
        <f t="shared" si="4"/>
        <v>0</v>
      </c>
      <c r="N188" s="256"/>
      <c r="O188" s="532">
        <f t="shared" si="5"/>
        <v>0</v>
      </c>
      <c r="P188" s="257"/>
      <c r="Q188" s="9"/>
      <c r="R188" s="9"/>
    </row>
    <row r="189" spans="1:18">
      <c r="A189" s="260">
        <v>1015</v>
      </c>
      <c r="B189" s="252">
        <v>4811210</v>
      </c>
      <c r="C189" s="253" t="s">
        <v>311</v>
      </c>
      <c r="D189" s="254" t="s">
        <v>511</v>
      </c>
      <c r="E189" s="255"/>
      <c r="F189" s="255"/>
      <c r="G189" s="255"/>
      <c r="H189" s="255"/>
      <c r="I189" s="255"/>
      <c r="J189" s="255"/>
      <c r="K189" s="255"/>
      <c r="L189" s="255"/>
      <c r="M189" s="255">
        <f t="shared" si="4"/>
        <v>0</v>
      </c>
      <c r="N189" s="256"/>
      <c r="O189" s="532">
        <f t="shared" si="5"/>
        <v>0</v>
      </c>
      <c r="P189" s="257"/>
      <c r="Q189" s="9"/>
      <c r="R189" s="9"/>
    </row>
    <row r="190" spans="1:18">
      <c r="A190" s="260">
        <v>1015</v>
      </c>
      <c r="B190" s="252">
        <v>481122</v>
      </c>
      <c r="C190" s="253" t="s">
        <v>312</v>
      </c>
      <c r="D190" s="254" t="s">
        <v>511</v>
      </c>
      <c r="E190" s="255"/>
      <c r="F190" s="255"/>
      <c r="G190" s="255"/>
      <c r="H190" s="255"/>
      <c r="I190" s="255"/>
      <c r="J190" s="255"/>
      <c r="K190" s="255"/>
      <c r="L190" s="255"/>
      <c r="M190" s="255">
        <f t="shared" si="4"/>
        <v>0</v>
      </c>
      <c r="N190" s="256"/>
      <c r="O190" s="532">
        <f t="shared" si="5"/>
        <v>0</v>
      </c>
      <c r="P190" s="257"/>
      <c r="Q190" s="9"/>
      <c r="R190" s="9"/>
    </row>
    <row r="191" spans="1:18">
      <c r="A191" s="260">
        <v>1015</v>
      </c>
      <c r="B191" s="252">
        <v>481123</v>
      </c>
      <c r="C191" s="253" t="s">
        <v>313</v>
      </c>
      <c r="D191" s="254" t="s">
        <v>511</v>
      </c>
      <c r="E191" s="255"/>
      <c r="F191" s="255"/>
      <c r="G191" s="255"/>
      <c r="H191" s="255"/>
      <c r="I191" s="255"/>
      <c r="J191" s="255"/>
      <c r="K191" s="255"/>
      <c r="L191" s="255"/>
      <c r="M191" s="255">
        <f t="shared" si="4"/>
        <v>0</v>
      </c>
      <c r="N191" s="256"/>
      <c r="O191" s="532">
        <f t="shared" si="5"/>
        <v>0</v>
      </c>
      <c r="P191" s="257"/>
      <c r="Q191" s="9"/>
      <c r="R191" s="9"/>
    </row>
    <row r="192" spans="1:18">
      <c r="A192" s="260">
        <v>1015</v>
      </c>
      <c r="B192" s="252">
        <v>481125</v>
      </c>
      <c r="C192" s="253" t="s">
        <v>314</v>
      </c>
      <c r="D192" s="254" t="s">
        <v>511</v>
      </c>
      <c r="E192" s="255"/>
      <c r="F192" s="255"/>
      <c r="G192" s="255"/>
      <c r="H192" s="255"/>
      <c r="I192" s="255"/>
      <c r="J192" s="255"/>
      <c r="K192" s="255"/>
      <c r="L192" s="255"/>
      <c r="M192" s="255">
        <f t="shared" si="4"/>
        <v>0</v>
      </c>
      <c r="N192" s="256"/>
      <c r="O192" s="532">
        <f t="shared" si="5"/>
        <v>0</v>
      </c>
      <c r="P192" s="257"/>
      <c r="Q192" s="9"/>
      <c r="R192" s="9"/>
    </row>
    <row r="193" spans="1:18">
      <c r="A193" s="260">
        <v>1015</v>
      </c>
      <c r="B193" s="252">
        <v>481126</v>
      </c>
      <c r="C193" s="253" t="s">
        <v>315</v>
      </c>
      <c r="D193" s="254" t="s">
        <v>511</v>
      </c>
      <c r="E193" s="255"/>
      <c r="F193" s="255"/>
      <c r="G193" s="255"/>
      <c r="H193" s="255"/>
      <c r="I193" s="255"/>
      <c r="J193" s="255"/>
      <c r="K193" s="255"/>
      <c r="L193" s="255"/>
      <c r="M193" s="255">
        <f t="shared" si="4"/>
        <v>0</v>
      </c>
      <c r="N193" s="256"/>
      <c r="O193" s="532">
        <f t="shared" si="5"/>
        <v>0</v>
      </c>
      <c r="P193" s="257"/>
      <c r="Q193" s="9"/>
      <c r="R193" s="9"/>
    </row>
    <row r="194" spans="1:18">
      <c r="A194" s="260">
        <v>1015</v>
      </c>
      <c r="B194" s="252">
        <v>481129</v>
      </c>
      <c r="C194" s="253" t="s">
        <v>316</v>
      </c>
      <c r="D194" s="254" t="s">
        <v>511</v>
      </c>
      <c r="E194" s="255"/>
      <c r="F194" s="255"/>
      <c r="G194" s="255"/>
      <c r="H194" s="255"/>
      <c r="I194" s="255"/>
      <c r="J194" s="255"/>
      <c r="K194" s="255"/>
      <c r="L194" s="255"/>
      <c r="M194" s="255">
        <f t="shared" si="4"/>
        <v>0</v>
      </c>
      <c r="N194" s="256"/>
      <c r="O194" s="532">
        <f t="shared" si="5"/>
        <v>0</v>
      </c>
      <c r="P194" s="257"/>
      <c r="Q194" s="9"/>
      <c r="R194" s="9"/>
    </row>
    <row r="195" spans="1:18">
      <c r="A195" s="260">
        <v>1015</v>
      </c>
      <c r="B195" s="252">
        <v>4811130</v>
      </c>
      <c r="C195" s="253" t="s">
        <v>317</v>
      </c>
      <c r="D195" s="254" t="s">
        <v>511</v>
      </c>
      <c r="E195" s="255"/>
      <c r="F195" s="255"/>
      <c r="G195" s="255"/>
      <c r="H195" s="255"/>
      <c r="I195" s="255"/>
      <c r="J195" s="255"/>
      <c r="K195" s="255"/>
      <c r="L195" s="255"/>
      <c r="M195" s="255">
        <f t="shared" si="4"/>
        <v>0</v>
      </c>
      <c r="N195" s="256"/>
      <c r="O195" s="532">
        <f t="shared" si="5"/>
        <v>0</v>
      </c>
      <c r="P195" s="257"/>
      <c r="Q195" s="9"/>
      <c r="R195" s="9"/>
    </row>
    <row r="196" spans="1:18">
      <c r="A196" s="260">
        <v>1015</v>
      </c>
      <c r="B196" s="252">
        <v>481132</v>
      </c>
      <c r="C196" s="253" t="s">
        <v>318</v>
      </c>
      <c r="D196" s="254" t="s">
        <v>511</v>
      </c>
      <c r="E196" s="255"/>
      <c r="F196" s="255"/>
      <c r="G196" s="255"/>
      <c r="H196" s="255"/>
      <c r="I196" s="255"/>
      <c r="J196" s="255"/>
      <c r="K196" s="255"/>
      <c r="L196" s="255"/>
      <c r="M196" s="255">
        <f t="shared" si="4"/>
        <v>0</v>
      </c>
      <c r="N196" s="256"/>
      <c r="O196" s="532">
        <f t="shared" si="5"/>
        <v>0</v>
      </c>
      <c r="P196" s="257"/>
      <c r="Q196" s="9"/>
      <c r="R196" s="9"/>
    </row>
    <row r="197" spans="1:18">
      <c r="A197" s="260">
        <v>1015</v>
      </c>
      <c r="B197" s="252">
        <v>481133</v>
      </c>
      <c r="C197" s="253" t="s">
        <v>319</v>
      </c>
      <c r="D197" s="254" t="s">
        <v>511</v>
      </c>
      <c r="E197" s="255"/>
      <c r="F197" s="255"/>
      <c r="G197" s="255"/>
      <c r="H197" s="255"/>
      <c r="I197" s="255"/>
      <c r="J197" s="255"/>
      <c r="K197" s="255"/>
      <c r="L197" s="255"/>
      <c r="M197" s="255">
        <f t="shared" si="4"/>
        <v>0</v>
      </c>
      <c r="N197" s="256"/>
      <c r="O197" s="532">
        <f t="shared" si="5"/>
        <v>0</v>
      </c>
      <c r="P197" s="257"/>
      <c r="Q197" s="9"/>
      <c r="R197" s="9"/>
    </row>
    <row r="198" spans="1:18">
      <c r="A198" s="260">
        <v>1015</v>
      </c>
      <c r="B198" s="252">
        <v>481134</v>
      </c>
      <c r="C198" s="253" t="s">
        <v>320</v>
      </c>
      <c r="D198" s="254" t="s">
        <v>511</v>
      </c>
      <c r="E198" s="255"/>
      <c r="F198" s="255"/>
      <c r="G198" s="255"/>
      <c r="H198" s="255"/>
      <c r="I198" s="255"/>
      <c r="J198" s="255"/>
      <c r="K198" s="255"/>
      <c r="L198" s="255"/>
      <c r="M198" s="255">
        <f t="shared" ref="M198:M261" si="6">(+I198-J198)+K198-L198</f>
        <v>0</v>
      </c>
      <c r="N198" s="256"/>
      <c r="O198" s="532">
        <f t="shared" si="5"/>
        <v>0</v>
      </c>
      <c r="P198" s="257"/>
      <c r="Q198" s="9"/>
      <c r="R198" s="9"/>
    </row>
    <row r="199" spans="1:18">
      <c r="A199" s="260">
        <v>1015</v>
      </c>
      <c r="B199" s="252">
        <v>481137</v>
      </c>
      <c r="C199" s="253" t="s">
        <v>539</v>
      </c>
      <c r="D199" s="254" t="s">
        <v>511</v>
      </c>
      <c r="E199" s="255"/>
      <c r="F199" s="255"/>
      <c r="G199" s="255"/>
      <c r="H199" s="255"/>
      <c r="I199" s="255"/>
      <c r="J199" s="255"/>
      <c r="K199" s="255"/>
      <c r="L199" s="255"/>
      <c r="M199" s="255">
        <f t="shared" si="6"/>
        <v>0</v>
      </c>
      <c r="N199" s="256"/>
      <c r="O199" s="532">
        <f t="shared" si="5"/>
        <v>0</v>
      </c>
      <c r="P199" s="257"/>
      <c r="Q199" s="9"/>
      <c r="R199" s="9"/>
    </row>
    <row r="200" spans="1:18">
      <c r="A200" s="260">
        <v>1015</v>
      </c>
      <c r="B200" s="252">
        <v>481141</v>
      </c>
      <c r="C200" s="253" t="s">
        <v>321</v>
      </c>
      <c r="D200" s="254" t="s">
        <v>511</v>
      </c>
      <c r="E200" s="255"/>
      <c r="F200" s="255"/>
      <c r="G200" s="255"/>
      <c r="H200" s="255"/>
      <c r="I200" s="255"/>
      <c r="J200" s="255"/>
      <c r="K200" s="255"/>
      <c r="L200" s="255"/>
      <c r="M200" s="255">
        <f t="shared" si="6"/>
        <v>0</v>
      </c>
      <c r="N200" s="256"/>
      <c r="O200" s="532">
        <f t="shared" si="5"/>
        <v>0</v>
      </c>
      <c r="P200" s="257"/>
      <c r="Q200" s="9"/>
      <c r="R200" s="9"/>
    </row>
    <row r="201" spans="1:18">
      <c r="A201" s="260">
        <v>1015</v>
      </c>
      <c r="B201" s="252">
        <v>481142</v>
      </c>
      <c r="C201" s="253" t="s">
        <v>322</v>
      </c>
      <c r="D201" s="254" t="s">
        <v>511</v>
      </c>
      <c r="E201" s="255"/>
      <c r="F201" s="255"/>
      <c r="G201" s="255"/>
      <c r="H201" s="255"/>
      <c r="I201" s="255"/>
      <c r="J201" s="255"/>
      <c r="K201" s="255"/>
      <c r="L201" s="255"/>
      <c r="M201" s="255">
        <f t="shared" si="6"/>
        <v>0</v>
      </c>
      <c r="N201" s="256"/>
      <c r="O201" s="532">
        <f t="shared" si="5"/>
        <v>0</v>
      </c>
      <c r="P201" s="257"/>
      <c r="Q201" s="9"/>
      <c r="R201" s="9"/>
    </row>
    <row r="202" spans="1:18">
      <c r="A202" s="260">
        <v>1015</v>
      </c>
      <c r="B202" s="252">
        <v>481143</v>
      </c>
      <c r="C202" s="253" t="s">
        <v>323</v>
      </c>
      <c r="D202" s="254" t="s">
        <v>511</v>
      </c>
      <c r="E202" s="255"/>
      <c r="F202" s="255"/>
      <c r="G202" s="255"/>
      <c r="H202" s="255"/>
      <c r="I202" s="255"/>
      <c r="J202" s="255"/>
      <c r="K202" s="255"/>
      <c r="L202" s="255"/>
      <c r="M202" s="255">
        <f t="shared" si="6"/>
        <v>0</v>
      </c>
      <c r="N202" s="256"/>
      <c r="O202" s="532">
        <f t="shared" si="5"/>
        <v>0</v>
      </c>
      <c r="P202" s="257"/>
      <c r="Q202" s="9"/>
      <c r="R202" s="9"/>
    </row>
    <row r="203" spans="1:18">
      <c r="A203" s="260">
        <v>1015</v>
      </c>
      <c r="B203" s="252">
        <v>481144</v>
      </c>
      <c r="C203" s="253" t="s">
        <v>324</v>
      </c>
      <c r="D203" s="254" t="s">
        <v>511</v>
      </c>
      <c r="E203" s="255"/>
      <c r="F203" s="255"/>
      <c r="G203" s="255"/>
      <c r="H203" s="255"/>
      <c r="I203" s="255"/>
      <c r="J203" s="255"/>
      <c r="K203" s="255"/>
      <c r="L203" s="255"/>
      <c r="M203" s="255">
        <f t="shared" si="6"/>
        <v>0</v>
      </c>
      <c r="N203" s="256"/>
      <c r="O203" s="532">
        <f t="shared" si="5"/>
        <v>0</v>
      </c>
      <c r="P203" s="257"/>
      <c r="Q203" s="9"/>
      <c r="R203" s="9"/>
    </row>
    <row r="204" spans="1:18">
      <c r="A204" s="260">
        <v>1015</v>
      </c>
      <c r="B204" s="252">
        <v>481145</v>
      </c>
      <c r="C204" s="253" t="s">
        <v>325</v>
      </c>
      <c r="D204" s="254" t="s">
        <v>511</v>
      </c>
      <c r="E204" s="255"/>
      <c r="F204" s="255"/>
      <c r="G204" s="255"/>
      <c r="H204" s="255"/>
      <c r="I204" s="255"/>
      <c r="J204" s="255"/>
      <c r="K204" s="255"/>
      <c r="L204" s="255"/>
      <c r="M204" s="255">
        <f t="shared" si="6"/>
        <v>0</v>
      </c>
      <c r="N204" s="256"/>
      <c r="O204" s="532">
        <f t="shared" si="5"/>
        <v>0</v>
      </c>
      <c r="P204" s="257"/>
      <c r="Q204" s="9"/>
      <c r="R204" s="9"/>
    </row>
    <row r="205" spans="1:18">
      <c r="A205" s="260">
        <v>1015</v>
      </c>
      <c r="B205" s="252">
        <v>4811480</v>
      </c>
      <c r="C205" s="253" t="s">
        <v>326</v>
      </c>
      <c r="D205" s="254" t="s">
        <v>511</v>
      </c>
      <c r="E205" s="255"/>
      <c r="F205" s="255"/>
      <c r="G205" s="255"/>
      <c r="H205" s="255"/>
      <c r="I205" s="255"/>
      <c r="J205" s="255"/>
      <c r="K205" s="255"/>
      <c r="L205" s="255"/>
      <c r="M205" s="255">
        <f t="shared" si="6"/>
        <v>0</v>
      </c>
      <c r="N205" s="256"/>
      <c r="O205" s="532">
        <f t="shared" si="5"/>
        <v>0</v>
      </c>
      <c r="P205" s="257"/>
      <c r="Q205" s="9"/>
      <c r="R205" s="9"/>
    </row>
    <row r="206" spans="1:18">
      <c r="A206" s="260">
        <v>1015</v>
      </c>
      <c r="B206" s="252">
        <v>481146</v>
      </c>
      <c r="C206" s="253" t="s">
        <v>327</v>
      </c>
      <c r="D206" s="254" t="s">
        <v>511</v>
      </c>
      <c r="E206" s="255"/>
      <c r="F206" s="255"/>
      <c r="G206" s="255"/>
      <c r="H206" s="255"/>
      <c r="I206" s="255"/>
      <c r="J206" s="255"/>
      <c r="K206" s="255"/>
      <c r="L206" s="255"/>
      <c r="M206" s="255">
        <f t="shared" si="6"/>
        <v>0</v>
      </c>
      <c r="N206" s="256"/>
      <c r="O206" s="532">
        <f t="shared" si="5"/>
        <v>0</v>
      </c>
      <c r="P206" s="257"/>
      <c r="Q206" s="9"/>
      <c r="R206" s="9"/>
    </row>
    <row r="207" spans="1:18">
      <c r="A207" s="260">
        <v>1015</v>
      </c>
      <c r="B207" s="252">
        <v>481149</v>
      </c>
      <c r="C207" s="253" t="s">
        <v>328</v>
      </c>
      <c r="D207" s="254" t="s">
        <v>511</v>
      </c>
      <c r="E207" s="255"/>
      <c r="F207" s="255"/>
      <c r="G207" s="255"/>
      <c r="H207" s="255"/>
      <c r="I207" s="255"/>
      <c r="J207" s="255"/>
      <c r="K207" s="255"/>
      <c r="L207" s="255"/>
      <c r="M207" s="255">
        <f t="shared" si="6"/>
        <v>0</v>
      </c>
      <c r="N207" s="256"/>
      <c r="O207" s="532">
        <f t="shared" si="5"/>
        <v>0</v>
      </c>
      <c r="P207" s="257"/>
      <c r="Q207" s="9"/>
      <c r="R207" s="9"/>
    </row>
    <row r="208" spans="1:18">
      <c r="A208" s="260">
        <v>1015</v>
      </c>
      <c r="B208" s="252">
        <v>481150</v>
      </c>
      <c r="C208" s="253" t="s">
        <v>329</v>
      </c>
      <c r="D208" s="254" t="s">
        <v>511</v>
      </c>
      <c r="E208" s="255"/>
      <c r="F208" s="255"/>
      <c r="G208" s="255"/>
      <c r="H208" s="255"/>
      <c r="I208" s="255"/>
      <c r="J208" s="255"/>
      <c r="K208" s="255"/>
      <c r="L208" s="255"/>
      <c r="M208" s="255">
        <f t="shared" si="6"/>
        <v>0</v>
      </c>
      <c r="N208" s="256"/>
      <c r="O208" s="532">
        <f t="shared" si="5"/>
        <v>0</v>
      </c>
      <c r="P208" s="257"/>
      <c r="Q208" s="9"/>
      <c r="R208" s="9"/>
    </row>
    <row r="209" spans="1:18">
      <c r="A209" s="260">
        <v>1015</v>
      </c>
      <c r="B209" s="252">
        <v>481152</v>
      </c>
      <c r="C209" s="253" t="s">
        <v>330</v>
      </c>
      <c r="D209" s="254" t="s">
        <v>511</v>
      </c>
      <c r="E209" s="255"/>
      <c r="F209" s="255"/>
      <c r="G209" s="255"/>
      <c r="H209" s="255"/>
      <c r="I209" s="255"/>
      <c r="J209" s="255"/>
      <c r="K209" s="255"/>
      <c r="L209" s="255"/>
      <c r="M209" s="255">
        <f t="shared" si="6"/>
        <v>0</v>
      </c>
      <c r="N209" s="256"/>
      <c r="O209" s="532">
        <f t="shared" si="5"/>
        <v>0</v>
      </c>
      <c r="P209" s="257"/>
      <c r="Q209" s="9"/>
      <c r="R209" s="9"/>
    </row>
    <row r="210" spans="1:18">
      <c r="A210" s="260">
        <v>1015</v>
      </c>
      <c r="B210" s="252">
        <v>481153</v>
      </c>
      <c r="C210" s="253" t="s">
        <v>331</v>
      </c>
      <c r="D210" s="254" t="s">
        <v>511</v>
      </c>
      <c r="E210" s="255"/>
      <c r="F210" s="255"/>
      <c r="G210" s="255"/>
      <c r="H210" s="255"/>
      <c r="I210" s="255"/>
      <c r="J210" s="255"/>
      <c r="K210" s="255"/>
      <c r="L210" s="255"/>
      <c r="M210" s="255">
        <f t="shared" si="6"/>
        <v>0</v>
      </c>
      <c r="N210" s="256"/>
      <c r="O210" s="532">
        <f t="shared" si="5"/>
        <v>0</v>
      </c>
      <c r="P210" s="257"/>
      <c r="Q210" s="9"/>
      <c r="R210" s="9"/>
    </row>
    <row r="211" spans="1:18">
      <c r="A211" s="260">
        <v>1015</v>
      </c>
      <c r="B211" s="252">
        <v>481154</v>
      </c>
      <c r="C211" s="253" t="s">
        <v>332</v>
      </c>
      <c r="D211" s="254" t="s">
        <v>511</v>
      </c>
      <c r="E211" s="255"/>
      <c r="F211" s="255"/>
      <c r="G211" s="255"/>
      <c r="H211" s="255"/>
      <c r="I211" s="255"/>
      <c r="J211" s="255"/>
      <c r="K211" s="255"/>
      <c r="L211" s="255"/>
      <c r="M211" s="255">
        <f t="shared" si="6"/>
        <v>0</v>
      </c>
      <c r="N211" s="256"/>
      <c r="O211" s="532">
        <f t="shared" si="5"/>
        <v>0</v>
      </c>
      <c r="P211" s="257"/>
      <c r="Q211" s="9"/>
      <c r="R211" s="9"/>
    </row>
    <row r="212" spans="1:18">
      <c r="A212" s="260">
        <v>1015</v>
      </c>
      <c r="B212" s="252">
        <v>481155</v>
      </c>
      <c r="C212" s="253" t="s">
        <v>333</v>
      </c>
      <c r="D212" s="254" t="s">
        <v>511</v>
      </c>
      <c r="E212" s="255"/>
      <c r="F212" s="255"/>
      <c r="G212" s="255"/>
      <c r="H212" s="255"/>
      <c r="I212" s="255"/>
      <c r="J212" s="255"/>
      <c r="K212" s="255"/>
      <c r="L212" s="255"/>
      <c r="M212" s="255">
        <f t="shared" si="6"/>
        <v>0</v>
      </c>
      <c r="N212" s="256"/>
      <c r="O212" s="532">
        <f t="shared" si="5"/>
        <v>0</v>
      </c>
      <c r="P212" s="257"/>
      <c r="Q212" s="9"/>
      <c r="R212" s="9"/>
    </row>
    <row r="213" spans="1:18">
      <c r="A213" s="260">
        <v>1015</v>
      </c>
      <c r="B213" s="252">
        <v>481156</v>
      </c>
      <c r="C213" s="253" t="s">
        <v>334</v>
      </c>
      <c r="D213" s="254" t="s">
        <v>511</v>
      </c>
      <c r="E213" s="255"/>
      <c r="F213" s="255"/>
      <c r="G213" s="255"/>
      <c r="H213" s="255"/>
      <c r="I213" s="255"/>
      <c r="J213" s="255"/>
      <c r="K213" s="255"/>
      <c r="L213" s="255"/>
      <c r="M213" s="255">
        <f t="shared" si="6"/>
        <v>0</v>
      </c>
      <c r="N213" s="256"/>
      <c r="O213" s="532">
        <f t="shared" si="5"/>
        <v>0</v>
      </c>
      <c r="P213" s="257"/>
      <c r="Q213" s="9"/>
      <c r="R213" s="9"/>
    </row>
    <row r="214" spans="1:18">
      <c r="A214" s="260">
        <v>1015</v>
      </c>
      <c r="B214" s="252">
        <v>481157</v>
      </c>
      <c r="C214" s="253" t="s">
        <v>335</v>
      </c>
      <c r="D214" s="254" t="s">
        <v>511</v>
      </c>
      <c r="E214" s="255"/>
      <c r="F214" s="255"/>
      <c r="G214" s="255"/>
      <c r="H214" s="255"/>
      <c r="I214" s="255"/>
      <c r="J214" s="255"/>
      <c r="K214" s="255"/>
      <c r="L214" s="255"/>
      <c r="M214" s="255">
        <f t="shared" si="6"/>
        <v>0</v>
      </c>
      <c r="N214" s="256"/>
      <c r="O214" s="532">
        <f t="shared" si="5"/>
        <v>0</v>
      </c>
      <c r="P214" s="257"/>
      <c r="Q214" s="9"/>
      <c r="R214" s="9"/>
    </row>
    <row r="215" spans="1:18">
      <c r="A215" s="260">
        <v>1015</v>
      </c>
      <c r="B215" s="252">
        <v>481158</v>
      </c>
      <c r="C215" s="253" t="s">
        <v>336</v>
      </c>
      <c r="D215" s="254" t="s">
        <v>511</v>
      </c>
      <c r="E215" s="255"/>
      <c r="F215" s="255"/>
      <c r="G215" s="255"/>
      <c r="H215" s="255"/>
      <c r="I215" s="255"/>
      <c r="J215" s="255"/>
      <c r="K215" s="255"/>
      <c r="L215" s="255"/>
      <c r="M215" s="255">
        <f t="shared" si="6"/>
        <v>0</v>
      </c>
      <c r="N215" s="256"/>
      <c r="O215" s="532">
        <f t="shared" si="5"/>
        <v>0</v>
      </c>
      <c r="P215" s="257"/>
      <c r="Q215" s="9"/>
      <c r="R215" s="9"/>
    </row>
    <row r="216" spans="1:18">
      <c r="A216" s="260">
        <v>1015</v>
      </c>
      <c r="B216" s="252">
        <v>481159</v>
      </c>
      <c r="C216" s="253" t="s">
        <v>337</v>
      </c>
      <c r="D216" s="254" t="s">
        <v>511</v>
      </c>
      <c r="E216" s="255"/>
      <c r="F216" s="255"/>
      <c r="G216" s="255"/>
      <c r="H216" s="255"/>
      <c r="I216" s="255"/>
      <c r="J216" s="255"/>
      <c r="K216" s="255"/>
      <c r="L216" s="255"/>
      <c r="M216" s="255">
        <f t="shared" si="6"/>
        <v>0</v>
      </c>
      <c r="N216" s="256"/>
      <c r="O216" s="532">
        <f t="shared" si="5"/>
        <v>0</v>
      </c>
      <c r="P216" s="257"/>
      <c r="Q216" s="9"/>
      <c r="R216" s="9"/>
    </row>
    <row r="217" spans="1:18">
      <c r="A217" s="260">
        <v>1015</v>
      </c>
      <c r="B217" s="252">
        <v>481160</v>
      </c>
      <c r="C217" s="253" t="s">
        <v>338</v>
      </c>
      <c r="D217" s="254" t="s">
        <v>511</v>
      </c>
      <c r="E217" s="255"/>
      <c r="F217" s="255"/>
      <c r="G217" s="255"/>
      <c r="H217" s="255"/>
      <c r="I217" s="255"/>
      <c r="J217" s="255"/>
      <c r="K217" s="255"/>
      <c r="L217" s="255"/>
      <c r="M217" s="255">
        <f t="shared" si="6"/>
        <v>0</v>
      </c>
      <c r="N217" s="256"/>
      <c r="O217" s="532">
        <f t="shared" si="5"/>
        <v>0</v>
      </c>
      <c r="P217" s="257"/>
      <c r="Q217" s="9"/>
      <c r="R217" s="9"/>
    </row>
    <row r="218" spans="1:18">
      <c r="A218" s="260">
        <v>1015</v>
      </c>
      <c r="B218" s="252">
        <v>481164</v>
      </c>
      <c r="C218" s="253" t="s">
        <v>339</v>
      </c>
      <c r="D218" s="254" t="s">
        <v>511</v>
      </c>
      <c r="E218" s="255"/>
      <c r="F218" s="255"/>
      <c r="G218" s="255"/>
      <c r="H218" s="255"/>
      <c r="I218" s="255"/>
      <c r="J218" s="255"/>
      <c r="K218" s="255"/>
      <c r="L218" s="255"/>
      <c r="M218" s="255">
        <f t="shared" si="6"/>
        <v>0</v>
      </c>
      <c r="N218" s="256"/>
      <c r="O218" s="532">
        <f t="shared" si="5"/>
        <v>0</v>
      </c>
      <c r="P218" s="257"/>
      <c r="Q218" s="9"/>
      <c r="R218" s="9"/>
    </row>
    <row r="219" spans="1:18">
      <c r="A219" s="260">
        <v>1015</v>
      </c>
      <c r="B219" s="252">
        <v>481165</v>
      </c>
      <c r="C219" s="253" t="s">
        <v>340</v>
      </c>
      <c r="D219" s="254" t="s">
        <v>511</v>
      </c>
      <c r="E219" s="255"/>
      <c r="F219" s="255"/>
      <c r="G219" s="255"/>
      <c r="H219" s="255"/>
      <c r="I219" s="255"/>
      <c r="J219" s="255"/>
      <c r="K219" s="255"/>
      <c r="L219" s="255"/>
      <c r="M219" s="255">
        <f t="shared" si="6"/>
        <v>0</v>
      </c>
      <c r="N219" s="256"/>
      <c r="O219" s="532">
        <f t="shared" si="5"/>
        <v>0</v>
      </c>
      <c r="P219" s="257"/>
      <c r="Q219" s="9"/>
      <c r="R219" s="9"/>
    </row>
    <row r="220" spans="1:18">
      <c r="A220" s="260">
        <v>1015</v>
      </c>
      <c r="B220" s="252">
        <v>4812</v>
      </c>
      <c r="C220" s="253" t="s">
        <v>341</v>
      </c>
      <c r="D220" s="254" t="s">
        <v>511</v>
      </c>
      <c r="E220" s="255"/>
      <c r="F220" s="255"/>
      <c r="G220" s="255"/>
      <c r="H220" s="255"/>
      <c r="I220" s="255"/>
      <c r="J220" s="255"/>
      <c r="K220" s="255"/>
      <c r="L220" s="255"/>
      <c r="M220" s="255">
        <f t="shared" si="6"/>
        <v>0</v>
      </c>
      <c r="N220" s="256"/>
      <c r="O220" s="532">
        <f t="shared" si="5"/>
        <v>0</v>
      </c>
      <c r="P220" s="257"/>
      <c r="Q220" s="9"/>
      <c r="R220" s="9"/>
    </row>
    <row r="221" spans="1:18">
      <c r="A221" s="260">
        <v>1015</v>
      </c>
      <c r="B221" s="252">
        <v>48120</v>
      </c>
      <c r="C221" s="253" t="s">
        <v>342</v>
      </c>
      <c r="D221" s="254" t="s">
        <v>511</v>
      </c>
      <c r="E221" s="255"/>
      <c r="F221" s="255"/>
      <c r="G221" s="255"/>
      <c r="H221" s="255"/>
      <c r="I221" s="255"/>
      <c r="J221" s="255"/>
      <c r="K221" s="255"/>
      <c r="L221" s="255"/>
      <c r="M221" s="255">
        <f t="shared" si="6"/>
        <v>0</v>
      </c>
      <c r="N221" s="256"/>
      <c r="O221" s="532">
        <f t="shared" si="5"/>
        <v>0</v>
      </c>
      <c r="P221" s="257"/>
      <c r="Q221" s="9"/>
      <c r="R221" s="9"/>
    </row>
    <row r="222" spans="1:18">
      <c r="A222" s="260">
        <v>1015</v>
      </c>
      <c r="B222" s="252">
        <v>48138</v>
      </c>
      <c r="C222" s="253" t="s">
        <v>343</v>
      </c>
      <c r="D222" s="254" t="s">
        <v>511</v>
      </c>
      <c r="E222" s="255"/>
      <c r="F222" s="255"/>
      <c r="G222" s="255"/>
      <c r="H222" s="255"/>
      <c r="I222" s="255"/>
      <c r="J222" s="255"/>
      <c r="K222" s="255"/>
      <c r="L222" s="255"/>
      <c r="M222" s="255">
        <f t="shared" si="6"/>
        <v>0</v>
      </c>
      <c r="N222" s="256"/>
      <c r="O222" s="532">
        <f t="shared" si="5"/>
        <v>0</v>
      </c>
      <c r="P222" s="257"/>
      <c r="Q222" s="9"/>
      <c r="R222" s="9"/>
    </row>
    <row r="223" spans="1:18">
      <c r="A223" s="260">
        <v>1015</v>
      </c>
      <c r="B223" s="252">
        <v>4814</v>
      </c>
      <c r="C223" s="253" t="s">
        <v>344</v>
      </c>
      <c r="D223" s="254" t="s">
        <v>512</v>
      </c>
      <c r="E223" s="255"/>
      <c r="F223" s="255"/>
      <c r="G223" s="255"/>
      <c r="H223" s="255"/>
      <c r="I223" s="255"/>
      <c r="J223" s="255"/>
      <c r="K223" s="255"/>
      <c r="L223" s="255"/>
      <c r="M223" s="255">
        <f t="shared" si="6"/>
        <v>0</v>
      </c>
      <c r="N223" s="256"/>
      <c r="O223" s="532">
        <f t="shared" si="5"/>
        <v>0</v>
      </c>
      <c r="P223" s="257"/>
      <c r="Q223" s="9"/>
      <c r="R223" s="9"/>
    </row>
    <row r="224" spans="1:18">
      <c r="A224" s="260">
        <v>1015</v>
      </c>
      <c r="B224" s="252">
        <v>486</v>
      </c>
      <c r="C224" s="253" t="s">
        <v>345</v>
      </c>
      <c r="D224" s="254" t="s">
        <v>511</v>
      </c>
      <c r="E224" s="255"/>
      <c r="F224" s="255"/>
      <c r="G224" s="255"/>
      <c r="H224" s="255"/>
      <c r="I224" s="255"/>
      <c r="J224" s="255"/>
      <c r="K224" s="255"/>
      <c r="L224" s="255"/>
      <c r="M224" s="255">
        <f t="shared" si="6"/>
        <v>0</v>
      </c>
      <c r="N224" s="256"/>
      <c r="O224" s="532">
        <f t="shared" si="5"/>
        <v>0</v>
      </c>
      <c r="P224" s="257"/>
      <c r="Q224" s="9"/>
      <c r="R224" s="9"/>
    </row>
    <row r="225" spans="1:18">
      <c r="A225" s="260">
        <v>1015</v>
      </c>
      <c r="B225" s="252">
        <v>48600</v>
      </c>
      <c r="C225" s="253" t="s">
        <v>346</v>
      </c>
      <c r="D225" s="254" t="s">
        <v>511</v>
      </c>
      <c r="E225" s="255"/>
      <c r="F225" s="255"/>
      <c r="G225" s="255"/>
      <c r="H225" s="255"/>
      <c r="I225" s="255"/>
      <c r="J225" s="255"/>
      <c r="K225" s="255"/>
      <c r="L225" s="255"/>
      <c r="M225" s="255">
        <f t="shared" si="6"/>
        <v>0</v>
      </c>
      <c r="N225" s="256"/>
      <c r="O225" s="532">
        <f t="shared" si="5"/>
        <v>0</v>
      </c>
      <c r="P225" s="257"/>
      <c r="Q225" s="9"/>
      <c r="R225" s="9"/>
    </row>
    <row r="226" spans="1:18">
      <c r="A226" s="260">
        <v>1015</v>
      </c>
      <c r="B226" s="252">
        <v>48606</v>
      </c>
      <c r="C226" s="253" t="s">
        <v>540</v>
      </c>
      <c r="D226" s="254" t="s">
        <v>511</v>
      </c>
      <c r="E226" s="255"/>
      <c r="F226" s="255"/>
      <c r="G226" s="255"/>
      <c r="H226" s="255"/>
      <c r="I226" s="255"/>
      <c r="J226" s="255"/>
      <c r="K226" s="255"/>
      <c r="L226" s="255"/>
      <c r="M226" s="255">
        <f t="shared" si="6"/>
        <v>0</v>
      </c>
      <c r="N226" s="256"/>
      <c r="O226" s="532">
        <f t="shared" si="5"/>
        <v>0</v>
      </c>
      <c r="P226" s="257"/>
      <c r="Q226" s="9"/>
      <c r="R226" s="9"/>
    </row>
    <row r="227" spans="1:18">
      <c r="A227" s="260">
        <v>1015</v>
      </c>
      <c r="B227" s="252">
        <v>48608</v>
      </c>
      <c r="C227" s="253" t="s">
        <v>347</v>
      </c>
      <c r="D227" s="254" t="s">
        <v>511</v>
      </c>
      <c r="E227" s="255"/>
      <c r="F227" s="255"/>
      <c r="G227" s="255"/>
      <c r="H227" s="255"/>
      <c r="I227" s="255"/>
      <c r="J227" s="255"/>
      <c r="K227" s="255"/>
      <c r="L227" s="255"/>
      <c r="M227" s="255">
        <f t="shared" si="6"/>
        <v>0</v>
      </c>
      <c r="N227" s="256"/>
      <c r="O227" s="532">
        <f t="shared" si="5"/>
        <v>0</v>
      </c>
      <c r="P227" s="257"/>
      <c r="Q227" s="9"/>
      <c r="R227" s="9"/>
    </row>
    <row r="228" spans="1:18">
      <c r="A228" s="260">
        <v>1015</v>
      </c>
      <c r="B228" s="252">
        <v>48609</v>
      </c>
      <c r="C228" s="253" t="s">
        <v>348</v>
      </c>
      <c r="D228" s="254" t="s">
        <v>511</v>
      </c>
      <c r="E228" s="255"/>
      <c r="F228" s="255"/>
      <c r="G228" s="255"/>
      <c r="H228" s="255"/>
      <c r="I228" s="255"/>
      <c r="J228" s="255"/>
      <c r="K228" s="255"/>
      <c r="L228" s="255"/>
      <c r="M228" s="255">
        <f t="shared" si="6"/>
        <v>0</v>
      </c>
      <c r="N228" s="256"/>
      <c r="O228" s="532">
        <f t="shared" si="5"/>
        <v>0</v>
      </c>
      <c r="P228" s="257"/>
      <c r="Q228" s="9"/>
      <c r="R228" s="9"/>
    </row>
    <row r="229" spans="1:18">
      <c r="A229" s="260">
        <v>1015</v>
      </c>
      <c r="B229" s="252">
        <v>4861</v>
      </c>
      <c r="C229" s="253" t="s">
        <v>349</v>
      </c>
      <c r="D229" s="254" t="s">
        <v>511</v>
      </c>
      <c r="E229" s="255"/>
      <c r="F229" s="255"/>
      <c r="G229" s="255"/>
      <c r="H229" s="255"/>
      <c r="I229" s="255"/>
      <c r="J229" s="255"/>
      <c r="K229" s="255"/>
      <c r="L229" s="255"/>
      <c r="M229" s="255">
        <f t="shared" si="6"/>
        <v>0</v>
      </c>
      <c r="N229" s="256"/>
      <c r="O229" s="532">
        <f t="shared" si="5"/>
        <v>0</v>
      </c>
      <c r="P229" s="257"/>
      <c r="Q229" s="9"/>
      <c r="R229" s="9"/>
    </row>
    <row r="230" spans="1:18">
      <c r="A230" s="260">
        <v>1015</v>
      </c>
      <c r="B230" s="252">
        <v>48610</v>
      </c>
      <c r="C230" s="253" t="s">
        <v>350</v>
      </c>
      <c r="D230" s="254" t="s">
        <v>511</v>
      </c>
      <c r="E230" s="255"/>
      <c r="F230" s="255"/>
      <c r="G230" s="255"/>
      <c r="H230" s="255"/>
      <c r="I230" s="255"/>
      <c r="J230" s="255"/>
      <c r="K230" s="255"/>
      <c r="L230" s="255"/>
      <c r="M230" s="255">
        <f t="shared" si="6"/>
        <v>0</v>
      </c>
      <c r="N230" s="256"/>
      <c r="O230" s="532">
        <f t="shared" si="5"/>
        <v>0</v>
      </c>
      <c r="P230" s="257"/>
      <c r="Q230" s="9"/>
      <c r="R230" s="9"/>
    </row>
    <row r="231" spans="1:18">
      <c r="A231" s="260">
        <v>1015</v>
      </c>
      <c r="B231" s="252">
        <v>48611</v>
      </c>
      <c r="C231" s="253" t="s">
        <v>351</v>
      </c>
      <c r="D231" s="254" t="s">
        <v>511</v>
      </c>
      <c r="E231" s="255"/>
      <c r="F231" s="255"/>
      <c r="G231" s="255"/>
      <c r="H231" s="255"/>
      <c r="I231" s="255"/>
      <c r="J231" s="255"/>
      <c r="K231" s="255"/>
      <c r="L231" s="255"/>
      <c r="M231" s="255">
        <f t="shared" si="6"/>
        <v>0</v>
      </c>
      <c r="N231" s="256"/>
      <c r="O231" s="532">
        <f t="shared" ref="O231:O294" si="7">M231/139.59</f>
        <v>0</v>
      </c>
      <c r="P231" s="257"/>
      <c r="Q231" s="9"/>
      <c r="R231" s="9"/>
    </row>
    <row r="232" spans="1:18">
      <c r="A232" s="260">
        <v>1015</v>
      </c>
      <c r="B232" s="252">
        <v>4863</v>
      </c>
      <c r="C232" s="253" t="s">
        <v>352</v>
      </c>
      <c r="D232" s="254" t="s">
        <v>511</v>
      </c>
      <c r="E232" s="255"/>
      <c r="F232" s="255"/>
      <c r="G232" s="255"/>
      <c r="H232" s="255"/>
      <c r="I232" s="255"/>
      <c r="J232" s="255"/>
      <c r="K232" s="255"/>
      <c r="L232" s="255"/>
      <c r="M232" s="255">
        <f t="shared" si="6"/>
        <v>0</v>
      </c>
      <c r="N232" s="256"/>
      <c r="O232" s="532">
        <f t="shared" si="7"/>
        <v>0</v>
      </c>
      <c r="P232" s="257"/>
      <c r="Q232" s="9"/>
      <c r="R232" s="9"/>
    </row>
    <row r="233" spans="1:18">
      <c r="A233" s="260">
        <v>1015</v>
      </c>
      <c r="B233" s="252">
        <v>4864</v>
      </c>
      <c r="C233" s="253" t="s">
        <v>541</v>
      </c>
      <c r="D233" s="254" t="s">
        <v>511</v>
      </c>
      <c r="E233" s="255"/>
      <c r="F233" s="255"/>
      <c r="G233" s="255"/>
      <c r="H233" s="255"/>
      <c r="I233" s="255"/>
      <c r="J233" s="255"/>
      <c r="K233" s="255"/>
      <c r="L233" s="255"/>
      <c r="M233" s="255">
        <f t="shared" si="6"/>
        <v>0</v>
      </c>
      <c r="N233" s="256"/>
      <c r="O233" s="532">
        <f t="shared" si="7"/>
        <v>0</v>
      </c>
      <c r="P233" s="257"/>
      <c r="Q233" s="9"/>
      <c r="R233" s="9"/>
    </row>
    <row r="234" spans="1:18">
      <c r="A234" s="260">
        <v>1015</v>
      </c>
      <c r="B234" s="252">
        <v>487201</v>
      </c>
      <c r="C234" s="253" t="s">
        <v>353</v>
      </c>
      <c r="D234" s="254" t="s">
        <v>511</v>
      </c>
      <c r="E234" s="255"/>
      <c r="F234" s="255"/>
      <c r="G234" s="255"/>
      <c r="H234" s="255"/>
      <c r="I234" s="255"/>
      <c r="J234" s="255"/>
      <c r="K234" s="255"/>
      <c r="L234" s="255"/>
      <c r="M234" s="255">
        <f t="shared" si="6"/>
        <v>0</v>
      </c>
      <c r="N234" s="256"/>
      <c r="O234" s="532">
        <f t="shared" si="7"/>
        <v>0</v>
      </c>
      <c r="P234" s="257"/>
      <c r="Q234" s="9"/>
      <c r="R234" s="9"/>
    </row>
    <row r="235" spans="1:18">
      <c r="A235" s="260">
        <v>1015</v>
      </c>
      <c r="B235" s="252">
        <v>487202</v>
      </c>
      <c r="C235" s="253" t="s">
        <v>542</v>
      </c>
      <c r="D235" s="254" t="s">
        <v>511</v>
      </c>
      <c r="E235" s="255"/>
      <c r="F235" s="255"/>
      <c r="G235" s="255"/>
      <c r="H235" s="255"/>
      <c r="I235" s="255"/>
      <c r="J235" s="255"/>
      <c r="K235" s="255"/>
      <c r="L235" s="255"/>
      <c r="M235" s="255">
        <f t="shared" si="6"/>
        <v>0</v>
      </c>
      <c r="N235" s="256"/>
      <c r="O235" s="532">
        <f t="shared" si="7"/>
        <v>0</v>
      </c>
      <c r="P235" s="257"/>
      <c r="Q235" s="9"/>
      <c r="R235" s="9"/>
    </row>
    <row r="236" spans="1:18">
      <c r="A236" s="260">
        <v>1015</v>
      </c>
      <c r="B236" s="252">
        <v>487224</v>
      </c>
      <c r="C236" s="253" t="s">
        <v>354</v>
      </c>
      <c r="D236" s="254" t="s">
        <v>511</v>
      </c>
      <c r="E236" s="255"/>
      <c r="F236" s="255"/>
      <c r="G236" s="255"/>
      <c r="H236" s="255"/>
      <c r="I236" s="255"/>
      <c r="J236" s="255"/>
      <c r="K236" s="255"/>
      <c r="L236" s="255"/>
      <c r="M236" s="255">
        <f t="shared" si="6"/>
        <v>0</v>
      </c>
      <c r="N236" s="256"/>
      <c r="O236" s="532">
        <f t="shared" si="7"/>
        <v>0</v>
      </c>
      <c r="P236" s="257"/>
      <c r="Q236" s="9"/>
      <c r="R236" s="9"/>
    </row>
    <row r="237" spans="1:18">
      <c r="A237" s="260">
        <v>1015</v>
      </c>
      <c r="B237" s="252">
        <v>487225</v>
      </c>
      <c r="C237" s="253" t="s">
        <v>355</v>
      </c>
      <c r="D237" s="254" t="s">
        <v>511</v>
      </c>
      <c r="E237" s="255"/>
      <c r="F237" s="255"/>
      <c r="G237" s="255"/>
      <c r="H237" s="255"/>
      <c r="I237" s="255"/>
      <c r="J237" s="255"/>
      <c r="K237" s="255"/>
      <c r="L237" s="255"/>
      <c r="M237" s="255">
        <f t="shared" si="6"/>
        <v>0</v>
      </c>
      <c r="N237" s="256"/>
      <c r="O237" s="532">
        <f t="shared" si="7"/>
        <v>0</v>
      </c>
      <c r="P237" s="257"/>
      <c r="Q237" s="9"/>
      <c r="R237" s="9"/>
    </row>
    <row r="238" spans="1:18">
      <c r="A238" s="260">
        <v>1015</v>
      </c>
      <c r="B238" s="252">
        <v>487226</v>
      </c>
      <c r="C238" s="253" t="s">
        <v>356</v>
      </c>
      <c r="D238" s="254" t="s">
        <v>511</v>
      </c>
      <c r="E238" s="255"/>
      <c r="F238" s="255"/>
      <c r="G238" s="255"/>
      <c r="H238" s="255"/>
      <c r="I238" s="255"/>
      <c r="J238" s="255"/>
      <c r="K238" s="255"/>
      <c r="L238" s="255"/>
      <c r="M238" s="255">
        <f t="shared" si="6"/>
        <v>0</v>
      </c>
      <c r="N238" s="256"/>
      <c r="O238" s="532">
        <f t="shared" si="7"/>
        <v>0</v>
      </c>
      <c r="P238" s="257"/>
      <c r="Q238" s="9"/>
      <c r="R238" s="9"/>
    </row>
    <row r="239" spans="1:18">
      <c r="A239" s="260">
        <v>1015</v>
      </c>
      <c r="B239" s="252">
        <v>487227</v>
      </c>
      <c r="C239" s="253" t="s">
        <v>357</v>
      </c>
      <c r="D239" s="254" t="s">
        <v>511</v>
      </c>
      <c r="E239" s="255"/>
      <c r="F239" s="255"/>
      <c r="G239" s="255"/>
      <c r="H239" s="255"/>
      <c r="I239" s="255"/>
      <c r="J239" s="255"/>
      <c r="K239" s="255"/>
      <c r="L239" s="255"/>
      <c r="M239" s="255">
        <f t="shared" si="6"/>
        <v>0</v>
      </c>
      <c r="N239" s="256"/>
      <c r="O239" s="532">
        <f t="shared" si="7"/>
        <v>0</v>
      </c>
      <c r="P239" s="257"/>
      <c r="Q239" s="9"/>
      <c r="R239" s="9"/>
    </row>
    <row r="240" spans="1:18">
      <c r="A240" s="260">
        <v>1015</v>
      </c>
      <c r="B240" s="252">
        <v>48726</v>
      </c>
      <c r="C240" s="253" t="s">
        <v>358</v>
      </c>
      <c r="D240" s="254" t="s">
        <v>513</v>
      </c>
      <c r="E240" s="255"/>
      <c r="F240" s="255"/>
      <c r="G240" s="255"/>
      <c r="H240" s="255"/>
      <c r="I240" s="255"/>
      <c r="J240" s="255"/>
      <c r="K240" s="255"/>
      <c r="L240" s="255"/>
      <c r="M240" s="255">
        <f t="shared" si="6"/>
        <v>0</v>
      </c>
      <c r="N240" s="256"/>
      <c r="O240" s="532">
        <f t="shared" si="7"/>
        <v>0</v>
      </c>
      <c r="P240" s="257"/>
      <c r="Q240" s="9"/>
      <c r="R240" s="9"/>
    </row>
    <row r="241" spans="1:18">
      <c r="A241" s="260">
        <v>1015</v>
      </c>
      <c r="B241" s="252">
        <v>48739</v>
      </c>
      <c r="C241" s="253" t="s">
        <v>359</v>
      </c>
      <c r="D241" s="254" t="s">
        <v>511</v>
      </c>
      <c r="E241" s="255"/>
      <c r="F241" s="255"/>
      <c r="G241" s="255"/>
      <c r="H241" s="255"/>
      <c r="I241" s="255"/>
      <c r="J241" s="255"/>
      <c r="K241" s="255"/>
      <c r="L241" s="255"/>
      <c r="M241" s="255">
        <f t="shared" si="6"/>
        <v>0</v>
      </c>
      <c r="N241" s="256"/>
      <c r="O241" s="532">
        <f t="shared" si="7"/>
        <v>0</v>
      </c>
      <c r="P241" s="257"/>
      <c r="Q241" s="9"/>
      <c r="R241" s="9"/>
    </row>
    <row r="242" spans="1:18">
      <c r="A242" s="260">
        <v>2010</v>
      </c>
      <c r="B242" s="252">
        <v>48800</v>
      </c>
      <c r="C242" s="253" t="s">
        <v>360</v>
      </c>
      <c r="D242" s="254" t="s">
        <v>511</v>
      </c>
      <c r="E242" s="255"/>
      <c r="F242" s="255"/>
      <c r="G242" s="255"/>
      <c r="H242" s="255"/>
      <c r="I242" s="255"/>
      <c r="J242" s="255"/>
      <c r="K242" s="255"/>
      <c r="L242" s="255"/>
      <c r="M242" s="255">
        <f t="shared" si="6"/>
        <v>0</v>
      </c>
      <c r="N242" s="256"/>
      <c r="O242" s="532">
        <f t="shared" si="7"/>
        <v>0</v>
      </c>
      <c r="P242" s="257"/>
      <c r="Q242" s="9"/>
      <c r="R242" s="9"/>
    </row>
    <row r="243" spans="1:18">
      <c r="A243" s="260">
        <v>1001</v>
      </c>
      <c r="B243" s="252">
        <v>51200</v>
      </c>
      <c r="C243" s="253" t="s">
        <v>361</v>
      </c>
      <c r="D243" s="254" t="s">
        <v>511</v>
      </c>
      <c r="E243" s="255"/>
      <c r="F243" s="255"/>
      <c r="G243" s="255"/>
      <c r="H243" s="255"/>
      <c r="I243" s="255"/>
      <c r="J243" s="255"/>
      <c r="K243" s="255"/>
      <c r="L243" s="255"/>
      <c r="M243" s="255">
        <f t="shared" si="6"/>
        <v>0</v>
      </c>
      <c r="N243" s="256"/>
      <c r="O243" s="532">
        <f t="shared" si="7"/>
        <v>0</v>
      </c>
      <c r="P243" s="257"/>
      <c r="Q243" s="9"/>
      <c r="R243" s="9"/>
    </row>
    <row r="244" spans="1:18">
      <c r="A244" s="260">
        <v>1001</v>
      </c>
      <c r="B244" s="252">
        <v>512000</v>
      </c>
      <c r="C244" s="253" t="s">
        <v>362</v>
      </c>
      <c r="D244" s="254" t="s">
        <v>511</v>
      </c>
      <c r="E244" s="255"/>
      <c r="F244" s="255"/>
      <c r="G244" s="255"/>
      <c r="H244" s="255"/>
      <c r="I244" s="255"/>
      <c r="J244" s="255"/>
      <c r="K244" s="255"/>
      <c r="L244" s="255"/>
      <c r="M244" s="255">
        <f t="shared" si="6"/>
        <v>0</v>
      </c>
      <c r="N244" s="256"/>
      <c r="O244" s="532">
        <f t="shared" si="7"/>
        <v>0</v>
      </c>
      <c r="P244" s="257"/>
      <c r="Q244" s="9"/>
      <c r="R244" s="9"/>
    </row>
    <row r="245" spans="1:18">
      <c r="A245" s="260">
        <v>1001</v>
      </c>
      <c r="B245" s="252">
        <v>512001</v>
      </c>
      <c r="C245" s="253" t="s">
        <v>363</v>
      </c>
      <c r="D245" s="254" t="s">
        <v>513</v>
      </c>
      <c r="E245" s="255"/>
      <c r="F245" s="255"/>
      <c r="G245" s="255"/>
      <c r="H245" s="255"/>
      <c r="I245" s="255"/>
      <c r="J245" s="255"/>
      <c r="K245" s="255"/>
      <c r="L245" s="255"/>
      <c r="M245" s="255">
        <f t="shared" si="6"/>
        <v>0</v>
      </c>
      <c r="N245" s="256"/>
      <c r="O245" s="532">
        <f t="shared" si="7"/>
        <v>0</v>
      </c>
      <c r="P245" s="257"/>
      <c r="Q245" s="9"/>
      <c r="R245" s="9"/>
    </row>
    <row r="246" spans="1:18">
      <c r="A246" s="260">
        <v>1001</v>
      </c>
      <c r="B246" s="252">
        <v>512002</v>
      </c>
      <c r="C246" s="253" t="s">
        <v>364</v>
      </c>
      <c r="D246" s="254" t="s">
        <v>512</v>
      </c>
      <c r="E246" s="255"/>
      <c r="F246" s="255"/>
      <c r="G246" s="255"/>
      <c r="H246" s="255"/>
      <c r="I246" s="543">
        <f>(858.46+14371.45)*139.59</f>
        <v>2125943.1368999998</v>
      </c>
      <c r="J246" s="255"/>
      <c r="K246" s="255"/>
      <c r="L246" s="255"/>
      <c r="M246" s="255">
        <f t="shared" si="6"/>
        <v>2125943.1368999998</v>
      </c>
      <c r="N246" s="256">
        <v>2239</v>
      </c>
      <c r="O246" s="532">
        <f t="shared" si="7"/>
        <v>15229.909999999998</v>
      </c>
      <c r="P246" s="257"/>
      <c r="Q246" s="9"/>
      <c r="R246" s="9"/>
    </row>
    <row r="247" spans="1:18">
      <c r="A247" s="260">
        <v>1001</v>
      </c>
      <c r="B247" s="252">
        <v>51201</v>
      </c>
      <c r="C247" s="253" t="s">
        <v>365</v>
      </c>
      <c r="D247" s="254" t="s">
        <v>513</v>
      </c>
      <c r="E247" s="255"/>
      <c r="F247" s="255"/>
      <c r="G247" s="255"/>
      <c r="H247" s="255"/>
      <c r="I247" s="544"/>
      <c r="J247" s="255"/>
      <c r="K247" s="255"/>
      <c r="L247" s="255"/>
      <c r="M247" s="255">
        <f t="shared" si="6"/>
        <v>0</v>
      </c>
      <c r="N247" s="256"/>
      <c r="O247" s="532">
        <f t="shared" si="7"/>
        <v>0</v>
      </c>
      <c r="P247" s="257"/>
      <c r="Q247" s="9"/>
      <c r="R247" s="9"/>
    </row>
    <row r="248" spans="1:18">
      <c r="A248" s="260">
        <v>1001</v>
      </c>
      <c r="B248" s="252">
        <v>512010</v>
      </c>
      <c r="C248" s="253" t="s">
        <v>366</v>
      </c>
      <c r="D248" s="254" t="s">
        <v>511</v>
      </c>
      <c r="E248" s="255"/>
      <c r="F248" s="255"/>
      <c r="G248" s="255"/>
      <c r="H248" s="255"/>
      <c r="I248" s="544"/>
      <c r="J248" s="255"/>
      <c r="K248" s="255"/>
      <c r="L248" s="255"/>
      <c r="M248" s="255">
        <f t="shared" si="6"/>
        <v>0</v>
      </c>
      <c r="N248" s="256"/>
      <c r="O248" s="532">
        <f t="shared" si="7"/>
        <v>0</v>
      </c>
      <c r="P248" s="257"/>
      <c r="Q248" s="9"/>
      <c r="R248" s="9"/>
    </row>
    <row r="249" spans="1:18">
      <c r="A249" s="260">
        <v>1001</v>
      </c>
      <c r="B249" s="252">
        <v>512011</v>
      </c>
      <c r="C249" s="253" t="s">
        <v>367</v>
      </c>
      <c r="D249" s="254" t="s">
        <v>513</v>
      </c>
      <c r="E249" s="255"/>
      <c r="F249" s="255"/>
      <c r="G249" s="255"/>
      <c r="H249" s="255"/>
      <c r="I249" s="544"/>
      <c r="J249" s="255"/>
      <c r="K249" s="255"/>
      <c r="L249" s="255"/>
      <c r="M249" s="255">
        <f t="shared" si="6"/>
        <v>0</v>
      </c>
      <c r="N249" s="256"/>
      <c r="O249" s="532">
        <f t="shared" si="7"/>
        <v>0</v>
      </c>
      <c r="P249" s="257"/>
      <c r="Q249" s="9"/>
      <c r="R249" s="9"/>
    </row>
    <row r="250" spans="1:18">
      <c r="A250" s="260">
        <v>1001</v>
      </c>
      <c r="B250" s="252">
        <v>512012</v>
      </c>
      <c r="C250" s="253" t="s">
        <v>368</v>
      </c>
      <c r="D250" s="254" t="s">
        <v>512</v>
      </c>
      <c r="E250" s="255"/>
      <c r="F250" s="255"/>
      <c r="G250" s="255"/>
      <c r="H250" s="255"/>
      <c r="I250" s="544"/>
      <c r="J250" s="255"/>
      <c r="K250" s="255"/>
      <c r="L250" s="255"/>
      <c r="M250" s="255">
        <f t="shared" si="6"/>
        <v>0</v>
      </c>
      <c r="N250" s="256"/>
      <c r="O250" s="532">
        <f t="shared" si="7"/>
        <v>0</v>
      </c>
      <c r="P250" s="257"/>
      <c r="Q250" s="9"/>
      <c r="R250" s="9"/>
    </row>
    <row r="251" spans="1:18">
      <c r="A251" s="260">
        <v>1001</v>
      </c>
      <c r="B251" s="252">
        <v>51202</v>
      </c>
      <c r="C251" s="253" t="s">
        <v>369</v>
      </c>
      <c r="D251" s="254" t="s">
        <v>512</v>
      </c>
      <c r="E251" s="255"/>
      <c r="F251" s="255"/>
      <c r="G251" s="255"/>
      <c r="H251" s="255"/>
      <c r="I251" s="544"/>
      <c r="J251" s="255"/>
      <c r="K251" s="255"/>
      <c r="L251" s="255"/>
      <c r="M251" s="255">
        <f t="shared" si="6"/>
        <v>0</v>
      </c>
      <c r="N251" s="256"/>
      <c r="O251" s="532">
        <f t="shared" si="7"/>
        <v>0</v>
      </c>
      <c r="P251" s="257"/>
      <c r="Q251" s="9"/>
      <c r="R251" s="9"/>
    </row>
    <row r="252" spans="1:18">
      <c r="A252" s="260">
        <v>1001</v>
      </c>
      <c r="B252" s="252">
        <v>512020</v>
      </c>
      <c r="C252" s="253" t="s">
        <v>370</v>
      </c>
      <c r="D252" s="254" t="s">
        <v>511</v>
      </c>
      <c r="E252" s="255"/>
      <c r="F252" s="255"/>
      <c r="G252" s="255"/>
      <c r="H252" s="255"/>
      <c r="I252" s="544"/>
      <c r="J252" s="255"/>
      <c r="K252" s="255"/>
      <c r="L252" s="255"/>
      <c r="M252" s="255">
        <f t="shared" si="6"/>
        <v>0</v>
      </c>
      <c r="N252" s="256"/>
      <c r="O252" s="532">
        <f t="shared" si="7"/>
        <v>0</v>
      </c>
      <c r="P252" s="257"/>
      <c r="Q252" s="9"/>
      <c r="R252" s="9"/>
    </row>
    <row r="253" spans="1:18">
      <c r="A253" s="260">
        <v>1001</v>
      </c>
      <c r="B253" s="252">
        <v>512022</v>
      </c>
      <c r="C253" s="253" t="s">
        <v>371</v>
      </c>
      <c r="D253" s="254" t="s">
        <v>513</v>
      </c>
      <c r="E253" s="255"/>
      <c r="F253" s="255"/>
      <c r="G253" s="255"/>
      <c r="H253" s="255"/>
      <c r="I253" s="544"/>
      <c r="J253" s="255"/>
      <c r="K253" s="255"/>
      <c r="L253" s="255"/>
      <c r="M253" s="255">
        <f t="shared" si="6"/>
        <v>0</v>
      </c>
      <c r="N253" s="256"/>
      <c r="O253" s="532">
        <f t="shared" si="7"/>
        <v>0</v>
      </c>
      <c r="P253" s="257"/>
      <c r="Q253" s="9"/>
      <c r="R253" s="9"/>
    </row>
    <row r="254" spans="1:18">
      <c r="A254" s="260">
        <v>2002</v>
      </c>
      <c r="B254" s="252">
        <v>512023</v>
      </c>
      <c r="C254" s="253" t="s">
        <v>372</v>
      </c>
      <c r="D254" s="254" t="s">
        <v>513</v>
      </c>
      <c r="E254" s="255"/>
      <c r="F254" s="255"/>
      <c r="G254" s="255"/>
      <c r="H254" s="255"/>
      <c r="I254" s="255"/>
      <c r="J254" s="255"/>
      <c r="K254" s="255"/>
      <c r="L254" s="255"/>
      <c r="M254" s="255">
        <f t="shared" si="6"/>
        <v>0</v>
      </c>
      <c r="N254" s="256"/>
      <c r="O254" s="532">
        <f t="shared" si="7"/>
        <v>0</v>
      </c>
      <c r="P254" s="257"/>
      <c r="Q254" s="9"/>
      <c r="R254" s="9"/>
    </row>
    <row r="255" spans="1:18">
      <c r="A255" s="260">
        <v>1001</v>
      </c>
      <c r="B255" s="252">
        <v>512024</v>
      </c>
      <c r="C255" s="253" t="s">
        <v>373</v>
      </c>
      <c r="D255" s="254" t="s">
        <v>512</v>
      </c>
      <c r="E255" s="255"/>
      <c r="F255" s="255"/>
      <c r="G255" s="255"/>
      <c r="H255" s="255"/>
      <c r="I255" s="544"/>
      <c r="J255" s="255"/>
      <c r="K255" s="255"/>
      <c r="L255" s="255"/>
      <c r="M255" s="255">
        <f t="shared" si="6"/>
        <v>0</v>
      </c>
      <c r="N255" s="256"/>
      <c r="O255" s="532">
        <f t="shared" si="7"/>
        <v>0</v>
      </c>
      <c r="P255" s="257"/>
      <c r="Q255" s="9"/>
      <c r="R255" s="9"/>
    </row>
    <row r="256" spans="1:18">
      <c r="A256" s="260">
        <v>1001</v>
      </c>
      <c r="B256" s="252">
        <v>512025</v>
      </c>
      <c r="C256" s="253" t="s">
        <v>374</v>
      </c>
      <c r="D256" s="254" t="s">
        <v>512</v>
      </c>
      <c r="E256" s="255"/>
      <c r="F256" s="255"/>
      <c r="G256" s="255"/>
      <c r="H256" s="255"/>
      <c r="I256" s="544"/>
      <c r="J256" s="255"/>
      <c r="K256" s="255"/>
      <c r="L256" s="255"/>
      <c r="M256" s="255">
        <f t="shared" si="6"/>
        <v>0</v>
      </c>
      <c r="N256" s="256"/>
      <c r="O256" s="532">
        <f t="shared" si="7"/>
        <v>0</v>
      </c>
      <c r="P256" s="257"/>
      <c r="Q256" s="9"/>
      <c r="R256" s="9"/>
    </row>
    <row r="257" spans="1:18">
      <c r="A257" s="260">
        <v>1001</v>
      </c>
      <c r="B257" s="252">
        <v>512026</v>
      </c>
      <c r="C257" s="253" t="s">
        <v>375</v>
      </c>
      <c r="D257" s="254" t="s">
        <v>515</v>
      </c>
      <c r="E257" s="255"/>
      <c r="F257" s="255"/>
      <c r="G257" s="255"/>
      <c r="H257" s="255"/>
      <c r="I257" s="544"/>
      <c r="J257" s="255"/>
      <c r="K257" s="255"/>
      <c r="L257" s="255"/>
      <c r="M257" s="255">
        <f t="shared" si="6"/>
        <v>0</v>
      </c>
      <c r="N257" s="256"/>
      <c r="O257" s="532">
        <f t="shared" si="7"/>
        <v>0</v>
      </c>
      <c r="P257" s="257"/>
      <c r="Q257" s="9"/>
      <c r="R257" s="9"/>
    </row>
    <row r="258" spans="1:18">
      <c r="A258" s="260">
        <v>1001</v>
      </c>
      <c r="B258" s="252">
        <v>512027</v>
      </c>
      <c r="C258" s="253" t="s">
        <v>376</v>
      </c>
      <c r="D258" s="254" t="s">
        <v>514</v>
      </c>
      <c r="E258" s="255"/>
      <c r="F258" s="255"/>
      <c r="G258" s="255"/>
      <c r="H258" s="255"/>
      <c r="I258" s="544"/>
      <c r="J258" s="255"/>
      <c r="K258" s="255"/>
      <c r="L258" s="255"/>
      <c r="M258" s="255">
        <f t="shared" si="6"/>
        <v>0</v>
      </c>
      <c r="N258" s="256"/>
      <c r="O258" s="532">
        <f t="shared" si="7"/>
        <v>0</v>
      </c>
      <c r="P258" s="257"/>
      <c r="Q258" s="9"/>
      <c r="R258" s="9"/>
    </row>
    <row r="259" spans="1:18">
      <c r="A259" s="260">
        <v>1001</v>
      </c>
      <c r="B259" s="252">
        <v>512028</v>
      </c>
      <c r="C259" s="253" t="s">
        <v>377</v>
      </c>
      <c r="D259" s="254" t="s">
        <v>511</v>
      </c>
      <c r="E259" s="255"/>
      <c r="F259" s="255"/>
      <c r="G259" s="255"/>
      <c r="H259" s="255"/>
      <c r="I259" s="544"/>
      <c r="J259" s="255"/>
      <c r="K259" s="255"/>
      <c r="L259" s="255"/>
      <c r="M259" s="255">
        <f t="shared" si="6"/>
        <v>0</v>
      </c>
      <c r="N259" s="256"/>
      <c r="O259" s="532">
        <f t="shared" si="7"/>
        <v>0</v>
      </c>
      <c r="P259" s="257"/>
      <c r="Q259" s="9"/>
      <c r="R259" s="9"/>
    </row>
    <row r="260" spans="1:18">
      <c r="A260" s="260">
        <v>2002</v>
      </c>
      <c r="B260" s="252">
        <v>512030</v>
      </c>
      <c r="C260" s="253" t="s">
        <v>378</v>
      </c>
      <c r="D260" s="254" t="s">
        <v>511</v>
      </c>
      <c r="E260" s="255"/>
      <c r="F260" s="255"/>
      <c r="G260" s="255"/>
      <c r="H260" s="255"/>
      <c r="I260" s="255"/>
      <c r="J260" s="255"/>
      <c r="K260" s="255"/>
      <c r="L260" s="255"/>
      <c r="M260" s="255">
        <f t="shared" si="6"/>
        <v>0</v>
      </c>
      <c r="N260" s="256"/>
      <c r="O260" s="532">
        <f t="shared" si="7"/>
        <v>0</v>
      </c>
      <c r="P260" s="257"/>
      <c r="Q260" s="9"/>
      <c r="R260" s="9"/>
    </row>
    <row r="261" spans="1:18">
      <c r="A261" s="260">
        <v>1001</v>
      </c>
      <c r="B261" s="252">
        <v>512031</v>
      </c>
      <c r="C261" s="253" t="s">
        <v>379</v>
      </c>
      <c r="D261" s="254" t="s">
        <v>513</v>
      </c>
      <c r="E261" s="255"/>
      <c r="F261" s="255"/>
      <c r="G261" s="255"/>
      <c r="H261" s="255"/>
      <c r="I261" s="544"/>
      <c r="J261" s="255"/>
      <c r="K261" s="255"/>
      <c r="L261" s="255"/>
      <c r="M261" s="255">
        <f t="shared" si="6"/>
        <v>0</v>
      </c>
      <c r="N261" s="256"/>
      <c r="O261" s="532">
        <f t="shared" si="7"/>
        <v>0</v>
      </c>
      <c r="P261" s="257"/>
      <c r="Q261" s="9"/>
      <c r="R261" s="9"/>
    </row>
    <row r="262" spans="1:18">
      <c r="A262" s="260">
        <v>1001</v>
      </c>
      <c r="B262" s="252">
        <v>512032</v>
      </c>
      <c r="C262" s="253" t="s">
        <v>380</v>
      </c>
      <c r="D262" s="254" t="s">
        <v>512</v>
      </c>
      <c r="E262" s="255"/>
      <c r="F262" s="255"/>
      <c r="G262" s="255"/>
      <c r="H262" s="255"/>
      <c r="I262" s="544"/>
      <c r="J262" s="255"/>
      <c r="K262" s="255"/>
      <c r="L262" s="255"/>
      <c r="M262" s="255">
        <f t="shared" ref="M262:M325" si="8">(+I262-J262)+K262-L262</f>
        <v>0</v>
      </c>
      <c r="N262" s="256"/>
      <c r="O262" s="532">
        <f t="shared" si="7"/>
        <v>0</v>
      </c>
      <c r="P262" s="257"/>
      <c r="Q262" s="9"/>
      <c r="R262" s="9"/>
    </row>
    <row r="263" spans="1:18">
      <c r="A263" s="260">
        <v>2002</v>
      </c>
      <c r="B263" s="252">
        <v>512033</v>
      </c>
      <c r="C263" s="253" t="s">
        <v>381</v>
      </c>
      <c r="D263" s="254" t="s">
        <v>513</v>
      </c>
      <c r="E263" s="255"/>
      <c r="F263" s="255"/>
      <c r="G263" s="255"/>
      <c r="H263" s="255"/>
      <c r="I263" s="255"/>
      <c r="J263" s="255"/>
      <c r="K263" s="255"/>
      <c r="L263" s="255"/>
      <c r="M263" s="255">
        <f t="shared" si="8"/>
        <v>0</v>
      </c>
      <c r="N263" s="256"/>
      <c r="O263" s="532">
        <f t="shared" si="7"/>
        <v>0</v>
      </c>
      <c r="P263" s="257"/>
      <c r="Q263" s="9"/>
      <c r="R263" s="9"/>
    </row>
    <row r="264" spans="1:18">
      <c r="A264" s="260">
        <v>2002</v>
      </c>
      <c r="B264" s="252">
        <v>512034</v>
      </c>
      <c r="C264" s="253" t="s">
        <v>382</v>
      </c>
      <c r="D264" s="254" t="s">
        <v>511</v>
      </c>
      <c r="E264" s="255"/>
      <c r="F264" s="255"/>
      <c r="G264" s="255"/>
      <c r="H264" s="255"/>
      <c r="I264" s="255"/>
      <c r="J264" s="255"/>
      <c r="K264" s="255"/>
      <c r="L264" s="255"/>
      <c r="M264" s="255">
        <f t="shared" si="8"/>
        <v>0</v>
      </c>
      <c r="N264" s="256"/>
      <c r="O264" s="532">
        <f t="shared" si="7"/>
        <v>0</v>
      </c>
      <c r="P264" s="257"/>
      <c r="Q264" s="9"/>
      <c r="R264" s="9"/>
    </row>
    <row r="265" spans="1:18">
      <c r="A265" s="260">
        <v>2002</v>
      </c>
      <c r="B265" s="252">
        <v>512040</v>
      </c>
      <c r="C265" s="253" t="s">
        <v>383</v>
      </c>
      <c r="D265" s="254" t="s">
        <v>511</v>
      </c>
      <c r="E265" s="255"/>
      <c r="F265" s="255"/>
      <c r="G265" s="255"/>
      <c r="H265" s="255"/>
      <c r="I265" s="255"/>
      <c r="J265" s="255"/>
      <c r="K265" s="255"/>
      <c r="L265" s="255"/>
      <c r="M265" s="255">
        <f t="shared" si="8"/>
        <v>0</v>
      </c>
      <c r="N265" s="256"/>
      <c r="O265" s="532">
        <f t="shared" si="7"/>
        <v>0</v>
      </c>
      <c r="P265" s="257"/>
      <c r="Q265" s="9"/>
      <c r="R265" s="9"/>
    </row>
    <row r="266" spans="1:18">
      <c r="A266" s="260">
        <v>1001</v>
      </c>
      <c r="B266" s="252">
        <v>512041</v>
      </c>
      <c r="C266" s="253" t="s">
        <v>384</v>
      </c>
      <c r="D266" s="254" t="s">
        <v>513</v>
      </c>
      <c r="E266" s="255"/>
      <c r="F266" s="255"/>
      <c r="G266" s="255"/>
      <c r="H266" s="255"/>
      <c r="I266" s="544"/>
      <c r="J266" s="255"/>
      <c r="K266" s="255"/>
      <c r="L266" s="255"/>
      <c r="M266" s="255">
        <f t="shared" si="8"/>
        <v>0</v>
      </c>
      <c r="N266" s="256"/>
      <c r="O266" s="532">
        <f t="shared" si="7"/>
        <v>0</v>
      </c>
      <c r="P266" s="257"/>
      <c r="Q266" s="9"/>
      <c r="R266" s="9"/>
    </row>
    <row r="267" spans="1:18">
      <c r="A267" s="260">
        <v>2002</v>
      </c>
      <c r="B267" s="252">
        <v>512042</v>
      </c>
      <c r="C267" s="253" t="s">
        <v>385</v>
      </c>
      <c r="D267" s="254" t="s">
        <v>512</v>
      </c>
      <c r="E267" s="255"/>
      <c r="F267" s="255"/>
      <c r="G267" s="255"/>
      <c r="H267" s="255"/>
      <c r="I267" s="255"/>
      <c r="J267" s="255"/>
      <c r="K267" s="255"/>
      <c r="L267" s="255"/>
      <c r="M267" s="255">
        <f t="shared" si="8"/>
        <v>0</v>
      </c>
      <c r="N267" s="256"/>
      <c r="O267" s="532">
        <f t="shared" si="7"/>
        <v>0</v>
      </c>
      <c r="P267" s="257"/>
      <c r="Q267" s="9"/>
      <c r="R267" s="9"/>
    </row>
    <row r="268" spans="1:18">
      <c r="A268" s="260">
        <v>2002</v>
      </c>
      <c r="B268" s="252">
        <v>512043</v>
      </c>
      <c r="C268" s="253" t="s">
        <v>543</v>
      </c>
      <c r="D268" s="254" t="s">
        <v>511</v>
      </c>
      <c r="E268" s="255"/>
      <c r="F268" s="255"/>
      <c r="G268" s="255"/>
      <c r="H268" s="255"/>
      <c r="I268" s="255"/>
      <c r="J268" s="255"/>
      <c r="K268" s="255"/>
      <c r="L268" s="255"/>
      <c r="M268" s="255">
        <f t="shared" si="8"/>
        <v>0</v>
      </c>
      <c r="N268" s="256"/>
      <c r="O268" s="532">
        <f t="shared" si="7"/>
        <v>0</v>
      </c>
      <c r="P268" s="257"/>
      <c r="Q268" s="9"/>
      <c r="R268" s="9"/>
    </row>
    <row r="269" spans="1:18">
      <c r="A269" s="260">
        <v>2002</v>
      </c>
      <c r="B269" s="252">
        <v>512050</v>
      </c>
      <c r="C269" s="253" t="s">
        <v>386</v>
      </c>
      <c r="D269" s="254" t="s">
        <v>511</v>
      </c>
      <c r="E269" s="255"/>
      <c r="F269" s="255"/>
      <c r="G269" s="255"/>
      <c r="H269" s="255"/>
      <c r="I269" s="255"/>
      <c r="J269" s="255"/>
      <c r="K269" s="255"/>
      <c r="L269" s="255"/>
      <c r="M269" s="255">
        <f t="shared" si="8"/>
        <v>0</v>
      </c>
      <c r="N269" s="256"/>
      <c r="O269" s="532">
        <f t="shared" si="7"/>
        <v>0</v>
      </c>
      <c r="P269" s="257"/>
      <c r="Q269" s="9"/>
      <c r="R269" s="9"/>
    </row>
    <row r="270" spans="1:18">
      <c r="A270" s="260">
        <v>1001</v>
      </c>
      <c r="B270" s="252">
        <v>512051</v>
      </c>
      <c r="C270" s="253" t="s">
        <v>387</v>
      </c>
      <c r="D270" s="254" t="s">
        <v>513</v>
      </c>
      <c r="E270" s="255"/>
      <c r="F270" s="255"/>
      <c r="G270" s="255"/>
      <c r="H270" s="255"/>
      <c r="I270" s="544"/>
      <c r="J270" s="255"/>
      <c r="K270" s="255"/>
      <c r="L270" s="255"/>
      <c r="M270" s="255">
        <f t="shared" si="8"/>
        <v>0</v>
      </c>
      <c r="N270" s="256"/>
      <c r="O270" s="532">
        <f t="shared" si="7"/>
        <v>0</v>
      </c>
      <c r="P270" s="257"/>
      <c r="Q270" s="9"/>
      <c r="R270" s="9"/>
    </row>
    <row r="271" spans="1:18">
      <c r="A271" s="260">
        <v>1001</v>
      </c>
      <c r="B271" s="252">
        <v>512052</v>
      </c>
      <c r="C271" s="253" t="s">
        <v>388</v>
      </c>
      <c r="D271" s="254" t="s">
        <v>512</v>
      </c>
      <c r="E271" s="255"/>
      <c r="F271" s="255"/>
      <c r="G271" s="255"/>
      <c r="H271" s="255"/>
      <c r="I271" s="544"/>
      <c r="J271" s="255"/>
      <c r="K271" s="255"/>
      <c r="L271" s="255"/>
      <c r="M271" s="255">
        <f t="shared" si="8"/>
        <v>0</v>
      </c>
      <c r="N271" s="256"/>
      <c r="O271" s="532">
        <f t="shared" si="7"/>
        <v>0</v>
      </c>
      <c r="P271" s="257"/>
      <c r="Q271" s="9"/>
      <c r="R271" s="9"/>
    </row>
    <row r="272" spans="1:18">
      <c r="A272" s="260">
        <v>1001</v>
      </c>
      <c r="B272" s="252">
        <v>512053</v>
      </c>
      <c r="C272" s="253" t="s">
        <v>389</v>
      </c>
      <c r="D272" s="254" t="s">
        <v>511</v>
      </c>
      <c r="E272" s="255"/>
      <c r="F272" s="255"/>
      <c r="G272" s="255"/>
      <c r="H272" s="255"/>
      <c r="I272" s="544"/>
      <c r="J272" s="255"/>
      <c r="K272" s="255"/>
      <c r="L272" s="255"/>
      <c r="M272" s="255">
        <f t="shared" si="8"/>
        <v>0</v>
      </c>
      <c r="N272" s="256"/>
      <c r="O272" s="532">
        <f t="shared" si="7"/>
        <v>0</v>
      </c>
      <c r="P272" s="257"/>
      <c r="Q272" s="9"/>
      <c r="R272" s="9"/>
    </row>
    <row r="273" spans="1:18">
      <c r="A273" s="260">
        <v>2002</v>
      </c>
      <c r="B273" s="252">
        <v>512060</v>
      </c>
      <c r="C273" s="253" t="s">
        <v>390</v>
      </c>
      <c r="D273" s="254" t="s">
        <v>511</v>
      </c>
      <c r="E273" s="255"/>
      <c r="F273" s="255"/>
      <c r="G273" s="255"/>
      <c r="H273" s="255"/>
      <c r="I273" s="255"/>
      <c r="J273" s="255"/>
      <c r="K273" s="255"/>
      <c r="L273" s="255"/>
      <c r="M273" s="255">
        <f t="shared" si="8"/>
        <v>0</v>
      </c>
      <c r="N273" s="256"/>
      <c r="O273" s="532">
        <f t="shared" si="7"/>
        <v>0</v>
      </c>
      <c r="P273" s="257"/>
      <c r="Q273" s="9"/>
      <c r="R273" s="9"/>
    </row>
    <row r="274" spans="1:18">
      <c r="A274" s="260">
        <v>1001</v>
      </c>
      <c r="B274" s="252">
        <v>512061</v>
      </c>
      <c r="C274" s="253" t="s">
        <v>391</v>
      </c>
      <c r="D274" s="254" t="s">
        <v>513</v>
      </c>
      <c r="E274" s="255"/>
      <c r="F274" s="255"/>
      <c r="G274" s="255"/>
      <c r="H274" s="255"/>
      <c r="I274" s="544"/>
      <c r="J274" s="255"/>
      <c r="K274" s="255"/>
      <c r="L274" s="255"/>
      <c r="M274" s="255">
        <f t="shared" si="8"/>
        <v>0</v>
      </c>
      <c r="N274" s="256"/>
      <c r="O274" s="532">
        <f t="shared" si="7"/>
        <v>0</v>
      </c>
      <c r="P274" s="257"/>
      <c r="Q274" s="9"/>
      <c r="R274" s="9"/>
    </row>
    <row r="275" spans="1:18">
      <c r="A275" s="260">
        <v>1001</v>
      </c>
      <c r="B275" s="252">
        <v>512062</v>
      </c>
      <c r="C275" s="253" t="s">
        <v>392</v>
      </c>
      <c r="D275" s="254" t="s">
        <v>512</v>
      </c>
      <c r="E275" s="255"/>
      <c r="F275" s="255"/>
      <c r="G275" s="255"/>
      <c r="H275" s="255"/>
      <c r="I275" s="544"/>
      <c r="J275" s="255"/>
      <c r="K275" s="255"/>
      <c r="L275" s="255"/>
      <c r="M275" s="255">
        <f t="shared" si="8"/>
        <v>0</v>
      </c>
      <c r="N275" s="256"/>
      <c r="O275" s="532">
        <f t="shared" si="7"/>
        <v>0</v>
      </c>
      <c r="P275" s="257"/>
      <c r="Q275" s="9"/>
      <c r="R275" s="9"/>
    </row>
    <row r="276" spans="1:18">
      <c r="A276" s="260">
        <v>2002</v>
      </c>
      <c r="B276" s="252">
        <v>512063</v>
      </c>
      <c r="C276" s="253" t="s">
        <v>544</v>
      </c>
      <c r="D276" s="254" t="s">
        <v>511</v>
      </c>
      <c r="E276" s="255"/>
      <c r="F276" s="255"/>
      <c r="G276" s="255"/>
      <c r="H276" s="255"/>
      <c r="I276" s="255"/>
      <c r="J276" s="255"/>
      <c r="K276" s="255"/>
      <c r="L276" s="255"/>
      <c r="M276" s="255">
        <f t="shared" si="8"/>
        <v>0</v>
      </c>
      <c r="N276" s="256"/>
      <c r="O276" s="532">
        <f t="shared" si="7"/>
        <v>0</v>
      </c>
      <c r="P276" s="257"/>
      <c r="Q276" s="9"/>
      <c r="R276" s="9"/>
    </row>
    <row r="277" spans="1:18">
      <c r="A277" s="260">
        <v>1001</v>
      </c>
      <c r="B277" s="252">
        <v>512070</v>
      </c>
      <c r="C277" s="253" t="s">
        <v>393</v>
      </c>
      <c r="D277" s="254" t="s">
        <v>511</v>
      </c>
      <c r="E277" s="255"/>
      <c r="F277" s="255"/>
      <c r="G277" s="255"/>
      <c r="H277" s="255"/>
      <c r="I277" s="544"/>
      <c r="J277" s="255"/>
      <c r="K277" s="255"/>
      <c r="L277" s="255"/>
      <c r="M277" s="255">
        <f t="shared" si="8"/>
        <v>0</v>
      </c>
      <c r="N277" s="256"/>
      <c r="O277" s="532">
        <f t="shared" si="7"/>
        <v>0</v>
      </c>
      <c r="P277" s="257"/>
      <c r="Q277" s="9"/>
      <c r="R277" s="9"/>
    </row>
    <row r="278" spans="1:18">
      <c r="A278" s="260">
        <v>2002</v>
      </c>
      <c r="B278" s="252">
        <v>512071</v>
      </c>
      <c r="C278" s="253" t="s">
        <v>394</v>
      </c>
      <c r="D278" s="254" t="s">
        <v>513</v>
      </c>
      <c r="E278" s="255"/>
      <c r="F278" s="255"/>
      <c r="G278" s="255"/>
      <c r="H278" s="255"/>
      <c r="I278" s="255"/>
      <c r="J278" s="255"/>
      <c r="K278" s="255"/>
      <c r="L278" s="255"/>
      <c r="M278" s="255">
        <f t="shared" si="8"/>
        <v>0</v>
      </c>
      <c r="N278" s="256"/>
      <c r="O278" s="532">
        <f t="shared" si="7"/>
        <v>0</v>
      </c>
      <c r="P278" s="257"/>
      <c r="Q278" s="9"/>
      <c r="R278" s="9"/>
    </row>
    <row r="279" spans="1:18">
      <c r="A279" s="260">
        <v>1001</v>
      </c>
      <c r="B279" s="252">
        <v>512072</v>
      </c>
      <c r="C279" s="253" t="s">
        <v>395</v>
      </c>
      <c r="D279" s="254" t="s">
        <v>512</v>
      </c>
      <c r="E279" s="255"/>
      <c r="F279" s="255"/>
      <c r="G279" s="255"/>
      <c r="H279" s="255"/>
      <c r="I279" s="544"/>
      <c r="J279" s="255"/>
      <c r="K279" s="255"/>
      <c r="L279" s="255"/>
      <c r="M279" s="255">
        <f t="shared" si="8"/>
        <v>0</v>
      </c>
      <c r="N279" s="256"/>
      <c r="O279" s="532">
        <f t="shared" si="7"/>
        <v>0</v>
      </c>
      <c r="P279" s="257"/>
      <c r="Q279" s="9"/>
      <c r="R279" s="9"/>
    </row>
    <row r="280" spans="1:18">
      <c r="A280" s="260">
        <v>1001</v>
      </c>
      <c r="B280" s="252">
        <v>512080</v>
      </c>
      <c r="C280" s="253" t="s">
        <v>396</v>
      </c>
      <c r="D280" s="254" t="s">
        <v>511</v>
      </c>
      <c r="E280" s="255"/>
      <c r="F280" s="255"/>
      <c r="G280" s="255"/>
      <c r="H280" s="255"/>
      <c r="I280" s="544"/>
      <c r="J280" s="255"/>
      <c r="K280" s="255"/>
      <c r="L280" s="255"/>
      <c r="M280" s="255">
        <f t="shared" si="8"/>
        <v>0</v>
      </c>
      <c r="N280" s="256"/>
      <c r="O280" s="532">
        <f t="shared" si="7"/>
        <v>0</v>
      </c>
      <c r="P280" s="257"/>
      <c r="Q280" s="9"/>
      <c r="R280" s="9"/>
    </row>
    <row r="281" spans="1:18">
      <c r="A281" s="260">
        <v>1001</v>
      </c>
      <c r="B281" s="252">
        <v>512081</v>
      </c>
      <c r="C281" s="253" t="s">
        <v>397</v>
      </c>
      <c r="D281" s="254" t="s">
        <v>512</v>
      </c>
      <c r="E281" s="255"/>
      <c r="F281" s="255"/>
      <c r="G281" s="255"/>
      <c r="H281" s="255"/>
      <c r="I281" s="544"/>
      <c r="J281" s="255"/>
      <c r="K281" s="255"/>
      <c r="L281" s="255"/>
      <c r="M281" s="255">
        <f t="shared" si="8"/>
        <v>0</v>
      </c>
      <c r="N281" s="256"/>
      <c r="O281" s="532">
        <f t="shared" si="7"/>
        <v>0</v>
      </c>
      <c r="P281" s="257"/>
      <c r="Q281" s="9"/>
      <c r="R281" s="9"/>
    </row>
    <row r="282" spans="1:18">
      <c r="A282" s="260">
        <v>1001</v>
      </c>
      <c r="B282" s="252">
        <v>512082</v>
      </c>
      <c r="C282" s="253" t="s">
        <v>398</v>
      </c>
      <c r="D282" s="254" t="s">
        <v>513</v>
      </c>
      <c r="E282" s="255"/>
      <c r="F282" s="255"/>
      <c r="G282" s="255"/>
      <c r="H282" s="255"/>
      <c r="I282" s="544"/>
      <c r="J282" s="255"/>
      <c r="K282" s="255"/>
      <c r="L282" s="255"/>
      <c r="M282" s="255">
        <f t="shared" si="8"/>
        <v>0</v>
      </c>
      <c r="N282" s="256"/>
      <c r="O282" s="532">
        <f t="shared" si="7"/>
        <v>0</v>
      </c>
      <c r="P282" s="257"/>
      <c r="Q282" s="9"/>
      <c r="R282" s="9"/>
    </row>
    <row r="283" spans="1:18">
      <c r="A283" s="260">
        <v>1001</v>
      </c>
      <c r="B283" s="252">
        <v>512100</v>
      </c>
      <c r="C283" s="253" t="s">
        <v>399</v>
      </c>
      <c r="D283" s="254" t="s">
        <v>513</v>
      </c>
      <c r="E283" s="255"/>
      <c r="F283" s="255"/>
      <c r="G283" s="255"/>
      <c r="H283" s="255"/>
      <c r="I283" s="544"/>
      <c r="J283" s="255"/>
      <c r="K283" s="255"/>
      <c r="L283" s="255"/>
      <c r="M283" s="255">
        <f t="shared" si="8"/>
        <v>0</v>
      </c>
      <c r="N283" s="256"/>
      <c r="O283" s="532">
        <f t="shared" si="7"/>
        <v>0</v>
      </c>
      <c r="P283" s="257"/>
      <c r="Q283" s="9"/>
      <c r="R283" s="9"/>
    </row>
    <row r="284" spans="1:18">
      <c r="A284" s="260">
        <v>1001</v>
      </c>
      <c r="B284" s="252">
        <v>512101</v>
      </c>
      <c r="C284" s="253" t="s">
        <v>400</v>
      </c>
      <c r="D284" s="254" t="s">
        <v>512</v>
      </c>
      <c r="E284" s="255"/>
      <c r="F284" s="255"/>
      <c r="G284" s="255"/>
      <c r="H284" s="255"/>
      <c r="I284" s="544"/>
      <c r="J284" s="255"/>
      <c r="K284" s="255"/>
      <c r="L284" s="255"/>
      <c r="M284" s="255">
        <f t="shared" si="8"/>
        <v>0</v>
      </c>
      <c r="N284" s="256"/>
      <c r="O284" s="532">
        <f t="shared" si="7"/>
        <v>0</v>
      </c>
      <c r="P284" s="257"/>
      <c r="Q284" s="9"/>
      <c r="R284" s="9"/>
    </row>
    <row r="285" spans="1:18">
      <c r="A285" s="260">
        <v>1001</v>
      </c>
      <c r="B285" s="252">
        <v>512200</v>
      </c>
      <c r="C285" s="253" t="s">
        <v>401</v>
      </c>
      <c r="D285" s="254" t="s">
        <v>511</v>
      </c>
      <c r="E285" s="255"/>
      <c r="F285" s="255"/>
      <c r="G285" s="255"/>
      <c r="H285" s="255"/>
      <c r="I285" s="544"/>
      <c r="J285" s="255"/>
      <c r="K285" s="255"/>
      <c r="L285" s="255"/>
      <c r="M285" s="255">
        <f t="shared" si="8"/>
        <v>0</v>
      </c>
      <c r="N285" s="256"/>
      <c r="O285" s="532">
        <f t="shared" si="7"/>
        <v>0</v>
      </c>
      <c r="P285" s="257"/>
      <c r="Q285" s="9"/>
      <c r="R285" s="9"/>
    </row>
    <row r="286" spans="1:18">
      <c r="A286" s="260">
        <v>1001</v>
      </c>
      <c r="B286" s="252">
        <v>5122001</v>
      </c>
      <c r="C286" s="253" t="s">
        <v>402</v>
      </c>
      <c r="D286" s="254" t="s">
        <v>512</v>
      </c>
      <c r="E286" s="255"/>
      <c r="F286" s="255"/>
      <c r="G286" s="255"/>
      <c r="H286" s="255"/>
      <c r="I286" s="544"/>
      <c r="J286" s="255"/>
      <c r="K286" s="255"/>
      <c r="L286" s="255"/>
      <c r="M286" s="255">
        <f t="shared" si="8"/>
        <v>0</v>
      </c>
      <c r="N286" s="256"/>
      <c r="O286" s="532">
        <f t="shared" si="7"/>
        <v>0</v>
      </c>
      <c r="P286" s="257"/>
      <c r="Q286" s="9"/>
      <c r="R286" s="9"/>
    </row>
    <row r="287" spans="1:18">
      <c r="A287" s="260">
        <v>1001</v>
      </c>
      <c r="B287" s="252">
        <v>512300</v>
      </c>
      <c r="C287" s="253" t="s">
        <v>403</v>
      </c>
      <c r="D287" s="254" t="s">
        <v>511</v>
      </c>
      <c r="E287" s="255"/>
      <c r="F287" s="255"/>
      <c r="G287" s="255"/>
      <c r="H287" s="255"/>
      <c r="I287" s="544"/>
      <c r="J287" s="255"/>
      <c r="K287" s="255"/>
      <c r="L287" s="255"/>
      <c r="M287" s="255">
        <f t="shared" si="8"/>
        <v>0</v>
      </c>
      <c r="N287" s="256"/>
      <c r="O287" s="532">
        <f t="shared" si="7"/>
        <v>0</v>
      </c>
      <c r="P287" s="257"/>
      <c r="Q287" s="9"/>
      <c r="R287" s="9"/>
    </row>
    <row r="288" spans="1:18">
      <c r="A288" s="260">
        <v>1001</v>
      </c>
      <c r="B288" s="252">
        <v>512301</v>
      </c>
      <c r="C288" s="253" t="s">
        <v>404</v>
      </c>
      <c r="D288" s="254" t="s">
        <v>512</v>
      </c>
      <c r="E288" s="255"/>
      <c r="F288" s="255"/>
      <c r="G288" s="255"/>
      <c r="H288" s="255"/>
      <c r="I288" s="544"/>
      <c r="J288" s="255"/>
      <c r="K288" s="255"/>
      <c r="L288" s="255"/>
      <c r="M288" s="255">
        <f t="shared" si="8"/>
        <v>0</v>
      </c>
      <c r="N288" s="256"/>
      <c r="O288" s="532">
        <f t="shared" si="7"/>
        <v>0</v>
      </c>
      <c r="P288" s="257"/>
      <c r="Q288" s="9"/>
      <c r="R288" s="9"/>
    </row>
    <row r="289" spans="1:18">
      <c r="A289" s="260">
        <v>1001</v>
      </c>
      <c r="B289" s="252">
        <v>51901</v>
      </c>
      <c r="C289" s="253" t="s">
        <v>405</v>
      </c>
      <c r="D289" s="254" t="s">
        <v>511</v>
      </c>
      <c r="E289" s="255"/>
      <c r="F289" s="255"/>
      <c r="G289" s="255"/>
      <c r="H289" s="255"/>
      <c r="I289" s="544"/>
      <c r="J289" s="255"/>
      <c r="K289" s="255"/>
      <c r="L289" s="255"/>
      <c r="M289" s="255">
        <f t="shared" si="8"/>
        <v>0</v>
      </c>
      <c r="N289" s="256"/>
      <c r="O289" s="532">
        <f t="shared" si="7"/>
        <v>0</v>
      </c>
      <c r="P289" s="257"/>
      <c r="Q289" s="9"/>
      <c r="R289" s="9"/>
    </row>
    <row r="290" spans="1:18">
      <c r="A290" s="260">
        <v>1001</v>
      </c>
      <c r="B290" s="252">
        <v>5311</v>
      </c>
      <c r="C290" s="253" t="s">
        <v>406</v>
      </c>
      <c r="D290" s="254" t="s">
        <v>511</v>
      </c>
      <c r="E290" s="255"/>
      <c r="F290" s="255"/>
      <c r="G290" s="255"/>
      <c r="H290" s="255"/>
      <c r="I290" s="544"/>
      <c r="J290" s="255"/>
      <c r="K290" s="255"/>
      <c r="L290" s="255"/>
      <c r="M290" s="255">
        <f t="shared" si="8"/>
        <v>0</v>
      </c>
      <c r="N290" s="256"/>
      <c r="O290" s="532">
        <f t="shared" si="7"/>
        <v>0</v>
      </c>
      <c r="P290" s="257"/>
      <c r="Q290" s="9"/>
      <c r="R290" s="9"/>
    </row>
    <row r="291" spans="1:18">
      <c r="A291" s="260">
        <v>1001</v>
      </c>
      <c r="B291" s="252">
        <v>53117</v>
      </c>
      <c r="C291" s="253" t="s">
        <v>545</v>
      </c>
      <c r="D291" s="254" t="s">
        <v>514</v>
      </c>
      <c r="E291" s="255"/>
      <c r="F291" s="255"/>
      <c r="G291" s="255"/>
      <c r="H291" s="255"/>
      <c r="I291" s="544"/>
      <c r="J291" s="255"/>
      <c r="K291" s="255"/>
      <c r="L291" s="255"/>
      <c r="M291" s="255">
        <f t="shared" si="8"/>
        <v>0</v>
      </c>
      <c r="N291" s="256"/>
      <c r="O291" s="532">
        <f t="shared" si="7"/>
        <v>0</v>
      </c>
      <c r="P291" s="257"/>
      <c r="Q291" s="9"/>
      <c r="R291" s="9"/>
    </row>
    <row r="292" spans="1:18">
      <c r="A292" s="260">
        <v>1001</v>
      </c>
      <c r="B292" s="252">
        <v>5312</v>
      </c>
      <c r="C292" s="253" t="s">
        <v>407</v>
      </c>
      <c r="D292" s="254" t="s">
        <v>513</v>
      </c>
      <c r="E292" s="255"/>
      <c r="F292" s="255"/>
      <c r="G292" s="255"/>
      <c r="H292" s="255"/>
      <c r="I292" s="544"/>
      <c r="J292" s="255"/>
      <c r="K292" s="255"/>
      <c r="L292" s="255"/>
      <c r="M292" s="255">
        <f t="shared" si="8"/>
        <v>0</v>
      </c>
      <c r="N292" s="256"/>
      <c r="O292" s="532">
        <f t="shared" si="7"/>
        <v>0</v>
      </c>
      <c r="P292" s="257"/>
      <c r="Q292" s="9"/>
      <c r="R292" s="9"/>
    </row>
    <row r="293" spans="1:18">
      <c r="A293" s="260">
        <v>1001</v>
      </c>
      <c r="B293" s="252">
        <v>5313</v>
      </c>
      <c r="C293" s="253" t="s">
        <v>408</v>
      </c>
      <c r="D293" s="254" t="s">
        <v>512</v>
      </c>
      <c r="E293" s="255"/>
      <c r="F293" s="255"/>
      <c r="G293" s="255"/>
      <c r="H293" s="255"/>
      <c r="I293" s="543">
        <f>814.93*139.59</f>
        <v>113756.0787</v>
      </c>
      <c r="J293" s="255"/>
      <c r="K293" s="255"/>
      <c r="L293" s="255"/>
      <c r="M293" s="255">
        <f t="shared" si="8"/>
        <v>113756.0787</v>
      </c>
      <c r="N293" s="256">
        <v>2240</v>
      </c>
      <c r="O293" s="532">
        <f t="shared" si="7"/>
        <v>814.93</v>
      </c>
      <c r="P293" s="257"/>
      <c r="Q293" s="9"/>
      <c r="R293" s="9"/>
    </row>
    <row r="294" spans="1:18">
      <c r="A294" s="260">
        <v>1001</v>
      </c>
      <c r="B294" s="252">
        <v>5315</v>
      </c>
      <c r="C294" s="253" t="s">
        <v>546</v>
      </c>
      <c r="D294" s="254" t="s">
        <v>511</v>
      </c>
      <c r="E294" s="255"/>
      <c r="F294" s="255"/>
      <c r="G294" s="255"/>
      <c r="H294" s="255"/>
      <c r="I294" s="544"/>
      <c r="J294" s="255"/>
      <c r="K294" s="255"/>
      <c r="L294" s="255"/>
      <c r="M294" s="255">
        <f t="shared" si="8"/>
        <v>0</v>
      </c>
      <c r="N294" s="256"/>
      <c r="O294" s="532">
        <f t="shared" si="7"/>
        <v>0</v>
      </c>
      <c r="P294" s="257"/>
      <c r="Q294" s="9"/>
      <c r="R294" s="9"/>
    </row>
    <row r="295" spans="1:18">
      <c r="A295" s="260">
        <v>1001</v>
      </c>
      <c r="B295" s="252">
        <v>5316</v>
      </c>
      <c r="C295" s="253" t="s">
        <v>547</v>
      </c>
      <c r="D295" s="254" t="s">
        <v>512</v>
      </c>
      <c r="E295" s="255"/>
      <c r="F295" s="255"/>
      <c r="G295" s="255"/>
      <c r="H295" s="255"/>
      <c r="I295" s="255"/>
      <c r="J295" s="255"/>
      <c r="K295" s="255"/>
      <c r="L295" s="255"/>
      <c r="M295" s="255">
        <f t="shared" si="8"/>
        <v>0</v>
      </c>
      <c r="N295" s="256"/>
      <c r="O295" s="532">
        <f t="shared" ref="O295:O358" si="9">M295/139.59</f>
        <v>0</v>
      </c>
      <c r="P295" s="257"/>
      <c r="Q295" s="9"/>
      <c r="R295" s="9"/>
    </row>
    <row r="296" spans="1:18">
      <c r="A296" s="260">
        <v>1001</v>
      </c>
      <c r="B296" s="252">
        <v>5317</v>
      </c>
      <c r="C296" s="253" t="s">
        <v>409</v>
      </c>
      <c r="D296" s="254" t="s">
        <v>515</v>
      </c>
      <c r="E296" s="255"/>
      <c r="F296" s="255"/>
      <c r="G296" s="255"/>
      <c r="H296" s="255"/>
      <c r="I296" s="255"/>
      <c r="J296" s="255"/>
      <c r="K296" s="255"/>
      <c r="L296" s="255"/>
      <c r="M296" s="255">
        <f t="shared" si="8"/>
        <v>0</v>
      </c>
      <c r="N296" s="256"/>
      <c r="O296" s="532">
        <f t="shared" si="9"/>
        <v>0</v>
      </c>
      <c r="P296" s="257"/>
      <c r="Q296" s="9"/>
      <c r="R296" s="9"/>
    </row>
    <row r="297" spans="1:18">
      <c r="A297" s="260">
        <v>1001</v>
      </c>
      <c r="B297" s="252">
        <v>581</v>
      </c>
      <c r="C297" s="253" t="s">
        <v>410</v>
      </c>
      <c r="D297" s="254" t="s">
        <v>511</v>
      </c>
      <c r="E297" s="255"/>
      <c r="F297" s="255"/>
      <c r="G297" s="255"/>
      <c r="H297" s="255"/>
      <c r="I297" s="255"/>
      <c r="J297" s="255"/>
      <c r="K297" s="255"/>
      <c r="L297" s="255"/>
      <c r="M297" s="255">
        <f t="shared" si="8"/>
        <v>0</v>
      </c>
      <c r="N297" s="256"/>
      <c r="O297" s="532">
        <f t="shared" si="9"/>
        <v>0</v>
      </c>
      <c r="P297" s="257"/>
      <c r="Q297" s="9"/>
      <c r="R297" s="9"/>
    </row>
    <row r="298" spans="1:18">
      <c r="A298" s="260">
        <v>1001</v>
      </c>
      <c r="B298" s="252">
        <v>5810</v>
      </c>
      <c r="C298" s="253" t="s">
        <v>411</v>
      </c>
      <c r="D298" s="254" t="s">
        <v>511</v>
      </c>
      <c r="E298" s="255"/>
      <c r="F298" s="255"/>
      <c r="G298" s="255"/>
      <c r="H298" s="255"/>
      <c r="I298" s="255"/>
      <c r="J298" s="255"/>
      <c r="K298" s="255"/>
      <c r="L298" s="255"/>
      <c r="M298" s="255">
        <f t="shared" si="8"/>
        <v>0</v>
      </c>
      <c r="N298" s="256"/>
      <c r="O298" s="532">
        <f t="shared" si="9"/>
        <v>0</v>
      </c>
      <c r="P298" s="257"/>
      <c r="Q298" s="9"/>
      <c r="R298" s="9"/>
    </row>
    <row r="299" spans="1:18">
      <c r="A299" s="260">
        <v>3001</v>
      </c>
      <c r="B299" s="252">
        <v>601</v>
      </c>
      <c r="C299" s="253" t="s">
        <v>548</v>
      </c>
      <c r="D299" s="254" t="s">
        <v>511</v>
      </c>
      <c r="E299" s="255"/>
      <c r="F299" s="255"/>
      <c r="G299" s="255"/>
      <c r="H299" s="255"/>
      <c r="I299" s="255"/>
      <c r="J299" s="255"/>
      <c r="K299" s="255">
        <f>J299</f>
        <v>0</v>
      </c>
      <c r="L299" s="570">
        <f>I299</f>
        <v>0</v>
      </c>
      <c r="M299" s="255">
        <f t="shared" si="8"/>
        <v>0</v>
      </c>
      <c r="N299" s="256"/>
      <c r="O299" s="532">
        <f t="shared" si="9"/>
        <v>0</v>
      </c>
      <c r="P299" s="257"/>
      <c r="Q299" s="9"/>
      <c r="R299" s="9"/>
    </row>
    <row r="300" spans="1:18">
      <c r="A300" s="260">
        <v>3001</v>
      </c>
      <c r="B300" s="252">
        <v>604</v>
      </c>
      <c r="C300" s="253" t="s">
        <v>412</v>
      </c>
      <c r="D300" s="254" t="s">
        <v>511</v>
      </c>
      <c r="E300" s="255"/>
      <c r="F300" s="255"/>
      <c r="G300" s="255"/>
      <c r="H300" s="255"/>
      <c r="I300" s="433">
        <f>697.86*139.59</f>
        <v>97414.277400000006</v>
      </c>
      <c r="J300" s="255"/>
      <c r="K300" s="255">
        <f t="shared" ref="K300:K363" si="10">J300</f>
        <v>0</v>
      </c>
      <c r="L300" s="570">
        <f>I300</f>
        <v>97414.277400000006</v>
      </c>
      <c r="M300" s="255">
        <f>(+I300-J300)+K300-L300</f>
        <v>0</v>
      </c>
      <c r="N300" s="256">
        <v>4001</v>
      </c>
      <c r="O300" s="532">
        <f>L300/139.59</f>
        <v>697.86</v>
      </c>
      <c r="P300" s="257"/>
      <c r="Q300" s="9"/>
      <c r="R300" s="9"/>
    </row>
    <row r="301" spans="1:18">
      <c r="A301" s="260">
        <v>3001</v>
      </c>
      <c r="B301" s="252">
        <v>6040</v>
      </c>
      <c r="C301" s="253" t="s">
        <v>413</v>
      </c>
      <c r="D301" s="254" t="s">
        <v>511</v>
      </c>
      <c r="E301" s="255"/>
      <c r="F301" s="255"/>
      <c r="G301" s="255"/>
      <c r="H301" s="255"/>
      <c r="I301" s="434">
        <f>2458.48*139.59</f>
        <v>343179.22320000001</v>
      </c>
      <c r="J301" s="255"/>
      <c r="K301" s="255">
        <f t="shared" si="10"/>
        <v>0</v>
      </c>
      <c r="L301" s="570">
        <f t="shared" ref="L301:L363" si="11">I301</f>
        <v>343179.22320000001</v>
      </c>
      <c r="M301" s="255">
        <f t="shared" si="8"/>
        <v>0</v>
      </c>
      <c r="N301" s="256">
        <v>4002</v>
      </c>
      <c r="O301" s="532">
        <f>L301/139.59</f>
        <v>2458.48</v>
      </c>
      <c r="P301" s="257"/>
      <c r="Q301" s="9"/>
      <c r="R301" s="9"/>
    </row>
    <row r="302" spans="1:18">
      <c r="A302" s="260">
        <v>3001</v>
      </c>
      <c r="B302" s="252">
        <v>6041</v>
      </c>
      <c r="C302" s="253" t="s">
        <v>549</v>
      </c>
      <c r="D302" s="254" t="s">
        <v>511</v>
      </c>
      <c r="E302" s="255"/>
      <c r="F302" s="255"/>
      <c r="G302" s="255"/>
      <c r="H302" s="255"/>
      <c r="I302" s="434">
        <f>1987.86*139.59</f>
        <v>277485.3774</v>
      </c>
      <c r="J302" s="255"/>
      <c r="K302" s="255">
        <f t="shared" si="10"/>
        <v>0</v>
      </c>
      <c r="L302" s="570">
        <f t="shared" si="11"/>
        <v>277485.3774</v>
      </c>
      <c r="M302" s="255">
        <f t="shared" si="8"/>
        <v>0</v>
      </c>
      <c r="N302" s="256">
        <v>4001</v>
      </c>
      <c r="O302" s="532">
        <f>L302/139.59</f>
        <v>1987.86</v>
      </c>
      <c r="P302" s="257"/>
      <c r="Q302" s="9"/>
      <c r="R302" s="9"/>
    </row>
    <row r="303" spans="1:18">
      <c r="A303" s="260">
        <v>3001</v>
      </c>
      <c r="B303" s="252">
        <v>605</v>
      </c>
      <c r="C303" s="253" t="s">
        <v>414</v>
      </c>
      <c r="D303" s="254" t="s">
        <v>511</v>
      </c>
      <c r="E303" s="255"/>
      <c r="F303" s="255"/>
      <c r="G303" s="255"/>
      <c r="H303" s="255"/>
      <c r="I303" s="255"/>
      <c r="J303" s="255"/>
      <c r="K303" s="255">
        <f t="shared" si="10"/>
        <v>0</v>
      </c>
      <c r="L303" s="570">
        <f t="shared" si="11"/>
        <v>0</v>
      </c>
      <c r="M303" s="255">
        <f t="shared" si="8"/>
        <v>0</v>
      </c>
      <c r="N303" s="256"/>
      <c r="O303" s="532">
        <f t="shared" si="9"/>
        <v>0</v>
      </c>
      <c r="P303" s="257"/>
      <c r="Q303" s="9"/>
      <c r="R303" s="9"/>
    </row>
    <row r="304" spans="1:18">
      <c r="A304" s="260">
        <v>3001</v>
      </c>
      <c r="B304" s="252">
        <v>6060</v>
      </c>
      <c r="C304" s="253" t="s">
        <v>415</v>
      </c>
      <c r="D304" s="254" t="s">
        <v>511</v>
      </c>
      <c r="E304" s="255"/>
      <c r="F304" s="255"/>
      <c r="G304" s="255"/>
      <c r="H304" s="255"/>
      <c r="I304" s="255"/>
      <c r="J304" s="255"/>
      <c r="K304" s="255">
        <f t="shared" si="10"/>
        <v>0</v>
      </c>
      <c r="L304" s="570">
        <f t="shared" si="11"/>
        <v>0</v>
      </c>
      <c r="M304" s="255">
        <f t="shared" si="8"/>
        <v>0</v>
      </c>
      <c r="N304" s="256">
        <v>4003</v>
      </c>
      <c r="O304" s="532">
        <f t="shared" si="9"/>
        <v>0</v>
      </c>
      <c r="P304" s="257"/>
      <c r="Q304" s="9"/>
      <c r="R304" s="9"/>
    </row>
    <row r="305" spans="1:18">
      <c r="A305" s="260">
        <v>3001</v>
      </c>
      <c r="B305" s="252">
        <v>6061</v>
      </c>
      <c r="C305" s="253" t="s">
        <v>416</v>
      </c>
      <c r="D305" s="254" t="s">
        <v>511</v>
      </c>
      <c r="E305" s="255"/>
      <c r="F305" s="255"/>
      <c r="G305" s="255"/>
      <c r="H305" s="255"/>
      <c r="I305" s="255"/>
      <c r="J305" s="255"/>
      <c r="K305" s="255">
        <f t="shared" si="10"/>
        <v>0</v>
      </c>
      <c r="L305" s="570">
        <f t="shared" si="11"/>
        <v>0</v>
      </c>
      <c r="M305" s="255">
        <f t="shared" si="8"/>
        <v>0</v>
      </c>
      <c r="N305" s="256">
        <v>4004</v>
      </c>
      <c r="O305" s="532">
        <f t="shared" si="9"/>
        <v>0</v>
      </c>
      <c r="P305" s="257"/>
      <c r="Q305" s="9"/>
      <c r="R305" s="9"/>
    </row>
    <row r="306" spans="1:18">
      <c r="A306" s="260">
        <v>3001</v>
      </c>
      <c r="B306" s="252">
        <v>6062</v>
      </c>
      <c r="C306" s="253" t="s">
        <v>417</v>
      </c>
      <c r="D306" s="254" t="s">
        <v>511</v>
      </c>
      <c r="E306" s="255"/>
      <c r="F306" s="255"/>
      <c r="G306" s="255"/>
      <c r="H306" s="255"/>
      <c r="I306" s="255"/>
      <c r="J306" s="255"/>
      <c r="K306" s="255">
        <f t="shared" si="10"/>
        <v>0</v>
      </c>
      <c r="L306" s="570">
        <f t="shared" si="11"/>
        <v>0</v>
      </c>
      <c r="M306" s="255">
        <f t="shared" si="8"/>
        <v>0</v>
      </c>
      <c r="N306" s="256"/>
      <c r="O306" s="532">
        <f t="shared" si="9"/>
        <v>0</v>
      </c>
      <c r="P306" s="257"/>
      <c r="Q306" s="9"/>
      <c r="R306" s="9"/>
    </row>
    <row r="307" spans="1:18">
      <c r="A307" s="260">
        <v>3001</v>
      </c>
      <c r="B307" s="252">
        <v>6063</v>
      </c>
      <c r="C307" s="253" t="s">
        <v>418</v>
      </c>
      <c r="D307" s="254" t="s">
        <v>511</v>
      </c>
      <c r="E307" s="255"/>
      <c r="F307" s="255"/>
      <c r="G307" s="255"/>
      <c r="H307" s="255"/>
      <c r="I307" s="255"/>
      <c r="J307" s="255"/>
      <c r="K307" s="255">
        <f t="shared" si="10"/>
        <v>0</v>
      </c>
      <c r="L307" s="570">
        <f t="shared" si="11"/>
        <v>0</v>
      </c>
      <c r="M307" s="255">
        <f t="shared" si="8"/>
        <v>0</v>
      </c>
      <c r="N307" s="256"/>
      <c r="O307" s="532">
        <f t="shared" si="9"/>
        <v>0</v>
      </c>
      <c r="P307" s="257"/>
      <c r="Q307" s="9"/>
      <c r="R307" s="9"/>
    </row>
    <row r="308" spans="1:18">
      <c r="A308" s="260">
        <v>3001</v>
      </c>
      <c r="B308" s="252">
        <v>60630</v>
      </c>
      <c r="C308" s="253" t="s">
        <v>419</v>
      </c>
      <c r="D308" s="254" t="s">
        <v>511</v>
      </c>
      <c r="E308" s="255"/>
      <c r="F308" s="255"/>
      <c r="G308" s="255"/>
      <c r="H308" s="255"/>
      <c r="I308" s="255"/>
      <c r="J308" s="255"/>
      <c r="K308" s="255">
        <f t="shared" si="10"/>
        <v>0</v>
      </c>
      <c r="L308" s="570">
        <f t="shared" si="11"/>
        <v>0</v>
      </c>
      <c r="M308" s="255">
        <f t="shared" si="8"/>
        <v>0</v>
      </c>
      <c r="N308" s="256"/>
      <c r="O308" s="532">
        <f t="shared" si="9"/>
        <v>0</v>
      </c>
      <c r="P308" s="257"/>
      <c r="Q308" s="9"/>
      <c r="R308" s="9"/>
    </row>
    <row r="309" spans="1:18">
      <c r="A309" s="260">
        <v>3001</v>
      </c>
      <c r="B309" s="252">
        <v>6064</v>
      </c>
      <c r="C309" s="253" t="s">
        <v>420</v>
      </c>
      <c r="D309" s="254" t="s">
        <v>511</v>
      </c>
      <c r="E309" s="255"/>
      <c r="F309" s="255"/>
      <c r="G309" s="255"/>
      <c r="H309" s="255"/>
      <c r="I309" s="255"/>
      <c r="J309" s="255"/>
      <c r="K309" s="255">
        <f t="shared" si="10"/>
        <v>0</v>
      </c>
      <c r="L309" s="570">
        <f t="shared" si="11"/>
        <v>0</v>
      </c>
      <c r="M309" s="255">
        <f t="shared" si="8"/>
        <v>0</v>
      </c>
      <c r="N309" s="256"/>
      <c r="O309" s="532">
        <f t="shared" si="9"/>
        <v>0</v>
      </c>
      <c r="P309" s="257"/>
      <c r="Q309" s="9"/>
      <c r="R309" s="9"/>
    </row>
    <row r="310" spans="1:18">
      <c r="A310" s="260">
        <v>3001</v>
      </c>
      <c r="B310" s="252">
        <v>6081</v>
      </c>
      <c r="C310" s="253" t="s">
        <v>421</v>
      </c>
      <c r="D310" s="254" t="s">
        <v>511</v>
      </c>
      <c r="E310" s="255"/>
      <c r="F310" s="255"/>
      <c r="G310" s="255"/>
      <c r="H310" s="255"/>
      <c r="I310" s="255"/>
      <c r="J310" s="255"/>
      <c r="K310" s="255">
        <f t="shared" si="10"/>
        <v>0</v>
      </c>
      <c r="L310" s="570">
        <f t="shared" si="11"/>
        <v>0</v>
      </c>
      <c r="M310" s="255">
        <f t="shared" si="8"/>
        <v>0</v>
      </c>
      <c r="N310" s="256"/>
      <c r="O310" s="532">
        <f t="shared" si="9"/>
        <v>0</v>
      </c>
      <c r="P310" s="257"/>
      <c r="Q310" s="9"/>
      <c r="R310" s="9"/>
    </row>
    <row r="311" spans="1:18">
      <c r="A311" s="260">
        <v>3001</v>
      </c>
      <c r="B311" s="252">
        <v>6082</v>
      </c>
      <c r="C311" s="253" t="s">
        <v>422</v>
      </c>
      <c r="D311" s="254" t="s">
        <v>511</v>
      </c>
      <c r="E311" s="255"/>
      <c r="F311" s="255"/>
      <c r="G311" s="255"/>
      <c r="H311" s="255"/>
      <c r="I311" s="255"/>
      <c r="J311" s="255"/>
      <c r="K311" s="255">
        <f t="shared" si="10"/>
        <v>0</v>
      </c>
      <c r="L311" s="570">
        <f t="shared" si="11"/>
        <v>0</v>
      </c>
      <c r="M311" s="255">
        <f t="shared" si="8"/>
        <v>0</v>
      </c>
      <c r="N311" s="256"/>
      <c r="O311" s="532">
        <f t="shared" si="9"/>
        <v>0</v>
      </c>
      <c r="P311" s="257"/>
      <c r="Q311" s="9"/>
      <c r="R311" s="9"/>
    </row>
    <row r="312" spans="1:18">
      <c r="A312" s="260">
        <v>3001</v>
      </c>
      <c r="B312" s="252">
        <v>613</v>
      </c>
      <c r="C312" s="253" t="s">
        <v>423</v>
      </c>
      <c r="D312" s="254" t="s">
        <v>511</v>
      </c>
      <c r="E312" s="255"/>
      <c r="F312" s="255"/>
      <c r="G312" s="255"/>
      <c r="H312" s="255"/>
      <c r="I312" s="255"/>
      <c r="J312" s="255"/>
      <c r="K312" s="255">
        <f t="shared" si="10"/>
        <v>0</v>
      </c>
      <c r="L312" s="570">
        <f t="shared" si="11"/>
        <v>0</v>
      </c>
      <c r="M312" s="255">
        <f t="shared" si="8"/>
        <v>0</v>
      </c>
      <c r="N312" s="256"/>
      <c r="O312" s="532">
        <f t="shared" si="9"/>
        <v>0</v>
      </c>
      <c r="P312" s="257"/>
      <c r="Q312" s="9"/>
      <c r="R312" s="9"/>
    </row>
    <row r="313" spans="1:18">
      <c r="A313" s="260">
        <v>3001</v>
      </c>
      <c r="B313" s="252">
        <v>6130</v>
      </c>
      <c r="C313" s="253" t="s">
        <v>424</v>
      </c>
      <c r="D313" s="254" t="s">
        <v>511</v>
      </c>
      <c r="E313" s="255"/>
      <c r="F313" s="255"/>
      <c r="G313" s="255"/>
      <c r="H313" s="255"/>
      <c r="I313" s="434">
        <f>3821.71*139.59</f>
        <v>533472.49890000001</v>
      </c>
      <c r="J313" s="255"/>
      <c r="K313" s="255">
        <f t="shared" si="10"/>
        <v>0</v>
      </c>
      <c r="L313" s="570">
        <f t="shared" si="11"/>
        <v>533472.49890000001</v>
      </c>
      <c r="M313" s="255">
        <f t="shared" si="8"/>
        <v>0</v>
      </c>
      <c r="N313" s="256">
        <v>4007</v>
      </c>
      <c r="O313" s="532">
        <f>L313/139.59</f>
        <v>3821.71</v>
      </c>
      <c r="P313" s="257"/>
      <c r="Q313" s="9"/>
      <c r="R313" s="9"/>
    </row>
    <row r="314" spans="1:18">
      <c r="A314" s="260">
        <v>3001</v>
      </c>
      <c r="B314" s="252">
        <v>6131</v>
      </c>
      <c r="C314" s="253" t="s">
        <v>425</v>
      </c>
      <c r="D314" s="254" t="s">
        <v>511</v>
      </c>
      <c r="E314" s="255"/>
      <c r="F314" s="255"/>
      <c r="G314" s="255"/>
      <c r="H314" s="255"/>
      <c r="I314" s="434">
        <f>4524.03*139.59</f>
        <v>631509.34769999993</v>
      </c>
      <c r="J314" s="255"/>
      <c r="K314" s="255">
        <f t="shared" si="10"/>
        <v>0</v>
      </c>
      <c r="L314" s="570">
        <f t="shared" si="11"/>
        <v>631509.34769999993</v>
      </c>
      <c r="M314" s="255">
        <f t="shared" si="8"/>
        <v>0</v>
      </c>
      <c r="N314" s="256">
        <v>4007</v>
      </c>
      <c r="O314" s="532">
        <f>L314/139.59</f>
        <v>4524.03</v>
      </c>
      <c r="P314" s="257"/>
      <c r="Q314" s="9"/>
      <c r="R314" s="9"/>
    </row>
    <row r="315" spans="1:18">
      <c r="A315" s="260">
        <v>3001</v>
      </c>
      <c r="B315" s="252">
        <v>6132</v>
      </c>
      <c r="C315" s="253" t="s">
        <v>426</v>
      </c>
      <c r="D315" s="254" t="s">
        <v>511</v>
      </c>
      <c r="E315" s="255"/>
      <c r="F315" s="255"/>
      <c r="G315" s="255"/>
      <c r="H315" s="255"/>
      <c r="I315" s="255"/>
      <c r="J315" s="255"/>
      <c r="K315" s="255">
        <f t="shared" si="10"/>
        <v>0</v>
      </c>
      <c r="L315" s="570">
        <f t="shared" si="11"/>
        <v>0</v>
      </c>
      <c r="M315" s="255">
        <f t="shared" si="8"/>
        <v>0</v>
      </c>
      <c r="N315" s="256"/>
      <c r="O315" s="532">
        <f t="shared" si="9"/>
        <v>0</v>
      </c>
      <c r="P315" s="257"/>
      <c r="Q315" s="9"/>
      <c r="R315" s="9"/>
    </row>
    <row r="316" spans="1:18">
      <c r="A316" s="260">
        <v>3001</v>
      </c>
      <c r="B316" s="252">
        <v>6133</v>
      </c>
      <c r="C316" s="253" t="s">
        <v>427</v>
      </c>
      <c r="D316" s="254" t="s">
        <v>511</v>
      </c>
      <c r="E316" s="255"/>
      <c r="F316" s="255"/>
      <c r="G316" s="255"/>
      <c r="H316" s="255"/>
      <c r="I316" s="255"/>
      <c r="J316" s="255"/>
      <c r="K316" s="255">
        <f t="shared" si="10"/>
        <v>0</v>
      </c>
      <c r="L316" s="570">
        <f t="shared" si="11"/>
        <v>0</v>
      </c>
      <c r="M316" s="255">
        <f t="shared" si="8"/>
        <v>0</v>
      </c>
      <c r="N316" s="256"/>
      <c r="O316" s="532">
        <f t="shared" si="9"/>
        <v>0</v>
      </c>
      <c r="P316" s="257"/>
      <c r="Q316" s="9"/>
      <c r="R316" s="9"/>
    </row>
    <row r="317" spans="1:18">
      <c r="A317" s="260">
        <v>3001</v>
      </c>
      <c r="B317" s="252">
        <v>6136</v>
      </c>
      <c r="C317" s="253" t="s">
        <v>550</v>
      </c>
      <c r="D317" s="254" t="s">
        <v>511</v>
      </c>
      <c r="E317" s="255"/>
      <c r="F317" s="255"/>
      <c r="G317" s="255"/>
      <c r="H317" s="255"/>
      <c r="I317" s="255"/>
      <c r="J317" s="255"/>
      <c r="K317" s="255">
        <f t="shared" si="10"/>
        <v>0</v>
      </c>
      <c r="L317" s="570">
        <f t="shared" si="11"/>
        <v>0</v>
      </c>
      <c r="M317" s="255">
        <f t="shared" si="8"/>
        <v>0</v>
      </c>
      <c r="N317" s="256"/>
      <c r="O317" s="532">
        <f t="shared" si="9"/>
        <v>0</v>
      </c>
      <c r="P317" s="257"/>
      <c r="Q317" s="9"/>
      <c r="R317" s="9"/>
    </row>
    <row r="318" spans="1:18">
      <c r="A318" s="260">
        <v>3001</v>
      </c>
      <c r="B318" s="252">
        <v>6137</v>
      </c>
      <c r="C318" s="253" t="s">
        <v>551</v>
      </c>
      <c r="D318" s="254" t="s">
        <v>511</v>
      </c>
      <c r="E318" s="255"/>
      <c r="F318" s="255"/>
      <c r="G318" s="255"/>
      <c r="H318" s="255"/>
      <c r="I318" s="255"/>
      <c r="J318" s="255"/>
      <c r="K318" s="255">
        <f t="shared" si="10"/>
        <v>0</v>
      </c>
      <c r="L318" s="570">
        <f t="shared" si="11"/>
        <v>0</v>
      </c>
      <c r="M318" s="255">
        <f t="shared" si="8"/>
        <v>0</v>
      </c>
      <c r="N318" s="256"/>
      <c r="O318" s="532">
        <f t="shared" si="9"/>
        <v>0</v>
      </c>
      <c r="P318" s="257"/>
      <c r="Q318" s="9"/>
      <c r="R318" s="9"/>
    </row>
    <row r="319" spans="1:18">
      <c r="A319" s="260">
        <v>3001</v>
      </c>
      <c r="B319" s="252">
        <v>6138</v>
      </c>
      <c r="C319" s="253" t="s">
        <v>552</v>
      </c>
      <c r="D319" s="254" t="s">
        <v>511</v>
      </c>
      <c r="E319" s="255"/>
      <c r="F319" s="255"/>
      <c r="G319" s="255"/>
      <c r="H319" s="255"/>
      <c r="I319" s="255"/>
      <c r="J319" s="255"/>
      <c r="K319" s="255">
        <f t="shared" si="10"/>
        <v>0</v>
      </c>
      <c r="L319" s="570">
        <f t="shared" si="11"/>
        <v>0</v>
      </c>
      <c r="M319" s="255">
        <f t="shared" si="8"/>
        <v>0</v>
      </c>
      <c r="N319" s="256"/>
      <c r="O319" s="532">
        <f t="shared" si="9"/>
        <v>0</v>
      </c>
      <c r="P319" s="257"/>
      <c r="Q319" s="9"/>
      <c r="R319" s="9"/>
    </row>
    <row r="320" spans="1:18">
      <c r="A320" s="260">
        <v>3001</v>
      </c>
      <c r="B320" s="252">
        <v>6139</v>
      </c>
      <c r="C320" s="253" t="s">
        <v>553</v>
      </c>
      <c r="D320" s="254" t="s">
        <v>511</v>
      </c>
      <c r="E320" s="255"/>
      <c r="F320" s="255"/>
      <c r="G320" s="255"/>
      <c r="H320" s="255"/>
      <c r="I320" s="255"/>
      <c r="J320" s="255"/>
      <c r="K320" s="255">
        <f t="shared" si="10"/>
        <v>0</v>
      </c>
      <c r="L320" s="570">
        <f t="shared" si="11"/>
        <v>0</v>
      </c>
      <c r="M320" s="255">
        <f t="shared" si="8"/>
        <v>0</v>
      </c>
      <c r="N320" s="256"/>
      <c r="O320" s="532">
        <f t="shared" si="9"/>
        <v>0</v>
      </c>
      <c r="P320" s="257"/>
      <c r="Q320" s="9"/>
      <c r="R320" s="9"/>
    </row>
    <row r="321" spans="1:18">
      <c r="A321" s="260">
        <v>3001</v>
      </c>
      <c r="B321" s="252">
        <v>615</v>
      </c>
      <c r="C321" s="253" t="s">
        <v>428</v>
      </c>
      <c r="D321" s="254" t="s">
        <v>511</v>
      </c>
      <c r="E321" s="255"/>
      <c r="F321" s="255"/>
      <c r="G321" s="255"/>
      <c r="H321" s="255"/>
      <c r="I321" s="434">
        <f>1782.54*139.59</f>
        <v>248824.7586</v>
      </c>
      <c r="J321" s="255"/>
      <c r="K321" s="255">
        <f t="shared" si="10"/>
        <v>0</v>
      </c>
      <c r="L321" s="570">
        <f t="shared" si="11"/>
        <v>248824.7586</v>
      </c>
      <c r="M321" s="255">
        <f t="shared" si="8"/>
        <v>0</v>
      </c>
      <c r="N321" s="256">
        <v>4008</v>
      </c>
      <c r="O321" s="532">
        <f>L321/139.59</f>
        <v>1782.54</v>
      </c>
      <c r="P321" s="257"/>
      <c r="Q321" s="9"/>
      <c r="R321" s="9"/>
    </row>
    <row r="322" spans="1:18">
      <c r="A322" s="260">
        <v>3001</v>
      </c>
      <c r="B322" s="252">
        <v>6150</v>
      </c>
      <c r="C322" s="253" t="s">
        <v>429</v>
      </c>
      <c r="D322" s="254" t="s">
        <v>511</v>
      </c>
      <c r="E322" s="255"/>
      <c r="F322" s="255"/>
      <c r="G322" s="255"/>
      <c r="H322" s="255"/>
      <c r="I322" s="255"/>
      <c r="J322" s="255"/>
      <c r="K322" s="255">
        <f t="shared" si="10"/>
        <v>0</v>
      </c>
      <c r="L322" s="570">
        <f t="shared" si="11"/>
        <v>0</v>
      </c>
      <c r="M322" s="255">
        <f t="shared" si="8"/>
        <v>0</v>
      </c>
      <c r="N322" s="256"/>
      <c r="O322" s="532">
        <f t="shared" si="9"/>
        <v>0</v>
      </c>
      <c r="P322" s="257"/>
      <c r="Q322" s="9"/>
      <c r="R322" s="9"/>
    </row>
    <row r="323" spans="1:18">
      <c r="A323" s="260">
        <v>3001</v>
      </c>
      <c r="B323" s="252">
        <v>6151</v>
      </c>
      <c r="C323" s="253" t="s">
        <v>430</v>
      </c>
      <c r="D323" s="254" t="s">
        <v>511</v>
      </c>
      <c r="E323" s="255"/>
      <c r="F323" s="255"/>
      <c r="G323" s="255"/>
      <c r="H323" s="255"/>
      <c r="I323" s="434">
        <f>(9.43+1440.79)*139.59</f>
        <v>202436.20980000001</v>
      </c>
      <c r="J323" s="255"/>
      <c r="K323" s="255">
        <f t="shared" si="10"/>
        <v>0</v>
      </c>
      <c r="L323" s="570">
        <f t="shared" si="11"/>
        <v>202436.20980000001</v>
      </c>
      <c r="M323" s="255">
        <f t="shared" si="8"/>
        <v>0</v>
      </c>
      <c r="N323" s="256">
        <v>4008</v>
      </c>
      <c r="O323" s="532">
        <f>L323/139.59</f>
        <v>1450.22</v>
      </c>
      <c r="P323" s="257"/>
      <c r="Q323" s="9"/>
      <c r="R323" s="9"/>
    </row>
    <row r="324" spans="1:18">
      <c r="A324" s="260">
        <v>3001</v>
      </c>
      <c r="B324" s="252">
        <v>6152</v>
      </c>
      <c r="C324" s="253" t="s">
        <v>431</v>
      </c>
      <c r="D324" s="254" t="s">
        <v>511</v>
      </c>
      <c r="E324" s="255"/>
      <c r="F324" s="255"/>
      <c r="G324" s="255"/>
      <c r="H324" s="255"/>
      <c r="I324" s="255"/>
      <c r="J324" s="255"/>
      <c r="K324" s="255">
        <f t="shared" si="10"/>
        <v>0</v>
      </c>
      <c r="L324" s="570">
        <f t="shared" si="11"/>
        <v>0</v>
      </c>
      <c r="M324" s="255">
        <f t="shared" si="8"/>
        <v>0</v>
      </c>
      <c r="N324" s="256"/>
      <c r="O324" s="532">
        <f t="shared" si="9"/>
        <v>0</v>
      </c>
      <c r="P324" s="257"/>
      <c r="Q324" s="9"/>
      <c r="R324" s="9"/>
    </row>
    <row r="325" spans="1:18">
      <c r="A325" s="260">
        <v>3001</v>
      </c>
      <c r="B325" s="252">
        <v>61520</v>
      </c>
      <c r="C325" s="253" t="s">
        <v>432</v>
      </c>
      <c r="D325" s="254" t="s">
        <v>511</v>
      </c>
      <c r="E325" s="255"/>
      <c r="F325" s="255"/>
      <c r="G325" s="255"/>
      <c r="H325" s="255"/>
      <c r="I325" s="255"/>
      <c r="J325" s="255"/>
      <c r="K325" s="255">
        <f t="shared" si="10"/>
        <v>0</v>
      </c>
      <c r="L325" s="570">
        <f t="shared" si="11"/>
        <v>0</v>
      </c>
      <c r="M325" s="255">
        <f t="shared" si="8"/>
        <v>0</v>
      </c>
      <c r="N325" s="256"/>
      <c r="O325" s="532">
        <f t="shared" si="9"/>
        <v>0</v>
      </c>
      <c r="P325" s="257"/>
      <c r="Q325" s="9"/>
      <c r="R325" s="9"/>
    </row>
    <row r="326" spans="1:18">
      <c r="A326" s="260">
        <v>3001</v>
      </c>
      <c r="B326" s="252">
        <v>6153</v>
      </c>
      <c r="C326" s="253" t="s">
        <v>554</v>
      </c>
      <c r="D326" s="254" t="s">
        <v>511</v>
      </c>
      <c r="E326" s="255"/>
      <c r="F326" s="255"/>
      <c r="G326" s="255"/>
      <c r="H326" s="255"/>
      <c r="I326" s="255"/>
      <c r="J326" s="255"/>
      <c r="K326" s="255">
        <f t="shared" si="10"/>
        <v>0</v>
      </c>
      <c r="L326" s="570">
        <f t="shared" si="11"/>
        <v>0</v>
      </c>
      <c r="M326" s="255">
        <f t="shared" ref="M326:M389" si="12">(+I326-J326)+K326-L326</f>
        <v>0</v>
      </c>
      <c r="N326" s="256"/>
      <c r="O326" s="532">
        <f t="shared" si="9"/>
        <v>0</v>
      </c>
      <c r="P326" s="257"/>
      <c r="Q326" s="9"/>
      <c r="R326" s="9"/>
    </row>
    <row r="327" spans="1:18">
      <c r="A327" s="260">
        <v>3001</v>
      </c>
      <c r="B327" s="252">
        <v>616</v>
      </c>
      <c r="C327" s="253" t="s">
        <v>433</v>
      </c>
      <c r="D327" s="254" t="s">
        <v>511</v>
      </c>
      <c r="E327" s="255"/>
      <c r="F327" s="255"/>
      <c r="G327" s="255"/>
      <c r="H327" s="255"/>
      <c r="I327" s="434">
        <f>(60.13+112.36)*139.59</f>
        <v>24077.879100000002</v>
      </c>
      <c r="J327" s="255"/>
      <c r="K327" s="255">
        <f t="shared" si="10"/>
        <v>0</v>
      </c>
      <c r="L327" s="570">
        <f t="shared" si="11"/>
        <v>24077.879100000002</v>
      </c>
      <c r="M327" s="255">
        <f t="shared" si="12"/>
        <v>0</v>
      </c>
      <c r="N327" s="256">
        <v>4009</v>
      </c>
      <c r="O327" s="532">
        <f>L327/139.59</f>
        <v>172.49</v>
      </c>
      <c r="P327" s="257"/>
      <c r="Q327" s="9"/>
      <c r="R327" s="9"/>
    </row>
    <row r="328" spans="1:18">
      <c r="A328" s="260">
        <v>3001</v>
      </c>
      <c r="B328" s="252">
        <v>6161</v>
      </c>
      <c r="C328" s="253" t="s">
        <v>555</v>
      </c>
      <c r="D328" s="254" t="s">
        <v>511</v>
      </c>
      <c r="E328" s="255"/>
      <c r="F328" s="255"/>
      <c r="G328" s="255"/>
      <c r="H328" s="255"/>
      <c r="I328" s="255"/>
      <c r="J328" s="255"/>
      <c r="K328" s="255">
        <f t="shared" si="10"/>
        <v>0</v>
      </c>
      <c r="L328" s="570">
        <f t="shared" si="11"/>
        <v>0</v>
      </c>
      <c r="M328" s="255">
        <f t="shared" si="12"/>
        <v>0</v>
      </c>
      <c r="N328" s="256"/>
      <c r="O328" s="532">
        <f t="shared" si="9"/>
        <v>0</v>
      </c>
      <c r="P328" s="257"/>
      <c r="Q328" s="9"/>
      <c r="R328" s="9"/>
    </row>
    <row r="329" spans="1:18">
      <c r="A329" s="260">
        <v>3001</v>
      </c>
      <c r="B329" s="252">
        <v>618</v>
      </c>
      <c r="C329" s="253" t="s">
        <v>168</v>
      </c>
      <c r="D329" s="254" t="s">
        <v>511</v>
      </c>
      <c r="E329" s="255"/>
      <c r="F329" s="255"/>
      <c r="G329" s="255"/>
      <c r="H329" s="255"/>
      <c r="I329" s="434">
        <f>(49.01+102.38+392.94+663.42)*139.59</f>
        <v>168589.82250000001</v>
      </c>
      <c r="J329" s="255"/>
      <c r="K329" s="255">
        <f t="shared" si="10"/>
        <v>0</v>
      </c>
      <c r="L329" s="570">
        <f t="shared" si="11"/>
        <v>168589.82250000001</v>
      </c>
      <c r="M329" s="255">
        <f t="shared" si="12"/>
        <v>0</v>
      </c>
      <c r="N329" s="256">
        <v>4019</v>
      </c>
      <c r="O329" s="542">
        <f>L329/139.59</f>
        <v>1207.75</v>
      </c>
      <c r="P329" s="257"/>
      <c r="Q329" s="9"/>
      <c r="R329" s="9"/>
    </row>
    <row r="330" spans="1:18">
      <c r="A330" s="260">
        <v>3001</v>
      </c>
      <c r="B330" s="252">
        <v>6180</v>
      </c>
      <c r="C330" s="253" t="s">
        <v>434</v>
      </c>
      <c r="D330" s="254" t="s">
        <v>511</v>
      </c>
      <c r="E330" s="255"/>
      <c r="F330" s="255"/>
      <c r="G330" s="255"/>
      <c r="H330" s="255"/>
      <c r="I330" s="255"/>
      <c r="J330" s="255"/>
      <c r="K330" s="255">
        <f t="shared" si="10"/>
        <v>0</v>
      </c>
      <c r="L330" s="570">
        <f t="shared" si="11"/>
        <v>0</v>
      </c>
      <c r="M330" s="255">
        <f t="shared" si="12"/>
        <v>0</v>
      </c>
      <c r="N330" s="256"/>
      <c r="O330" s="532">
        <f t="shared" si="9"/>
        <v>0</v>
      </c>
      <c r="P330" s="257"/>
      <c r="Q330" s="9"/>
      <c r="R330" s="9"/>
    </row>
    <row r="331" spans="1:18">
      <c r="A331" s="260">
        <v>3001</v>
      </c>
      <c r="B331" s="252">
        <v>61800</v>
      </c>
      <c r="C331" s="253" t="s">
        <v>435</v>
      </c>
      <c r="D331" s="254" t="s">
        <v>511</v>
      </c>
      <c r="E331" s="255"/>
      <c r="F331" s="255"/>
      <c r="G331" s="255"/>
      <c r="H331" s="255"/>
      <c r="I331" s="255"/>
      <c r="J331" s="255"/>
      <c r="K331" s="255">
        <f t="shared" si="10"/>
        <v>0</v>
      </c>
      <c r="L331" s="570">
        <f t="shared" si="11"/>
        <v>0</v>
      </c>
      <c r="M331" s="255">
        <f t="shared" si="12"/>
        <v>0</v>
      </c>
      <c r="N331" s="256"/>
      <c r="O331" s="532">
        <f t="shared" si="9"/>
        <v>0</v>
      </c>
      <c r="P331" s="257"/>
      <c r="Q331" s="9"/>
      <c r="R331" s="9"/>
    </row>
    <row r="332" spans="1:18">
      <c r="A332" s="260">
        <v>3001</v>
      </c>
      <c r="B332" s="252">
        <v>61801</v>
      </c>
      <c r="C332" s="253" t="s">
        <v>436</v>
      </c>
      <c r="D332" s="254" t="s">
        <v>511</v>
      </c>
      <c r="E332" s="255"/>
      <c r="F332" s="255"/>
      <c r="G332" s="255"/>
      <c r="H332" s="255"/>
      <c r="I332" s="255"/>
      <c r="J332" s="255"/>
      <c r="K332" s="255">
        <f t="shared" si="10"/>
        <v>0</v>
      </c>
      <c r="L332" s="570">
        <f t="shared" si="11"/>
        <v>0</v>
      </c>
      <c r="M332" s="255">
        <f t="shared" si="12"/>
        <v>0</v>
      </c>
      <c r="N332" s="256"/>
      <c r="O332" s="532">
        <f t="shared" si="9"/>
        <v>0</v>
      </c>
      <c r="P332" s="257"/>
      <c r="Q332" s="9"/>
      <c r="R332" s="9"/>
    </row>
    <row r="333" spans="1:18">
      <c r="A333" s="260">
        <v>3001</v>
      </c>
      <c r="B333" s="252">
        <v>61802</v>
      </c>
      <c r="C333" s="253" t="s">
        <v>437</v>
      </c>
      <c r="D333" s="254" t="s">
        <v>511</v>
      </c>
      <c r="E333" s="255"/>
      <c r="F333" s="255"/>
      <c r="G333" s="255"/>
      <c r="H333" s="255"/>
      <c r="I333" s="255"/>
      <c r="J333" s="255"/>
      <c r="K333" s="255">
        <f t="shared" si="10"/>
        <v>0</v>
      </c>
      <c r="L333" s="570">
        <f t="shared" si="11"/>
        <v>0</v>
      </c>
      <c r="M333" s="255">
        <f t="shared" si="12"/>
        <v>0</v>
      </c>
      <c r="N333" s="256"/>
      <c r="O333" s="532">
        <f t="shared" si="9"/>
        <v>0</v>
      </c>
      <c r="P333" s="257"/>
      <c r="Q333" s="9"/>
      <c r="R333" s="9"/>
    </row>
    <row r="334" spans="1:18">
      <c r="A334" s="260">
        <v>3001</v>
      </c>
      <c r="B334" s="252">
        <v>61803</v>
      </c>
      <c r="C334" s="253" t="s">
        <v>438</v>
      </c>
      <c r="D334" s="254" t="s">
        <v>511</v>
      </c>
      <c r="E334" s="255"/>
      <c r="F334" s="255"/>
      <c r="G334" s="255"/>
      <c r="H334" s="255"/>
      <c r="I334" s="255"/>
      <c r="J334" s="255"/>
      <c r="K334" s="255">
        <f t="shared" si="10"/>
        <v>0</v>
      </c>
      <c r="L334" s="570">
        <f t="shared" si="11"/>
        <v>0</v>
      </c>
      <c r="M334" s="255">
        <f t="shared" si="12"/>
        <v>0</v>
      </c>
      <c r="N334" s="256"/>
      <c r="O334" s="532">
        <f t="shared" si="9"/>
        <v>0</v>
      </c>
      <c r="P334" s="257"/>
      <c r="Q334" s="9"/>
      <c r="R334" s="9"/>
    </row>
    <row r="335" spans="1:18">
      <c r="A335" s="260">
        <v>3001</v>
      </c>
      <c r="B335" s="252">
        <v>6181</v>
      </c>
      <c r="C335" s="253" t="s">
        <v>439</v>
      </c>
      <c r="D335" s="254" t="s">
        <v>511</v>
      </c>
      <c r="E335" s="255"/>
      <c r="F335" s="255"/>
      <c r="G335" s="255"/>
      <c r="H335" s="255"/>
      <c r="I335" s="255"/>
      <c r="J335" s="255"/>
      <c r="K335" s="255">
        <f t="shared" si="10"/>
        <v>0</v>
      </c>
      <c r="L335" s="570">
        <f t="shared" si="11"/>
        <v>0</v>
      </c>
      <c r="M335" s="255">
        <f t="shared" si="12"/>
        <v>0</v>
      </c>
      <c r="N335" s="256"/>
      <c r="O335" s="532">
        <f t="shared" si="9"/>
        <v>0</v>
      </c>
      <c r="P335" s="257"/>
      <c r="Q335" s="9"/>
      <c r="R335" s="9"/>
    </row>
    <row r="336" spans="1:18">
      <c r="A336" s="260">
        <v>3001</v>
      </c>
      <c r="B336" s="252">
        <v>6183</v>
      </c>
      <c r="C336" s="253" t="s">
        <v>540</v>
      </c>
      <c r="D336" s="254" t="s">
        <v>511</v>
      </c>
      <c r="E336" s="255"/>
      <c r="F336" s="255"/>
      <c r="G336" s="255"/>
      <c r="H336" s="255"/>
      <c r="I336" s="255"/>
      <c r="J336" s="255"/>
      <c r="K336" s="255">
        <f t="shared" si="10"/>
        <v>0</v>
      </c>
      <c r="L336" s="570">
        <f t="shared" si="11"/>
        <v>0</v>
      </c>
      <c r="M336" s="255">
        <f t="shared" si="12"/>
        <v>0</v>
      </c>
      <c r="N336" s="256"/>
      <c r="O336" s="532">
        <f t="shared" si="9"/>
        <v>0</v>
      </c>
      <c r="P336" s="257"/>
      <c r="Q336" s="9"/>
      <c r="R336" s="9"/>
    </row>
    <row r="337" spans="1:18">
      <c r="A337" s="260">
        <v>3001</v>
      </c>
      <c r="B337" s="252">
        <v>61831</v>
      </c>
      <c r="C337" s="253" t="s">
        <v>440</v>
      </c>
      <c r="D337" s="254" t="s">
        <v>511</v>
      </c>
      <c r="E337" s="255"/>
      <c r="F337" s="255"/>
      <c r="G337" s="255"/>
      <c r="H337" s="255"/>
      <c r="I337" s="255"/>
      <c r="J337" s="255"/>
      <c r="K337" s="255">
        <f t="shared" si="10"/>
        <v>0</v>
      </c>
      <c r="L337" s="570">
        <f t="shared" si="11"/>
        <v>0</v>
      </c>
      <c r="M337" s="255">
        <f t="shared" si="12"/>
        <v>0</v>
      </c>
      <c r="N337" s="256"/>
      <c r="O337" s="532">
        <f t="shared" si="9"/>
        <v>0</v>
      </c>
      <c r="P337" s="257"/>
      <c r="Q337" s="9"/>
      <c r="R337" s="9"/>
    </row>
    <row r="338" spans="1:18">
      <c r="A338" s="260">
        <v>3001</v>
      </c>
      <c r="B338" s="252">
        <v>61839</v>
      </c>
      <c r="C338" s="253" t="s">
        <v>441</v>
      </c>
      <c r="D338" s="254" t="s">
        <v>511</v>
      </c>
      <c r="E338" s="255"/>
      <c r="F338" s="255"/>
      <c r="G338" s="255"/>
      <c r="H338" s="255"/>
      <c r="I338" s="255"/>
      <c r="J338" s="255"/>
      <c r="K338" s="255">
        <f t="shared" si="10"/>
        <v>0</v>
      </c>
      <c r="L338" s="570">
        <f t="shared" si="11"/>
        <v>0</v>
      </c>
      <c r="M338" s="255">
        <f t="shared" si="12"/>
        <v>0</v>
      </c>
      <c r="N338" s="256"/>
      <c r="O338" s="532">
        <f t="shared" si="9"/>
        <v>0</v>
      </c>
      <c r="P338" s="257"/>
      <c r="Q338" s="9"/>
      <c r="R338" s="9"/>
    </row>
    <row r="339" spans="1:18">
      <c r="A339" s="260">
        <v>3009</v>
      </c>
      <c r="B339" s="252">
        <v>61849</v>
      </c>
      <c r="C339" s="253" t="s">
        <v>556</v>
      </c>
      <c r="D339" s="254" t="s">
        <v>511</v>
      </c>
      <c r="E339" s="255"/>
      <c r="F339" s="255"/>
      <c r="G339" s="255"/>
      <c r="H339" s="255"/>
      <c r="I339" s="255"/>
      <c r="J339" s="255"/>
      <c r="K339" s="255">
        <f t="shared" si="10"/>
        <v>0</v>
      </c>
      <c r="L339" s="554">
        <f t="shared" si="11"/>
        <v>0</v>
      </c>
      <c r="M339" s="255">
        <f t="shared" si="12"/>
        <v>0</v>
      </c>
      <c r="N339" s="256"/>
      <c r="O339" s="532">
        <f t="shared" si="9"/>
        <v>0</v>
      </c>
      <c r="P339" s="257"/>
      <c r="Q339" s="9"/>
      <c r="R339" s="9"/>
    </row>
    <row r="340" spans="1:18">
      <c r="A340" s="260">
        <v>3001</v>
      </c>
      <c r="B340" s="252">
        <v>6185</v>
      </c>
      <c r="C340" s="253" t="s">
        <v>442</v>
      </c>
      <c r="D340" s="254" t="s">
        <v>511</v>
      </c>
      <c r="E340" s="255"/>
      <c r="F340" s="255"/>
      <c r="G340" s="255"/>
      <c r="H340" s="255"/>
      <c r="I340" s="255"/>
      <c r="J340" s="255"/>
      <c r="K340" s="255">
        <f t="shared" si="10"/>
        <v>0</v>
      </c>
      <c r="L340" s="570">
        <f t="shared" si="11"/>
        <v>0</v>
      </c>
      <c r="M340" s="255">
        <f t="shared" si="12"/>
        <v>0</v>
      </c>
      <c r="N340" s="256"/>
      <c r="O340" s="532">
        <f t="shared" si="9"/>
        <v>0</v>
      </c>
      <c r="P340" s="257"/>
      <c r="Q340" s="9"/>
      <c r="R340" s="9"/>
    </row>
    <row r="341" spans="1:18">
      <c r="A341" s="260">
        <v>3001</v>
      </c>
      <c r="B341" s="252">
        <v>6186</v>
      </c>
      <c r="C341" s="253" t="s">
        <v>443</v>
      </c>
      <c r="D341" s="254" t="s">
        <v>511</v>
      </c>
      <c r="E341" s="255"/>
      <c r="F341" s="255"/>
      <c r="G341" s="255"/>
      <c r="H341" s="255"/>
      <c r="I341" s="255"/>
      <c r="J341" s="255"/>
      <c r="K341" s="255">
        <f t="shared" si="10"/>
        <v>0</v>
      </c>
      <c r="L341" s="570">
        <f t="shared" si="11"/>
        <v>0</v>
      </c>
      <c r="M341" s="255">
        <f t="shared" si="12"/>
        <v>0</v>
      </c>
      <c r="N341" s="256"/>
      <c r="O341" s="532">
        <f t="shared" si="9"/>
        <v>0</v>
      </c>
      <c r="P341" s="257"/>
      <c r="Q341" s="9"/>
      <c r="R341" s="9"/>
    </row>
    <row r="342" spans="1:18">
      <c r="A342" s="260">
        <v>3001</v>
      </c>
      <c r="B342" s="252">
        <v>6187</v>
      </c>
      <c r="C342" s="253" t="s">
        <v>557</v>
      </c>
      <c r="D342" s="254" t="s">
        <v>511</v>
      </c>
      <c r="E342" s="255"/>
      <c r="F342" s="255"/>
      <c r="G342" s="255"/>
      <c r="H342" s="255"/>
      <c r="I342" s="255"/>
      <c r="J342" s="255"/>
      <c r="K342" s="255">
        <f t="shared" si="10"/>
        <v>0</v>
      </c>
      <c r="L342" s="570">
        <f t="shared" si="11"/>
        <v>0</v>
      </c>
      <c r="M342" s="255">
        <f t="shared" si="12"/>
        <v>0</v>
      </c>
      <c r="N342" s="256"/>
      <c r="O342" s="532">
        <f t="shared" si="9"/>
        <v>0</v>
      </c>
      <c r="P342" s="257"/>
      <c r="Q342" s="9"/>
      <c r="R342" s="9"/>
    </row>
    <row r="343" spans="1:18">
      <c r="A343" s="260">
        <v>3001</v>
      </c>
      <c r="B343" s="252">
        <v>621</v>
      </c>
      <c r="C343" s="253" t="s">
        <v>444</v>
      </c>
      <c r="D343" s="254" t="s">
        <v>511</v>
      </c>
      <c r="E343" s="255"/>
      <c r="F343" s="255"/>
      <c r="G343" s="255"/>
      <c r="H343" s="255"/>
      <c r="I343" s="255"/>
      <c r="J343" s="255"/>
      <c r="K343" s="255">
        <f t="shared" si="10"/>
        <v>0</v>
      </c>
      <c r="L343" s="570">
        <f t="shared" si="11"/>
        <v>0</v>
      </c>
      <c r="M343" s="255">
        <f t="shared" si="12"/>
        <v>0</v>
      </c>
      <c r="N343" s="256"/>
      <c r="O343" s="532">
        <f t="shared" si="9"/>
        <v>0</v>
      </c>
      <c r="P343" s="257"/>
      <c r="Q343" s="9"/>
      <c r="R343" s="9"/>
    </row>
    <row r="344" spans="1:18">
      <c r="A344" s="273">
        <v>3010</v>
      </c>
      <c r="B344" s="252">
        <v>60000</v>
      </c>
      <c r="C344" s="253" t="s">
        <v>868</v>
      </c>
      <c r="D344" s="254" t="s">
        <v>511</v>
      </c>
      <c r="E344" s="255"/>
      <c r="F344" s="255"/>
      <c r="G344" s="255"/>
      <c r="H344" s="255"/>
      <c r="I344" s="255"/>
      <c r="J344" s="255"/>
      <c r="K344" s="255">
        <f>SUM(L299:L440)-K433-K435</f>
        <v>3420518.943599999</v>
      </c>
      <c r="L344" s="554">
        <f t="shared" si="11"/>
        <v>0</v>
      </c>
      <c r="M344" s="570">
        <f>(+I344-J344)+K344-L344</f>
        <v>3420518.943599999</v>
      </c>
      <c r="N344" s="256">
        <v>5006</v>
      </c>
      <c r="O344" s="532">
        <f t="shared" si="9"/>
        <v>24504.039999999994</v>
      </c>
      <c r="P344" s="257"/>
      <c r="Q344" s="9"/>
      <c r="R344" s="9"/>
    </row>
    <row r="345" spans="1:18">
      <c r="A345" s="260">
        <v>3001</v>
      </c>
      <c r="B345" s="252">
        <v>62102</v>
      </c>
      <c r="C345" s="253" t="s">
        <v>558</v>
      </c>
      <c r="D345" s="254" t="s">
        <v>511</v>
      </c>
      <c r="E345" s="255"/>
      <c r="F345" s="255"/>
      <c r="G345" s="255"/>
      <c r="H345" s="255"/>
      <c r="I345" s="255"/>
      <c r="J345" s="255"/>
      <c r="K345" s="255">
        <f t="shared" si="10"/>
        <v>0</v>
      </c>
      <c r="L345" s="570">
        <f t="shared" si="11"/>
        <v>0</v>
      </c>
      <c r="M345" s="255">
        <f t="shared" si="12"/>
        <v>0</v>
      </c>
      <c r="N345" s="256"/>
      <c r="O345" s="532">
        <f t="shared" si="9"/>
        <v>0</v>
      </c>
      <c r="P345" s="257"/>
      <c r="Q345" s="9"/>
      <c r="R345" s="9"/>
    </row>
    <row r="346" spans="1:18">
      <c r="A346" s="260">
        <v>3001</v>
      </c>
      <c r="B346" s="252">
        <v>62103</v>
      </c>
      <c r="C346" s="253" t="s">
        <v>559</v>
      </c>
      <c r="D346" s="254" t="s">
        <v>511</v>
      </c>
      <c r="E346" s="255"/>
      <c r="F346" s="255"/>
      <c r="G346" s="255"/>
      <c r="H346" s="255"/>
      <c r="I346" s="255"/>
      <c r="J346" s="255"/>
      <c r="K346" s="255">
        <f t="shared" si="10"/>
        <v>0</v>
      </c>
      <c r="L346" s="570">
        <f t="shared" si="11"/>
        <v>0</v>
      </c>
      <c r="M346" s="255">
        <f t="shared" si="12"/>
        <v>0</v>
      </c>
      <c r="N346" s="256"/>
      <c r="O346" s="532">
        <f t="shared" si="9"/>
        <v>0</v>
      </c>
      <c r="P346" s="257"/>
      <c r="Q346" s="9"/>
      <c r="R346" s="9"/>
    </row>
    <row r="347" spans="1:18">
      <c r="A347" s="260">
        <v>3001</v>
      </c>
      <c r="B347" s="252">
        <v>6211</v>
      </c>
      <c r="C347" s="253" t="s">
        <v>445</v>
      </c>
      <c r="D347" s="254" t="s">
        <v>511</v>
      </c>
      <c r="E347" s="255"/>
      <c r="F347" s="255"/>
      <c r="G347" s="255"/>
      <c r="H347" s="255"/>
      <c r="I347" s="255"/>
      <c r="J347" s="255"/>
      <c r="K347" s="255">
        <f t="shared" si="10"/>
        <v>0</v>
      </c>
      <c r="L347" s="570">
        <f t="shared" si="11"/>
        <v>0</v>
      </c>
      <c r="M347" s="255">
        <f t="shared" si="12"/>
        <v>0</v>
      </c>
      <c r="N347" s="256"/>
      <c r="O347" s="532">
        <f t="shared" si="9"/>
        <v>0</v>
      </c>
      <c r="P347" s="257"/>
      <c r="Q347" s="9"/>
      <c r="R347" s="9"/>
    </row>
    <row r="348" spans="1:18">
      <c r="A348" s="260">
        <v>3001</v>
      </c>
      <c r="B348" s="252">
        <v>6212</v>
      </c>
      <c r="C348" s="253" t="s">
        <v>446</v>
      </c>
      <c r="D348" s="254" t="s">
        <v>511</v>
      </c>
      <c r="E348" s="255"/>
      <c r="F348" s="255"/>
      <c r="G348" s="255"/>
      <c r="H348" s="255"/>
      <c r="I348" s="255"/>
      <c r="J348" s="255"/>
      <c r="K348" s="255">
        <f t="shared" si="10"/>
        <v>0</v>
      </c>
      <c r="L348" s="570">
        <f t="shared" si="11"/>
        <v>0</v>
      </c>
      <c r="M348" s="255">
        <f t="shared" si="12"/>
        <v>0</v>
      </c>
      <c r="N348" s="256"/>
      <c r="O348" s="532">
        <f t="shared" si="9"/>
        <v>0</v>
      </c>
      <c r="P348" s="257"/>
      <c r="Q348" s="9"/>
      <c r="R348" s="9"/>
    </row>
    <row r="349" spans="1:18">
      <c r="A349" s="260">
        <v>3001</v>
      </c>
      <c r="B349" s="252">
        <v>6216</v>
      </c>
      <c r="C349" s="253" t="s">
        <v>447</v>
      </c>
      <c r="D349" s="254" t="s">
        <v>511</v>
      </c>
      <c r="E349" s="255"/>
      <c r="F349" s="255"/>
      <c r="G349" s="255"/>
      <c r="H349" s="255"/>
      <c r="I349" s="255"/>
      <c r="J349" s="255"/>
      <c r="K349" s="255">
        <f t="shared" si="10"/>
        <v>0</v>
      </c>
      <c r="L349" s="570">
        <f t="shared" si="11"/>
        <v>0</v>
      </c>
      <c r="M349" s="255">
        <f t="shared" si="12"/>
        <v>0</v>
      </c>
      <c r="N349" s="256"/>
      <c r="O349" s="532">
        <f t="shared" si="9"/>
        <v>0</v>
      </c>
      <c r="P349" s="257"/>
      <c r="Q349" s="9"/>
      <c r="R349" s="9"/>
    </row>
    <row r="350" spans="1:18">
      <c r="A350" s="260">
        <v>3001</v>
      </c>
      <c r="B350" s="252">
        <v>6220</v>
      </c>
      <c r="C350" s="253" t="s">
        <v>448</v>
      </c>
      <c r="D350" s="254" t="s">
        <v>511</v>
      </c>
      <c r="E350" s="255"/>
      <c r="F350" s="255"/>
      <c r="G350" s="255"/>
      <c r="H350" s="255"/>
      <c r="I350" s="255"/>
      <c r="J350" s="255"/>
      <c r="K350" s="255">
        <f t="shared" si="10"/>
        <v>0</v>
      </c>
      <c r="L350" s="570">
        <f t="shared" si="11"/>
        <v>0</v>
      </c>
      <c r="M350" s="255">
        <f t="shared" si="12"/>
        <v>0</v>
      </c>
      <c r="N350" s="256">
        <v>4013</v>
      </c>
      <c r="O350" s="532">
        <f t="shared" si="9"/>
        <v>0</v>
      </c>
      <c r="P350" s="257"/>
      <c r="Q350" s="9"/>
      <c r="R350" s="9"/>
    </row>
    <row r="351" spans="1:18">
      <c r="A351" s="260">
        <v>3001</v>
      </c>
      <c r="B351" s="252">
        <v>62201</v>
      </c>
      <c r="C351" s="253" t="s">
        <v>449</v>
      </c>
      <c r="D351" s="254" t="s">
        <v>511</v>
      </c>
      <c r="E351" s="255"/>
      <c r="F351" s="255"/>
      <c r="G351" s="255"/>
      <c r="H351" s="255"/>
      <c r="I351" s="255"/>
      <c r="J351" s="255"/>
      <c r="K351" s="255">
        <f t="shared" si="10"/>
        <v>0</v>
      </c>
      <c r="L351" s="570">
        <f t="shared" si="11"/>
        <v>0</v>
      </c>
      <c r="M351" s="255">
        <f t="shared" si="12"/>
        <v>0</v>
      </c>
      <c r="N351" s="256"/>
      <c r="O351" s="532">
        <f t="shared" si="9"/>
        <v>0</v>
      </c>
      <c r="P351" s="257"/>
      <c r="Q351" s="9"/>
      <c r="R351" s="9"/>
    </row>
    <row r="352" spans="1:18">
      <c r="A352" s="260">
        <v>3001</v>
      </c>
      <c r="B352" s="252">
        <v>6221</v>
      </c>
      <c r="C352" s="253" t="s">
        <v>450</v>
      </c>
      <c r="D352" s="254" t="s">
        <v>511</v>
      </c>
      <c r="E352" s="255"/>
      <c r="F352" s="255"/>
      <c r="G352" s="255"/>
      <c r="H352" s="255"/>
      <c r="I352" s="434">
        <f>1531.63*139.59</f>
        <v>213800.23170000003</v>
      </c>
      <c r="J352" s="255"/>
      <c r="K352" s="255">
        <f t="shared" si="10"/>
        <v>0</v>
      </c>
      <c r="L352" s="570">
        <f t="shared" si="11"/>
        <v>213800.23170000003</v>
      </c>
      <c r="M352" s="255">
        <f t="shared" si="12"/>
        <v>0</v>
      </c>
      <c r="N352" s="256">
        <v>4014</v>
      </c>
      <c r="O352" s="532">
        <f>L352/139.59</f>
        <v>1531.63</v>
      </c>
      <c r="P352" s="257"/>
      <c r="Q352" s="9"/>
      <c r="R352" s="9"/>
    </row>
    <row r="353" spans="1:18">
      <c r="A353" s="260">
        <v>3001</v>
      </c>
      <c r="B353" s="252">
        <v>6225</v>
      </c>
      <c r="C353" s="253" t="s">
        <v>451</v>
      </c>
      <c r="D353" s="254" t="s">
        <v>511</v>
      </c>
      <c r="E353" s="255"/>
      <c r="F353" s="255"/>
      <c r="G353" s="255"/>
      <c r="H353" s="255"/>
      <c r="I353" s="255"/>
      <c r="J353" s="255"/>
      <c r="K353" s="255">
        <f t="shared" si="10"/>
        <v>0</v>
      </c>
      <c r="L353" s="570">
        <f t="shared" si="11"/>
        <v>0</v>
      </c>
      <c r="M353" s="255">
        <f t="shared" si="12"/>
        <v>0</v>
      </c>
      <c r="N353" s="256"/>
      <c r="O353" s="532">
        <f t="shared" si="9"/>
        <v>0</v>
      </c>
      <c r="P353" s="257"/>
      <c r="Q353" s="9"/>
      <c r="R353" s="9"/>
    </row>
    <row r="354" spans="1:18">
      <c r="A354" s="260">
        <v>3001</v>
      </c>
      <c r="B354" s="252">
        <v>6226</v>
      </c>
      <c r="C354" s="253" t="s">
        <v>452</v>
      </c>
      <c r="D354" s="254" t="s">
        <v>511</v>
      </c>
      <c r="E354" s="255"/>
      <c r="F354" s="255"/>
      <c r="G354" s="255"/>
      <c r="H354" s="255"/>
      <c r="I354" s="255"/>
      <c r="J354" s="255"/>
      <c r="K354" s="255">
        <f t="shared" si="10"/>
        <v>0</v>
      </c>
      <c r="L354" s="570">
        <f t="shared" si="11"/>
        <v>0</v>
      </c>
      <c r="M354" s="255">
        <f t="shared" si="12"/>
        <v>0</v>
      </c>
      <c r="N354" s="256"/>
      <c r="O354" s="532">
        <f t="shared" si="9"/>
        <v>0</v>
      </c>
      <c r="P354" s="257"/>
      <c r="Q354" s="9"/>
      <c r="R354" s="9"/>
    </row>
    <row r="355" spans="1:18">
      <c r="A355" s="260">
        <v>3001</v>
      </c>
      <c r="B355" s="252">
        <v>624</v>
      </c>
      <c r="C355" s="253" t="s">
        <v>453</v>
      </c>
      <c r="D355" s="254" t="s">
        <v>511</v>
      </c>
      <c r="E355" s="255"/>
      <c r="F355" s="255"/>
      <c r="G355" s="255"/>
      <c r="H355" s="255"/>
      <c r="I355" s="255"/>
      <c r="J355" s="255"/>
      <c r="K355" s="255">
        <f t="shared" si="10"/>
        <v>0</v>
      </c>
      <c r="L355" s="570">
        <f t="shared" si="11"/>
        <v>0</v>
      </c>
      <c r="M355" s="255">
        <f t="shared" si="12"/>
        <v>0</v>
      </c>
      <c r="N355" s="256"/>
      <c r="O355" s="532">
        <f t="shared" si="9"/>
        <v>0</v>
      </c>
      <c r="P355" s="257"/>
      <c r="Q355" s="9"/>
      <c r="R355" s="9"/>
    </row>
    <row r="356" spans="1:18">
      <c r="A356" s="260">
        <v>3001</v>
      </c>
      <c r="B356" s="252">
        <v>6241</v>
      </c>
      <c r="C356" s="253" t="s">
        <v>561</v>
      </c>
      <c r="D356" s="254" t="s">
        <v>511</v>
      </c>
      <c r="E356" s="255"/>
      <c r="F356" s="255"/>
      <c r="G356" s="255"/>
      <c r="H356" s="255"/>
      <c r="I356" s="255"/>
      <c r="J356" s="255"/>
      <c r="K356" s="255">
        <f t="shared" si="10"/>
        <v>0</v>
      </c>
      <c r="L356" s="570">
        <f t="shared" si="11"/>
        <v>0</v>
      </c>
      <c r="M356" s="255">
        <f t="shared" si="12"/>
        <v>0</v>
      </c>
      <c r="N356" s="256"/>
      <c r="O356" s="532">
        <f t="shared" si="9"/>
        <v>0</v>
      </c>
      <c r="P356" s="257"/>
      <c r="Q356" s="9"/>
      <c r="R356" s="9"/>
    </row>
    <row r="357" spans="1:18">
      <c r="A357" s="260">
        <v>3001</v>
      </c>
      <c r="B357" s="252">
        <v>6240</v>
      </c>
      <c r="C357" s="253" t="s">
        <v>454</v>
      </c>
      <c r="D357" s="254" t="s">
        <v>511</v>
      </c>
      <c r="E357" s="255"/>
      <c r="F357" s="255"/>
      <c r="G357" s="255"/>
      <c r="H357" s="255"/>
      <c r="I357" s="255"/>
      <c r="J357" s="255"/>
      <c r="K357" s="255">
        <f t="shared" si="10"/>
        <v>0</v>
      </c>
      <c r="L357" s="570">
        <f t="shared" si="11"/>
        <v>0</v>
      </c>
      <c r="M357" s="255">
        <f t="shared" si="12"/>
        <v>0</v>
      </c>
      <c r="N357" s="256"/>
      <c r="O357" s="532">
        <f t="shared" si="9"/>
        <v>0</v>
      </c>
      <c r="P357" s="257"/>
      <c r="Q357" s="9"/>
      <c r="R357" s="9"/>
    </row>
    <row r="358" spans="1:18">
      <c r="A358" s="260">
        <v>3001</v>
      </c>
      <c r="B358" s="252">
        <v>6242</v>
      </c>
      <c r="C358" s="253" t="s">
        <v>455</v>
      </c>
      <c r="D358" s="254" t="s">
        <v>511</v>
      </c>
      <c r="E358" s="255"/>
      <c r="F358" s="255"/>
      <c r="G358" s="255"/>
      <c r="H358" s="255"/>
      <c r="I358" s="255"/>
      <c r="J358" s="255"/>
      <c r="K358" s="255">
        <f t="shared" si="10"/>
        <v>0</v>
      </c>
      <c r="L358" s="570">
        <f t="shared" si="11"/>
        <v>0</v>
      </c>
      <c r="M358" s="255">
        <f t="shared" si="12"/>
        <v>0</v>
      </c>
      <c r="N358" s="256"/>
      <c r="O358" s="532">
        <f t="shared" si="9"/>
        <v>0</v>
      </c>
      <c r="P358" s="257"/>
      <c r="Q358" s="9"/>
      <c r="R358" s="9"/>
    </row>
    <row r="359" spans="1:18">
      <c r="A359" s="260">
        <v>3001</v>
      </c>
      <c r="B359" s="252">
        <v>625</v>
      </c>
      <c r="C359" s="253" t="s">
        <v>456</v>
      </c>
      <c r="D359" s="254" t="s">
        <v>511</v>
      </c>
      <c r="E359" s="255"/>
      <c r="F359" s="255"/>
      <c r="G359" s="255"/>
      <c r="H359" s="255"/>
      <c r="I359" s="434">
        <f>524.9*139.59</f>
        <v>73270.790999999997</v>
      </c>
      <c r="J359" s="255"/>
      <c r="K359" s="255">
        <f t="shared" si="10"/>
        <v>0</v>
      </c>
      <c r="L359" s="570">
        <f t="shared" si="11"/>
        <v>73270.790999999997</v>
      </c>
      <c r="M359" s="255">
        <f t="shared" si="12"/>
        <v>0</v>
      </c>
      <c r="N359" s="256">
        <v>5005</v>
      </c>
      <c r="O359" s="532">
        <f>L359/139.59</f>
        <v>524.9</v>
      </c>
      <c r="P359" s="257"/>
      <c r="Q359" s="9"/>
      <c r="R359" s="9"/>
    </row>
    <row r="360" spans="1:18">
      <c r="A360" s="260">
        <v>3001</v>
      </c>
      <c r="B360" s="252">
        <v>6260</v>
      </c>
      <c r="C360" s="253" t="s">
        <v>457</v>
      </c>
      <c r="D360" s="254" t="s">
        <v>511</v>
      </c>
      <c r="E360" s="255"/>
      <c r="F360" s="255"/>
      <c r="G360" s="255"/>
      <c r="H360" s="255"/>
      <c r="I360" s="434">
        <f>2169.21*139.59</f>
        <v>302800.02390000003</v>
      </c>
      <c r="J360" s="255"/>
      <c r="K360" s="255">
        <f t="shared" si="10"/>
        <v>0</v>
      </c>
      <c r="L360" s="570">
        <f t="shared" si="11"/>
        <v>302800.02390000003</v>
      </c>
      <c r="M360" s="255">
        <f t="shared" si="12"/>
        <v>0</v>
      </c>
      <c r="N360" s="256">
        <v>4016</v>
      </c>
      <c r="O360" s="532">
        <f>L360/139.59</f>
        <v>2169.21</v>
      </c>
      <c r="P360" s="257"/>
      <c r="Q360" s="9"/>
      <c r="R360" s="9"/>
    </row>
    <row r="361" spans="1:18">
      <c r="A361" s="260">
        <v>3001</v>
      </c>
      <c r="B361" s="252">
        <v>6261</v>
      </c>
      <c r="C361" s="253" t="s">
        <v>458</v>
      </c>
      <c r="D361" s="254" t="s">
        <v>511</v>
      </c>
      <c r="E361" s="255"/>
      <c r="F361" s="255"/>
      <c r="G361" s="255"/>
      <c r="H361" s="255"/>
      <c r="I361" s="434">
        <f>1304.93*139.59</f>
        <v>182155.17870000002</v>
      </c>
      <c r="J361" s="255"/>
      <c r="K361" s="255">
        <f t="shared" si="10"/>
        <v>0</v>
      </c>
      <c r="L361" s="570">
        <f t="shared" si="11"/>
        <v>182155.17870000002</v>
      </c>
      <c r="M361" s="255">
        <f t="shared" si="12"/>
        <v>0</v>
      </c>
      <c r="N361" s="256">
        <v>4016</v>
      </c>
      <c r="O361" s="532">
        <f>L361/139.59</f>
        <v>1304.93</v>
      </c>
      <c r="P361" s="257"/>
      <c r="Q361" s="9"/>
      <c r="R361" s="9"/>
    </row>
    <row r="362" spans="1:18">
      <c r="A362" s="260">
        <v>3001</v>
      </c>
      <c r="B362" s="252">
        <v>6262</v>
      </c>
      <c r="C362" s="253" t="s">
        <v>459</v>
      </c>
      <c r="D362" s="254" t="s">
        <v>511</v>
      </c>
      <c r="E362" s="255"/>
      <c r="F362" s="255"/>
      <c r="G362" s="255"/>
      <c r="H362" s="255"/>
      <c r="I362" s="255"/>
      <c r="J362" s="255"/>
      <c r="K362" s="255">
        <f t="shared" si="10"/>
        <v>0</v>
      </c>
      <c r="L362" s="570">
        <f t="shared" si="11"/>
        <v>0</v>
      </c>
      <c r="M362" s="255">
        <f t="shared" si="12"/>
        <v>0</v>
      </c>
      <c r="N362" s="256"/>
      <c r="O362" s="532">
        <f t="shared" ref="O362:O422" si="13">M362/139.59</f>
        <v>0</v>
      </c>
      <c r="P362" s="257"/>
      <c r="Q362" s="9"/>
      <c r="R362" s="9"/>
    </row>
    <row r="363" spans="1:18">
      <c r="A363" s="260">
        <v>3001</v>
      </c>
      <c r="B363" s="252">
        <v>6263</v>
      </c>
      <c r="C363" s="253" t="s">
        <v>460</v>
      </c>
      <c r="D363" s="254" t="s">
        <v>511</v>
      </c>
      <c r="E363" s="255"/>
      <c r="F363" s="255"/>
      <c r="G363" s="255"/>
      <c r="H363" s="255"/>
      <c r="I363" s="255"/>
      <c r="J363" s="255"/>
      <c r="K363" s="255">
        <f t="shared" si="10"/>
        <v>0</v>
      </c>
      <c r="L363" s="567">
        <f t="shared" si="11"/>
        <v>0</v>
      </c>
      <c r="M363" s="255">
        <f t="shared" si="12"/>
        <v>0</v>
      </c>
      <c r="N363" s="256"/>
      <c r="O363" s="532">
        <f t="shared" si="13"/>
        <v>0</v>
      </c>
      <c r="P363" s="257"/>
      <c r="Q363" s="9"/>
      <c r="R363" s="9"/>
    </row>
    <row r="364" spans="1:18">
      <c r="A364" s="260">
        <v>3001</v>
      </c>
      <c r="B364" s="252">
        <v>62630</v>
      </c>
      <c r="C364" s="253" t="s">
        <v>461</v>
      </c>
      <c r="D364" s="254" t="s">
        <v>511</v>
      </c>
      <c r="E364" s="255"/>
      <c r="F364" s="255"/>
      <c r="G364" s="255"/>
      <c r="H364" s="255"/>
      <c r="I364" s="255"/>
      <c r="J364" s="255"/>
      <c r="K364" s="255">
        <f t="shared" ref="K364:K427" si="14">J364</f>
        <v>0</v>
      </c>
      <c r="L364" s="567">
        <f t="shared" ref="L364:L427" si="15">I364</f>
        <v>0</v>
      </c>
      <c r="M364" s="255">
        <f t="shared" si="12"/>
        <v>0</v>
      </c>
      <c r="N364" s="256"/>
      <c r="O364" s="532">
        <f t="shared" si="13"/>
        <v>0</v>
      </c>
      <c r="P364" s="257"/>
      <c r="Q364" s="9"/>
      <c r="R364" s="9"/>
    </row>
    <row r="365" spans="1:18">
      <c r="A365" s="260">
        <v>3001</v>
      </c>
      <c r="B365" s="252">
        <v>6264</v>
      </c>
      <c r="C365" s="253" t="s">
        <v>462</v>
      </c>
      <c r="D365" s="254" t="s">
        <v>511</v>
      </c>
      <c r="E365" s="255"/>
      <c r="F365" s="255"/>
      <c r="G365" s="255"/>
      <c r="H365" s="255"/>
      <c r="I365" s="255"/>
      <c r="J365" s="255"/>
      <c r="K365" s="255">
        <f t="shared" si="14"/>
        <v>0</v>
      </c>
      <c r="L365" s="567">
        <f t="shared" si="15"/>
        <v>0</v>
      </c>
      <c r="M365" s="255">
        <f t="shared" si="12"/>
        <v>0</v>
      </c>
      <c r="N365" s="256"/>
      <c r="O365" s="532">
        <f t="shared" si="13"/>
        <v>0</v>
      </c>
      <c r="P365" s="257"/>
      <c r="Q365" s="9"/>
      <c r="R365" s="9"/>
    </row>
    <row r="366" spans="1:18">
      <c r="A366" s="260">
        <v>3001</v>
      </c>
      <c r="B366" s="252">
        <v>627</v>
      </c>
      <c r="C366" s="253" t="s">
        <v>463</v>
      </c>
      <c r="D366" s="254" t="s">
        <v>511</v>
      </c>
      <c r="E366" s="255"/>
      <c r="F366" s="255"/>
      <c r="G366" s="255"/>
      <c r="H366" s="255"/>
      <c r="I366" s="255"/>
      <c r="J366" s="255"/>
      <c r="K366" s="255">
        <f t="shared" si="14"/>
        <v>0</v>
      </c>
      <c r="L366" s="567">
        <f t="shared" si="15"/>
        <v>0</v>
      </c>
      <c r="M366" s="255">
        <f t="shared" si="12"/>
        <v>0</v>
      </c>
      <c r="N366" s="256">
        <v>4017</v>
      </c>
      <c r="O366" s="532">
        <f t="shared" si="13"/>
        <v>0</v>
      </c>
      <c r="P366" s="257"/>
      <c r="Q366" s="9"/>
      <c r="R366" s="9"/>
    </row>
    <row r="367" spans="1:18">
      <c r="A367" s="260">
        <v>3001</v>
      </c>
      <c r="B367" s="252">
        <v>6271</v>
      </c>
      <c r="C367" s="253" t="s">
        <v>464</v>
      </c>
      <c r="D367" s="254" t="s">
        <v>511</v>
      </c>
      <c r="E367" s="255"/>
      <c r="F367" s="255"/>
      <c r="G367" s="255"/>
      <c r="H367" s="255"/>
      <c r="I367" s="255"/>
      <c r="J367" s="255"/>
      <c r="K367" s="255">
        <f t="shared" si="14"/>
        <v>0</v>
      </c>
      <c r="L367" s="567">
        <f t="shared" si="15"/>
        <v>0</v>
      </c>
      <c r="M367" s="255">
        <f t="shared" si="12"/>
        <v>0</v>
      </c>
      <c r="N367" s="256"/>
      <c r="O367" s="532">
        <f t="shared" si="13"/>
        <v>0</v>
      </c>
      <c r="P367" s="257"/>
      <c r="Q367" s="9"/>
      <c r="R367" s="9"/>
    </row>
    <row r="368" spans="1:18">
      <c r="A368" s="260">
        <v>3001</v>
      </c>
      <c r="B368" s="252">
        <v>6273</v>
      </c>
      <c r="C368" s="253" t="s">
        <v>465</v>
      </c>
      <c r="D368" s="254" t="s">
        <v>511</v>
      </c>
      <c r="E368" s="255"/>
      <c r="F368" s="255"/>
      <c r="G368" s="255"/>
      <c r="H368" s="255"/>
      <c r="I368" s="255"/>
      <c r="J368" s="255"/>
      <c r="K368" s="255">
        <f t="shared" si="14"/>
        <v>0</v>
      </c>
      <c r="L368" s="567">
        <f t="shared" si="15"/>
        <v>0</v>
      </c>
      <c r="M368" s="255">
        <f t="shared" si="12"/>
        <v>0</v>
      </c>
      <c r="N368" s="256"/>
      <c r="O368" s="532">
        <f t="shared" si="13"/>
        <v>0</v>
      </c>
      <c r="P368" s="257"/>
      <c r="Q368" s="9"/>
      <c r="R368" s="9"/>
    </row>
    <row r="369" spans="1:18">
      <c r="A369" s="260">
        <v>3001</v>
      </c>
      <c r="B369" s="252">
        <v>6276</v>
      </c>
      <c r="C369" s="253" t="s">
        <v>466</v>
      </c>
      <c r="D369" s="254" t="s">
        <v>511</v>
      </c>
      <c r="E369" s="255"/>
      <c r="F369" s="255"/>
      <c r="G369" s="255"/>
      <c r="H369" s="255"/>
      <c r="I369" s="255"/>
      <c r="J369" s="255"/>
      <c r="K369" s="255">
        <f t="shared" si="14"/>
        <v>0</v>
      </c>
      <c r="L369" s="567">
        <f t="shared" si="15"/>
        <v>0</v>
      </c>
      <c r="M369" s="255">
        <f t="shared" si="12"/>
        <v>0</v>
      </c>
      <c r="N369" s="256"/>
      <c r="O369" s="532">
        <f t="shared" si="13"/>
        <v>0</v>
      </c>
      <c r="P369" s="257"/>
      <c r="Q369" s="9"/>
      <c r="R369" s="9"/>
    </row>
    <row r="370" spans="1:18">
      <c r="A370" s="260">
        <v>3001</v>
      </c>
      <c r="B370" s="252">
        <v>628</v>
      </c>
      <c r="C370" s="253" t="s">
        <v>467</v>
      </c>
      <c r="D370" s="254" t="s">
        <v>511</v>
      </c>
      <c r="E370" s="255"/>
      <c r="F370" s="255"/>
      <c r="G370" s="255"/>
      <c r="H370" s="255"/>
      <c r="I370" s="255"/>
      <c r="J370" s="255"/>
      <c r="K370" s="255">
        <f t="shared" si="14"/>
        <v>0</v>
      </c>
      <c r="L370" s="567">
        <f t="shared" si="15"/>
        <v>0</v>
      </c>
      <c r="M370" s="255">
        <f t="shared" si="12"/>
        <v>0</v>
      </c>
      <c r="N370" s="256"/>
      <c r="O370" s="532">
        <f t="shared" si="13"/>
        <v>0</v>
      </c>
      <c r="P370" s="257"/>
      <c r="Q370" s="9"/>
      <c r="R370" s="9"/>
    </row>
    <row r="371" spans="1:18">
      <c r="A371" s="260">
        <v>3009</v>
      </c>
      <c r="B371" s="252">
        <v>6280</v>
      </c>
      <c r="C371" s="253" t="s">
        <v>468</v>
      </c>
      <c r="D371" s="254" t="s">
        <v>511</v>
      </c>
      <c r="E371" s="255"/>
      <c r="F371" s="255"/>
      <c r="G371" s="255"/>
      <c r="H371" s="255"/>
      <c r="I371" s="434">
        <f>220.73*139.59</f>
        <v>30811.700699999998</v>
      </c>
      <c r="J371" s="255"/>
      <c r="K371" s="255">
        <f t="shared" si="14"/>
        <v>0</v>
      </c>
      <c r="L371" s="255">
        <v>0</v>
      </c>
      <c r="M371" s="434">
        <f t="shared" si="12"/>
        <v>30811.700699999998</v>
      </c>
      <c r="N371" s="436">
        <v>4018</v>
      </c>
      <c r="O371" s="532">
        <f t="shared" si="13"/>
        <v>220.73</v>
      </c>
      <c r="P371" s="257"/>
      <c r="Q371" s="9"/>
      <c r="R371" s="9"/>
    </row>
    <row r="372" spans="1:18">
      <c r="A372" s="260">
        <v>3009</v>
      </c>
      <c r="B372" s="252">
        <v>632</v>
      </c>
      <c r="C372" s="253" t="s">
        <v>469</v>
      </c>
      <c r="D372" s="254" t="s">
        <v>511</v>
      </c>
      <c r="E372" s="255"/>
      <c r="F372" s="255"/>
      <c r="G372" s="255"/>
      <c r="H372" s="255"/>
      <c r="I372" s="255"/>
      <c r="J372" s="255"/>
      <c r="K372" s="255">
        <f t="shared" si="14"/>
        <v>0</v>
      </c>
      <c r="L372" s="255">
        <f t="shared" si="15"/>
        <v>0</v>
      </c>
      <c r="M372" s="255">
        <f t="shared" si="12"/>
        <v>0</v>
      </c>
      <c r="N372" s="256"/>
      <c r="O372" s="532">
        <f t="shared" si="13"/>
        <v>0</v>
      </c>
      <c r="P372" s="257"/>
      <c r="Q372" s="9"/>
      <c r="R372" s="9"/>
    </row>
    <row r="373" spans="1:18">
      <c r="A373" s="260">
        <v>3009</v>
      </c>
      <c r="B373" s="252">
        <v>633</v>
      </c>
      <c r="C373" s="253" t="s">
        <v>527</v>
      </c>
      <c r="D373" s="254" t="s">
        <v>511</v>
      </c>
      <c r="E373" s="255"/>
      <c r="F373" s="255"/>
      <c r="G373" s="255"/>
      <c r="H373" s="255"/>
      <c r="I373" s="255"/>
      <c r="J373" s="255"/>
      <c r="K373" s="255">
        <f t="shared" si="14"/>
        <v>0</v>
      </c>
      <c r="L373" s="255">
        <f t="shared" si="15"/>
        <v>0</v>
      </c>
      <c r="M373" s="255">
        <f t="shared" si="12"/>
        <v>0</v>
      </c>
      <c r="N373" s="256"/>
      <c r="O373" s="532">
        <f t="shared" si="13"/>
        <v>0</v>
      </c>
      <c r="P373" s="257"/>
      <c r="Q373" s="9"/>
      <c r="R373" s="9"/>
    </row>
    <row r="374" spans="1:18">
      <c r="A374" s="260">
        <v>3009</v>
      </c>
      <c r="B374" s="252">
        <v>6341</v>
      </c>
      <c r="C374" s="253" t="s">
        <v>470</v>
      </c>
      <c r="D374" s="254" t="s">
        <v>511</v>
      </c>
      <c r="E374" s="255"/>
      <c r="F374" s="255"/>
      <c r="G374" s="255"/>
      <c r="H374" s="255"/>
      <c r="I374" s="255"/>
      <c r="J374" s="255"/>
      <c r="K374" s="255">
        <f t="shared" si="14"/>
        <v>0</v>
      </c>
      <c r="L374" s="255">
        <f t="shared" si="15"/>
        <v>0</v>
      </c>
      <c r="M374" s="255">
        <f t="shared" si="12"/>
        <v>0</v>
      </c>
      <c r="N374" s="256"/>
      <c r="O374" s="532">
        <f t="shared" si="13"/>
        <v>0</v>
      </c>
      <c r="P374" s="257"/>
      <c r="Q374" s="9"/>
      <c r="R374" s="9"/>
    </row>
    <row r="375" spans="1:18">
      <c r="A375" s="260">
        <v>3009</v>
      </c>
      <c r="B375" s="252">
        <v>634</v>
      </c>
      <c r="C375" s="253" t="s">
        <v>470</v>
      </c>
      <c r="D375" s="254" t="s">
        <v>511</v>
      </c>
      <c r="E375" s="255"/>
      <c r="F375" s="255"/>
      <c r="G375" s="255"/>
      <c r="H375" s="255"/>
      <c r="I375" s="255"/>
      <c r="J375" s="255"/>
      <c r="K375" s="255">
        <f t="shared" si="14"/>
        <v>0</v>
      </c>
      <c r="L375" s="255">
        <f t="shared" si="15"/>
        <v>0</v>
      </c>
      <c r="M375" s="255">
        <f t="shared" si="12"/>
        <v>0</v>
      </c>
      <c r="N375" s="256"/>
      <c r="O375" s="532">
        <f t="shared" si="13"/>
        <v>0</v>
      </c>
      <c r="P375" s="257"/>
      <c r="Q375" s="9"/>
      <c r="R375" s="9"/>
    </row>
    <row r="376" spans="1:18">
      <c r="A376" s="260">
        <v>3009</v>
      </c>
      <c r="B376" s="252">
        <v>635</v>
      </c>
      <c r="C376" s="253" t="s">
        <v>471</v>
      </c>
      <c r="D376" s="254" t="s">
        <v>511</v>
      </c>
      <c r="E376" s="255"/>
      <c r="F376" s="255"/>
      <c r="G376" s="255"/>
      <c r="H376" s="255"/>
      <c r="I376" s="255"/>
      <c r="J376" s="255"/>
      <c r="K376" s="255">
        <f t="shared" si="14"/>
        <v>0</v>
      </c>
      <c r="L376" s="255">
        <f t="shared" si="15"/>
        <v>0</v>
      </c>
      <c r="M376" s="255">
        <f t="shared" si="12"/>
        <v>0</v>
      </c>
      <c r="N376" s="256"/>
      <c r="O376" s="532">
        <f t="shared" si="13"/>
        <v>0</v>
      </c>
      <c r="P376" s="257"/>
      <c r="Q376" s="9"/>
      <c r="R376" s="9"/>
    </row>
    <row r="377" spans="1:18">
      <c r="A377" s="260">
        <v>3009</v>
      </c>
      <c r="B377" s="252">
        <v>638</v>
      </c>
      <c r="C377" s="253" t="s">
        <v>472</v>
      </c>
      <c r="D377" s="254" t="s">
        <v>511</v>
      </c>
      <c r="E377" s="255"/>
      <c r="F377" s="255"/>
      <c r="G377" s="255"/>
      <c r="H377" s="255"/>
      <c r="I377" s="255"/>
      <c r="J377" s="255"/>
      <c r="K377" s="255">
        <f t="shared" si="14"/>
        <v>0</v>
      </c>
      <c r="L377" s="255">
        <f t="shared" si="15"/>
        <v>0</v>
      </c>
      <c r="M377" s="255">
        <f t="shared" si="12"/>
        <v>0</v>
      </c>
      <c r="N377" s="256"/>
      <c r="O377" s="532">
        <f t="shared" si="13"/>
        <v>0</v>
      </c>
      <c r="P377" s="257"/>
      <c r="Q377" s="9"/>
      <c r="R377" s="9"/>
    </row>
    <row r="378" spans="1:18">
      <c r="A378" s="260">
        <v>3009</v>
      </c>
      <c r="B378" s="252">
        <v>6380</v>
      </c>
      <c r="C378" s="253" t="s">
        <v>562</v>
      </c>
      <c r="D378" s="254" t="s">
        <v>511</v>
      </c>
      <c r="E378" s="255"/>
      <c r="F378" s="255"/>
      <c r="G378" s="255"/>
      <c r="H378" s="255"/>
      <c r="I378" s="434">
        <f>(3.09+227.51+179.49)*139.59</f>
        <v>57244.463100000008</v>
      </c>
      <c r="J378" s="255"/>
      <c r="K378" s="255">
        <f t="shared" si="14"/>
        <v>0</v>
      </c>
      <c r="L378" s="569">
        <f t="shared" si="15"/>
        <v>57244.463100000008</v>
      </c>
      <c r="M378" s="255">
        <f t="shared" si="12"/>
        <v>0</v>
      </c>
      <c r="N378" s="256">
        <v>5003</v>
      </c>
      <c r="O378" s="532">
        <f>L378/139.59</f>
        <v>410.09000000000003</v>
      </c>
      <c r="P378" s="257"/>
      <c r="Q378" s="9"/>
      <c r="R378" s="9"/>
    </row>
    <row r="379" spans="1:18">
      <c r="A379" s="260">
        <v>3009</v>
      </c>
      <c r="B379" s="252">
        <v>6382</v>
      </c>
      <c r="C379" s="253" t="s">
        <v>473</v>
      </c>
      <c r="D379" s="254" t="s">
        <v>511</v>
      </c>
      <c r="E379" s="255"/>
      <c r="F379" s="255"/>
      <c r="G379" s="255"/>
      <c r="H379" s="255"/>
      <c r="I379" s="255"/>
      <c r="J379" s="255"/>
      <c r="K379" s="255">
        <f t="shared" si="14"/>
        <v>0</v>
      </c>
      <c r="L379" s="255">
        <f t="shared" si="15"/>
        <v>0</v>
      </c>
      <c r="M379" s="255">
        <f t="shared" si="12"/>
        <v>0</v>
      </c>
      <c r="N379" s="256"/>
      <c r="O379" s="532">
        <f t="shared" si="13"/>
        <v>0</v>
      </c>
      <c r="P379" s="257"/>
      <c r="Q379" s="9"/>
      <c r="R379" s="9"/>
    </row>
    <row r="380" spans="1:18">
      <c r="A380" s="260">
        <v>3001</v>
      </c>
      <c r="B380" s="252">
        <v>64101</v>
      </c>
      <c r="C380" s="253" t="s">
        <v>474</v>
      </c>
      <c r="D380" s="254" t="s">
        <v>511</v>
      </c>
      <c r="E380" s="255"/>
      <c r="F380" s="255"/>
      <c r="G380" s="255"/>
      <c r="H380" s="255"/>
      <c r="I380" s="434">
        <f>41045.06*139.59</f>
        <v>5729479.9254000001</v>
      </c>
      <c r="J380" s="255"/>
      <c r="K380" s="255">
        <f t="shared" si="14"/>
        <v>0</v>
      </c>
      <c r="L380" s="255">
        <v>0</v>
      </c>
      <c r="M380" s="554">
        <f>(+I380-J380)+K380-L380</f>
        <v>5729479.9254000001</v>
      </c>
      <c r="N380" s="436">
        <v>4013</v>
      </c>
      <c r="O380" s="532">
        <f t="shared" si="13"/>
        <v>41045.06</v>
      </c>
      <c r="P380" s="257"/>
      <c r="Q380" s="9"/>
      <c r="R380" s="9"/>
    </row>
    <row r="381" spans="1:18">
      <c r="A381" s="260">
        <v>3004</v>
      </c>
      <c r="B381" s="252">
        <v>64401</v>
      </c>
      <c r="C381" s="253" t="s">
        <v>475</v>
      </c>
      <c r="D381" s="254" t="s">
        <v>511</v>
      </c>
      <c r="E381" s="255"/>
      <c r="F381" s="255"/>
      <c r="G381" s="255"/>
      <c r="H381" s="255"/>
      <c r="I381" s="255"/>
      <c r="J381" s="255"/>
      <c r="K381" s="255">
        <f t="shared" si="14"/>
        <v>0</v>
      </c>
      <c r="L381" s="255">
        <f t="shared" si="15"/>
        <v>0</v>
      </c>
      <c r="M381" s="255">
        <f t="shared" si="12"/>
        <v>0</v>
      </c>
      <c r="N381" s="256">
        <v>4021</v>
      </c>
      <c r="O381" s="532">
        <f t="shared" si="13"/>
        <v>0</v>
      </c>
      <c r="P381" s="257"/>
      <c r="Q381" s="9"/>
      <c r="R381" s="9"/>
    </row>
    <row r="382" spans="1:18">
      <c r="A382" s="260">
        <v>3005</v>
      </c>
      <c r="B382" s="252">
        <v>648</v>
      </c>
      <c r="C382" s="253" t="s">
        <v>476</v>
      </c>
      <c r="D382" s="254" t="s">
        <v>511</v>
      </c>
      <c r="E382" s="255"/>
      <c r="F382" s="255"/>
      <c r="G382" s="255"/>
      <c r="H382" s="255"/>
      <c r="I382" s="255"/>
      <c r="J382" s="255"/>
      <c r="K382" s="255">
        <f t="shared" si="14"/>
        <v>0</v>
      </c>
      <c r="L382" s="255">
        <f t="shared" si="15"/>
        <v>0</v>
      </c>
      <c r="M382" s="255">
        <f t="shared" si="12"/>
        <v>0</v>
      </c>
      <c r="N382" s="256"/>
      <c r="O382" s="532">
        <f t="shared" si="13"/>
        <v>0</v>
      </c>
      <c r="P382" s="257"/>
      <c r="Q382" s="9"/>
      <c r="R382" s="9"/>
    </row>
    <row r="383" spans="1:18">
      <c r="A383" s="260">
        <v>3003</v>
      </c>
      <c r="B383" s="252">
        <v>6480</v>
      </c>
      <c r="C383" s="253" t="s">
        <v>477</v>
      </c>
      <c r="D383" s="254" t="s">
        <v>511</v>
      </c>
      <c r="E383" s="255"/>
      <c r="F383" s="255"/>
      <c r="G383" s="255"/>
      <c r="H383" s="255"/>
      <c r="I383" s="255"/>
      <c r="J383" s="255"/>
      <c r="K383" s="255">
        <f t="shared" si="14"/>
        <v>0</v>
      </c>
      <c r="L383" s="255">
        <f t="shared" si="15"/>
        <v>0</v>
      </c>
      <c r="M383" s="255">
        <f t="shared" si="12"/>
        <v>0</v>
      </c>
      <c r="N383" s="256"/>
      <c r="O383" s="532">
        <f t="shared" si="13"/>
        <v>0</v>
      </c>
      <c r="P383" s="257"/>
      <c r="Q383" s="9"/>
      <c r="R383" s="9"/>
    </row>
    <row r="384" spans="1:18">
      <c r="A384" s="260">
        <v>3009</v>
      </c>
      <c r="B384" s="252">
        <v>6481</v>
      </c>
      <c r="C384" s="253" t="s">
        <v>478</v>
      </c>
      <c r="D384" s="254" t="s">
        <v>511</v>
      </c>
      <c r="E384" s="255"/>
      <c r="F384" s="255"/>
      <c r="G384" s="255"/>
      <c r="H384" s="255"/>
      <c r="I384" s="255"/>
      <c r="J384" s="255"/>
      <c r="K384" s="255">
        <f t="shared" si="14"/>
        <v>0</v>
      </c>
      <c r="L384" s="255">
        <f t="shared" si="15"/>
        <v>0</v>
      </c>
      <c r="M384" s="255">
        <f t="shared" si="12"/>
        <v>0</v>
      </c>
      <c r="N384" s="256"/>
      <c r="O384" s="532">
        <f t="shared" si="13"/>
        <v>0</v>
      </c>
      <c r="P384" s="257"/>
      <c r="Q384" s="9"/>
      <c r="R384" s="9"/>
    </row>
    <row r="385" spans="1:18">
      <c r="A385" s="260">
        <v>3009</v>
      </c>
      <c r="B385" s="252">
        <v>6482</v>
      </c>
      <c r="C385" s="253" t="s">
        <v>563</v>
      </c>
      <c r="D385" s="254" t="s">
        <v>511</v>
      </c>
      <c r="E385" s="255"/>
      <c r="F385" s="255"/>
      <c r="G385" s="255"/>
      <c r="H385" s="255"/>
      <c r="I385" s="255"/>
      <c r="J385" s="255"/>
      <c r="K385" s="255">
        <f t="shared" si="14"/>
        <v>0</v>
      </c>
      <c r="L385" s="255">
        <f t="shared" si="15"/>
        <v>0</v>
      </c>
      <c r="M385" s="255">
        <f t="shared" si="12"/>
        <v>0</v>
      </c>
      <c r="N385" s="256"/>
      <c r="O385" s="532">
        <f t="shared" si="13"/>
        <v>0</v>
      </c>
      <c r="P385" s="257"/>
      <c r="Q385" s="9"/>
      <c r="R385" s="9"/>
    </row>
    <row r="386" spans="1:18">
      <c r="A386" s="260">
        <v>3009</v>
      </c>
      <c r="B386" s="252">
        <v>654</v>
      </c>
      <c r="C386" s="253" t="s">
        <v>479</v>
      </c>
      <c r="D386" s="254" t="s">
        <v>511</v>
      </c>
      <c r="E386" s="255"/>
      <c r="F386" s="255"/>
      <c r="G386" s="255"/>
      <c r="H386" s="255"/>
      <c r="I386" s="255"/>
      <c r="J386" s="255"/>
      <c r="K386" s="255">
        <f t="shared" si="14"/>
        <v>0</v>
      </c>
      <c r="L386" s="255">
        <f t="shared" si="15"/>
        <v>0</v>
      </c>
      <c r="M386" s="255">
        <f t="shared" si="12"/>
        <v>0</v>
      </c>
      <c r="N386" s="256"/>
      <c r="O386" s="532">
        <f t="shared" si="13"/>
        <v>0</v>
      </c>
      <c r="P386" s="257"/>
      <c r="Q386" s="9"/>
      <c r="R386" s="9"/>
    </row>
    <row r="387" spans="1:18">
      <c r="A387" s="260">
        <v>3009</v>
      </c>
      <c r="B387" s="252">
        <v>6541</v>
      </c>
      <c r="C387" s="253" t="s">
        <v>564</v>
      </c>
      <c r="D387" s="254" t="s">
        <v>511</v>
      </c>
      <c r="E387" s="255"/>
      <c r="F387" s="255"/>
      <c r="G387" s="255"/>
      <c r="H387" s="255"/>
      <c r="I387" s="255"/>
      <c r="J387" s="255"/>
      <c r="K387" s="255">
        <f t="shared" si="14"/>
        <v>0</v>
      </c>
      <c r="L387" s="255">
        <f t="shared" si="15"/>
        <v>0</v>
      </c>
      <c r="M387" s="255">
        <f t="shared" si="12"/>
        <v>0</v>
      </c>
      <c r="N387" s="256"/>
      <c r="O387" s="532">
        <f t="shared" si="13"/>
        <v>0</v>
      </c>
      <c r="P387" s="257"/>
      <c r="Q387" s="9"/>
      <c r="R387" s="9"/>
    </row>
    <row r="388" spans="1:18">
      <c r="A388" s="260">
        <v>3009</v>
      </c>
      <c r="B388" s="252">
        <v>6543</v>
      </c>
      <c r="C388" s="253" t="s">
        <v>565</v>
      </c>
      <c r="D388" s="254" t="s">
        <v>511</v>
      </c>
      <c r="E388" s="255"/>
      <c r="F388" s="255"/>
      <c r="G388" s="255"/>
      <c r="H388" s="255"/>
      <c r="I388" s="255"/>
      <c r="J388" s="255"/>
      <c r="K388" s="255">
        <f t="shared" si="14"/>
        <v>0</v>
      </c>
      <c r="L388" s="255">
        <f t="shared" si="15"/>
        <v>0</v>
      </c>
      <c r="M388" s="255">
        <f t="shared" si="12"/>
        <v>0</v>
      </c>
      <c r="N388" s="256"/>
      <c r="O388" s="532">
        <f t="shared" si="13"/>
        <v>0</v>
      </c>
      <c r="P388" s="257"/>
      <c r="Q388" s="9"/>
      <c r="R388" s="9"/>
    </row>
    <row r="389" spans="1:18">
      <c r="A389" s="260">
        <v>3009</v>
      </c>
      <c r="B389" s="252">
        <v>6540</v>
      </c>
      <c r="C389" s="253" t="s">
        <v>480</v>
      </c>
      <c r="D389" s="254" t="s">
        <v>511</v>
      </c>
      <c r="E389" s="255"/>
      <c r="F389" s="255"/>
      <c r="G389" s="255"/>
      <c r="H389" s="255"/>
      <c r="I389" s="255"/>
      <c r="J389" s="255"/>
      <c r="K389" s="255">
        <f t="shared" si="14"/>
        <v>0</v>
      </c>
      <c r="L389" s="255">
        <f t="shared" si="15"/>
        <v>0</v>
      </c>
      <c r="M389" s="255">
        <f t="shared" si="12"/>
        <v>0</v>
      </c>
      <c r="N389" s="256">
        <v>5005</v>
      </c>
      <c r="O389" s="532">
        <f t="shared" si="13"/>
        <v>0</v>
      </c>
      <c r="P389" s="257"/>
      <c r="Q389" s="9"/>
      <c r="R389" s="9"/>
    </row>
    <row r="390" spans="1:18">
      <c r="A390" s="260">
        <v>3009</v>
      </c>
      <c r="B390" s="252">
        <v>657</v>
      </c>
      <c r="C390" s="253" t="s">
        <v>481</v>
      </c>
      <c r="D390" s="254" t="s">
        <v>511</v>
      </c>
      <c r="E390" s="255"/>
      <c r="F390" s="255"/>
      <c r="G390" s="255"/>
      <c r="H390" s="255"/>
      <c r="I390" s="255"/>
      <c r="J390" s="255"/>
      <c r="K390" s="255">
        <f t="shared" si="14"/>
        <v>0</v>
      </c>
      <c r="L390" s="255">
        <f t="shared" si="15"/>
        <v>0</v>
      </c>
      <c r="M390" s="255">
        <f t="shared" ref="M390:M440" si="16">(+I390-J390)+K390-L390</f>
        <v>0</v>
      </c>
      <c r="N390" s="256"/>
      <c r="O390" s="532">
        <f t="shared" si="13"/>
        <v>0</v>
      </c>
      <c r="P390" s="257"/>
      <c r="Q390" s="9"/>
      <c r="R390" s="9"/>
    </row>
    <row r="391" spans="1:18">
      <c r="A391" s="260">
        <v>3009</v>
      </c>
      <c r="B391" s="252">
        <v>6570</v>
      </c>
      <c r="C391" s="253" t="s">
        <v>566</v>
      </c>
      <c r="D391" s="254" t="s">
        <v>511</v>
      </c>
      <c r="E391" s="255"/>
      <c r="F391" s="255"/>
      <c r="G391" s="255"/>
      <c r="H391" s="255"/>
      <c r="I391" s="255"/>
      <c r="J391" s="255"/>
      <c r="K391" s="255">
        <f t="shared" si="14"/>
        <v>0</v>
      </c>
      <c r="L391" s="255">
        <f t="shared" si="15"/>
        <v>0</v>
      </c>
      <c r="M391" s="255">
        <f t="shared" si="16"/>
        <v>0</v>
      </c>
      <c r="N391" s="256"/>
      <c r="O391" s="532">
        <f t="shared" si="13"/>
        <v>0</v>
      </c>
      <c r="P391" s="257"/>
      <c r="Q391" s="9"/>
      <c r="R391" s="9"/>
    </row>
    <row r="392" spans="1:18">
      <c r="A392" s="260">
        <v>3007</v>
      </c>
      <c r="B392" s="252">
        <v>6601</v>
      </c>
      <c r="C392" s="253" t="s">
        <v>567</v>
      </c>
      <c r="D392" s="254" t="s">
        <v>511</v>
      </c>
      <c r="E392" s="255"/>
      <c r="F392" s="255"/>
      <c r="G392" s="255"/>
      <c r="H392" s="255"/>
      <c r="I392" s="255"/>
      <c r="J392" s="255"/>
      <c r="K392" s="255">
        <f t="shared" si="14"/>
        <v>0</v>
      </c>
      <c r="L392" s="255">
        <f t="shared" si="15"/>
        <v>0</v>
      </c>
      <c r="M392" s="255">
        <f t="shared" si="16"/>
        <v>0</v>
      </c>
      <c r="N392" s="256"/>
      <c r="O392" s="532">
        <f t="shared" si="13"/>
        <v>0</v>
      </c>
      <c r="P392" s="257"/>
      <c r="Q392" s="9"/>
      <c r="R392" s="9"/>
    </row>
    <row r="393" spans="1:18">
      <c r="A393" s="260">
        <v>3007</v>
      </c>
      <c r="B393" s="252">
        <v>6670</v>
      </c>
      <c r="C393" s="253" t="s">
        <v>568</v>
      </c>
      <c r="D393" s="254" t="s">
        <v>511</v>
      </c>
      <c r="E393" s="255"/>
      <c r="F393" s="255"/>
      <c r="G393" s="255"/>
      <c r="H393" s="255"/>
      <c r="I393" s="255"/>
      <c r="J393" s="255"/>
      <c r="K393" s="255">
        <f t="shared" si="14"/>
        <v>0</v>
      </c>
      <c r="L393" s="255">
        <f t="shared" si="15"/>
        <v>0</v>
      </c>
      <c r="M393" s="255">
        <f t="shared" si="16"/>
        <v>0</v>
      </c>
      <c r="N393" s="256"/>
      <c r="O393" s="532">
        <f t="shared" si="13"/>
        <v>0</v>
      </c>
      <c r="P393" s="257"/>
      <c r="Q393" s="9"/>
      <c r="R393" s="9"/>
    </row>
    <row r="394" spans="1:18">
      <c r="A394" s="260">
        <v>3009</v>
      </c>
      <c r="B394" s="252">
        <v>658</v>
      </c>
      <c r="C394" s="253" t="s">
        <v>482</v>
      </c>
      <c r="D394" s="254" t="s">
        <v>511</v>
      </c>
      <c r="E394" s="255"/>
      <c r="F394" s="255"/>
      <c r="G394" s="255"/>
      <c r="H394" s="255"/>
      <c r="I394" s="255"/>
      <c r="J394" s="255"/>
      <c r="K394" s="255">
        <f t="shared" si="14"/>
        <v>0</v>
      </c>
      <c r="L394" s="255">
        <f t="shared" si="15"/>
        <v>0</v>
      </c>
      <c r="M394" s="255">
        <f t="shared" si="16"/>
        <v>0</v>
      </c>
      <c r="N394" s="256"/>
      <c r="O394" s="532">
        <f t="shared" si="13"/>
        <v>0</v>
      </c>
      <c r="P394" s="257"/>
      <c r="Q394" s="9"/>
      <c r="R394" s="9"/>
    </row>
    <row r="395" spans="1:18">
      <c r="A395" s="260">
        <v>3007</v>
      </c>
      <c r="B395" s="252">
        <v>667</v>
      </c>
      <c r="C395" s="253" t="s">
        <v>121</v>
      </c>
      <c r="D395" s="254" t="s">
        <v>511</v>
      </c>
      <c r="E395" s="255"/>
      <c r="F395" s="255"/>
      <c r="G395" s="255"/>
      <c r="H395" s="255"/>
      <c r="I395" s="255"/>
      <c r="J395" s="255"/>
      <c r="K395" s="255">
        <f t="shared" si="14"/>
        <v>0</v>
      </c>
      <c r="L395" s="255">
        <f t="shared" si="15"/>
        <v>0</v>
      </c>
      <c r="M395" s="255">
        <f t="shared" si="16"/>
        <v>0</v>
      </c>
      <c r="N395" s="256"/>
      <c r="O395" s="532">
        <f t="shared" si="13"/>
        <v>0</v>
      </c>
      <c r="P395" s="257"/>
      <c r="Q395" s="9"/>
      <c r="R395" s="9"/>
    </row>
    <row r="396" spans="1:18">
      <c r="A396" s="260">
        <v>3007</v>
      </c>
      <c r="B396" s="252">
        <v>6672</v>
      </c>
      <c r="C396" s="253" t="s">
        <v>483</v>
      </c>
      <c r="D396" s="254" t="s">
        <v>512</v>
      </c>
      <c r="E396" s="255"/>
      <c r="F396" s="255"/>
      <c r="G396" s="255"/>
      <c r="H396" s="255"/>
      <c r="I396" s="255"/>
      <c r="J396" s="255"/>
      <c r="K396" s="255">
        <f t="shared" si="14"/>
        <v>0</v>
      </c>
      <c r="L396" s="255">
        <f t="shared" si="15"/>
        <v>0</v>
      </c>
      <c r="M396" s="255">
        <f t="shared" si="16"/>
        <v>0</v>
      </c>
      <c r="N396" s="256"/>
      <c r="O396" s="532">
        <f t="shared" si="13"/>
        <v>0</v>
      </c>
      <c r="P396" s="257"/>
      <c r="Q396" s="9"/>
      <c r="R396" s="9"/>
    </row>
    <row r="397" spans="1:18">
      <c r="A397" s="260">
        <v>3007</v>
      </c>
      <c r="B397" s="252">
        <v>6674</v>
      </c>
      <c r="C397" s="253" t="s">
        <v>484</v>
      </c>
      <c r="D397" s="254" t="s">
        <v>511</v>
      </c>
      <c r="E397" s="255"/>
      <c r="F397" s="255"/>
      <c r="G397" s="255"/>
      <c r="H397" s="255"/>
      <c r="I397" s="255"/>
      <c r="J397" s="255"/>
      <c r="K397" s="255">
        <f t="shared" si="14"/>
        <v>0</v>
      </c>
      <c r="L397" s="255">
        <f t="shared" si="15"/>
        <v>0</v>
      </c>
      <c r="M397" s="255">
        <f t="shared" si="16"/>
        <v>0</v>
      </c>
      <c r="N397" s="256"/>
      <c r="O397" s="532">
        <f t="shared" si="13"/>
        <v>0</v>
      </c>
      <c r="P397" s="257"/>
      <c r="Q397" s="9"/>
      <c r="R397" s="9"/>
    </row>
    <row r="398" spans="1:18">
      <c r="A398" s="260">
        <v>3007</v>
      </c>
      <c r="B398" s="252">
        <v>6675</v>
      </c>
      <c r="C398" s="253" t="s">
        <v>485</v>
      </c>
      <c r="D398" s="254" t="s">
        <v>512</v>
      </c>
      <c r="E398" s="255"/>
      <c r="F398" s="255"/>
      <c r="G398" s="255"/>
      <c r="H398" s="255"/>
      <c r="I398" s="255"/>
      <c r="J398" s="255"/>
      <c r="K398" s="255">
        <f t="shared" si="14"/>
        <v>0</v>
      </c>
      <c r="L398" s="255">
        <f t="shared" si="15"/>
        <v>0</v>
      </c>
      <c r="M398" s="255">
        <f t="shared" si="16"/>
        <v>0</v>
      </c>
      <c r="N398" s="256"/>
      <c r="O398" s="532">
        <f t="shared" si="13"/>
        <v>0</v>
      </c>
      <c r="P398" s="257"/>
      <c r="Q398" s="9"/>
      <c r="R398" s="9"/>
    </row>
    <row r="399" spans="1:18">
      <c r="A399" s="260">
        <v>3007</v>
      </c>
      <c r="B399" s="252">
        <v>6676</v>
      </c>
      <c r="C399" s="253" t="s">
        <v>486</v>
      </c>
      <c r="D399" s="254" t="s">
        <v>512</v>
      </c>
      <c r="E399" s="255"/>
      <c r="F399" s="255"/>
      <c r="G399" s="255"/>
      <c r="H399" s="255"/>
      <c r="I399" s="255"/>
      <c r="J399" s="255"/>
      <c r="K399" s="255">
        <f t="shared" si="14"/>
        <v>0</v>
      </c>
      <c r="L399" s="255">
        <f t="shared" si="15"/>
        <v>0</v>
      </c>
      <c r="M399" s="255">
        <f t="shared" si="16"/>
        <v>0</v>
      </c>
      <c r="N399" s="256"/>
      <c r="O399" s="532">
        <f t="shared" si="13"/>
        <v>0</v>
      </c>
      <c r="P399" s="257"/>
      <c r="Q399" s="9"/>
      <c r="R399" s="9"/>
    </row>
    <row r="400" spans="1:18">
      <c r="A400" s="260">
        <v>3007</v>
      </c>
      <c r="B400" s="252">
        <v>6677</v>
      </c>
      <c r="C400" s="253" t="s">
        <v>487</v>
      </c>
      <c r="D400" s="254" t="s">
        <v>512</v>
      </c>
      <c r="E400" s="255"/>
      <c r="F400" s="255"/>
      <c r="G400" s="255"/>
      <c r="H400" s="255"/>
      <c r="I400" s="255"/>
      <c r="J400" s="255"/>
      <c r="K400" s="255">
        <f t="shared" si="14"/>
        <v>0</v>
      </c>
      <c r="L400" s="255">
        <f t="shared" si="15"/>
        <v>0</v>
      </c>
      <c r="M400" s="255">
        <f t="shared" si="16"/>
        <v>0</v>
      </c>
      <c r="N400" s="256"/>
      <c r="O400" s="532">
        <f t="shared" si="13"/>
        <v>0</v>
      </c>
      <c r="P400" s="257"/>
      <c r="Q400" s="9"/>
      <c r="R400" s="9"/>
    </row>
    <row r="401" spans="1:18">
      <c r="A401" s="260">
        <v>3007</v>
      </c>
      <c r="B401" s="252">
        <v>668</v>
      </c>
      <c r="C401" s="253" t="s">
        <v>488</v>
      </c>
      <c r="D401" s="254" t="s">
        <v>511</v>
      </c>
      <c r="E401" s="255"/>
      <c r="F401" s="255"/>
      <c r="G401" s="255"/>
      <c r="H401" s="255"/>
      <c r="I401" s="255"/>
      <c r="J401" s="255"/>
      <c r="K401" s="255">
        <f t="shared" si="14"/>
        <v>0</v>
      </c>
      <c r="L401" s="255">
        <f t="shared" si="15"/>
        <v>0</v>
      </c>
      <c r="M401" s="255">
        <f t="shared" si="16"/>
        <v>0</v>
      </c>
      <c r="N401" s="256"/>
      <c r="O401" s="532">
        <f t="shared" si="13"/>
        <v>0</v>
      </c>
      <c r="P401" s="257"/>
      <c r="Q401" s="9"/>
      <c r="R401" s="9"/>
    </row>
    <row r="402" spans="1:18">
      <c r="A402" s="260">
        <v>4003</v>
      </c>
      <c r="B402" s="252">
        <v>6681</v>
      </c>
      <c r="C402" s="253" t="s">
        <v>491</v>
      </c>
      <c r="D402" s="254" t="s">
        <v>511</v>
      </c>
      <c r="E402" s="255"/>
      <c r="F402" s="255"/>
      <c r="G402" s="255"/>
      <c r="H402" s="255"/>
      <c r="I402" s="255"/>
      <c r="J402" s="255"/>
      <c r="K402" s="255">
        <f t="shared" si="14"/>
        <v>0</v>
      </c>
      <c r="L402" s="255">
        <f t="shared" si="15"/>
        <v>0</v>
      </c>
      <c r="M402" s="255">
        <f t="shared" si="16"/>
        <v>0</v>
      </c>
      <c r="N402" s="256"/>
      <c r="O402" s="532">
        <f t="shared" si="13"/>
        <v>0</v>
      </c>
      <c r="P402" s="257"/>
      <c r="Q402" s="9"/>
      <c r="R402" s="9"/>
    </row>
    <row r="403" spans="1:18">
      <c r="A403" s="260">
        <v>3008</v>
      </c>
      <c r="B403" s="252">
        <v>669</v>
      </c>
      <c r="C403" s="253" t="s">
        <v>489</v>
      </c>
      <c r="D403" s="254" t="s">
        <v>511</v>
      </c>
      <c r="E403" s="255"/>
      <c r="F403" s="255"/>
      <c r="G403" s="255"/>
      <c r="H403" s="255"/>
      <c r="I403" s="255"/>
      <c r="J403" s="255"/>
      <c r="K403" s="255">
        <f t="shared" si="14"/>
        <v>0</v>
      </c>
      <c r="L403" s="255">
        <f t="shared" si="15"/>
        <v>0</v>
      </c>
      <c r="M403" s="255">
        <f t="shared" si="16"/>
        <v>0</v>
      </c>
      <c r="N403" s="256"/>
      <c r="O403" s="532">
        <f t="shared" si="13"/>
        <v>0</v>
      </c>
      <c r="P403" s="257"/>
      <c r="Q403" s="9"/>
      <c r="R403" s="9"/>
    </row>
    <row r="404" spans="1:18">
      <c r="A404" s="260">
        <v>3008</v>
      </c>
      <c r="B404" s="252">
        <v>6690</v>
      </c>
      <c r="C404" s="253" t="s">
        <v>569</v>
      </c>
      <c r="D404" s="254" t="s">
        <v>511</v>
      </c>
      <c r="E404" s="255"/>
      <c r="F404" s="255"/>
      <c r="G404" s="255"/>
      <c r="H404" s="255"/>
      <c r="I404" s="434">
        <f>170.07*139.59</f>
        <v>23740.0713</v>
      </c>
      <c r="J404" s="255"/>
      <c r="K404" s="255">
        <f t="shared" si="14"/>
        <v>0</v>
      </c>
      <c r="L404" s="569">
        <f t="shared" si="15"/>
        <v>23740.0713</v>
      </c>
      <c r="M404" s="255">
        <f t="shared" si="16"/>
        <v>0</v>
      </c>
      <c r="N404" s="256">
        <v>5008</v>
      </c>
      <c r="O404" s="532">
        <f>L404/139.59</f>
        <v>170.07</v>
      </c>
      <c r="P404" s="257"/>
      <c r="Q404" s="9"/>
      <c r="R404" s="9"/>
    </row>
    <row r="405" spans="1:18">
      <c r="A405" s="260">
        <v>3008</v>
      </c>
      <c r="B405" s="252">
        <v>66901</v>
      </c>
      <c r="C405" s="253" t="s">
        <v>490</v>
      </c>
      <c r="D405" s="254" t="s">
        <v>511</v>
      </c>
      <c r="E405" s="255"/>
      <c r="F405" s="255"/>
      <c r="G405" s="255"/>
      <c r="H405" s="255"/>
      <c r="I405" s="255"/>
      <c r="J405" s="255"/>
      <c r="K405" s="255">
        <f t="shared" si="14"/>
        <v>0</v>
      </c>
      <c r="L405" s="255">
        <f t="shared" si="15"/>
        <v>0</v>
      </c>
      <c r="M405" s="255">
        <f t="shared" si="16"/>
        <v>0</v>
      </c>
      <c r="N405" s="256"/>
      <c r="O405" s="532">
        <f t="shared" si="13"/>
        <v>0</v>
      </c>
      <c r="P405" s="257"/>
      <c r="Q405" s="9"/>
      <c r="R405" s="9"/>
    </row>
    <row r="406" spans="1:18">
      <c r="A406" s="260">
        <v>3001</v>
      </c>
      <c r="B406" s="252">
        <v>67000</v>
      </c>
      <c r="C406" s="253" t="s">
        <v>571</v>
      </c>
      <c r="D406" s="254" t="s">
        <v>511</v>
      </c>
      <c r="E406" s="255"/>
      <c r="F406" s="255"/>
      <c r="G406" s="255"/>
      <c r="H406" s="255"/>
      <c r="I406" s="255"/>
      <c r="J406" s="255"/>
      <c r="K406" s="255">
        <f t="shared" si="14"/>
        <v>0</v>
      </c>
      <c r="L406" s="255">
        <f t="shared" si="15"/>
        <v>0</v>
      </c>
      <c r="M406" s="255">
        <f t="shared" si="16"/>
        <v>0</v>
      </c>
      <c r="N406" s="256"/>
      <c r="O406" s="532">
        <f t="shared" si="13"/>
        <v>0</v>
      </c>
      <c r="P406" s="257"/>
      <c r="Q406" s="9"/>
      <c r="R406" s="9"/>
    </row>
    <row r="407" spans="1:18">
      <c r="A407" s="260">
        <v>3009</v>
      </c>
      <c r="B407" s="252">
        <v>6721330</v>
      </c>
      <c r="C407" s="253" t="s">
        <v>570</v>
      </c>
      <c r="D407" s="254" t="s">
        <v>511</v>
      </c>
      <c r="E407" s="255"/>
      <c r="F407" s="255"/>
      <c r="G407" s="255"/>
      <c r="H407" s="255"/>
      <c r="I407" s="255"/>
      <c r="J407" s="255"/>
      <c r="K407" s="255">
        <f t="shared" si="14"/>
        <v>0</v>
      </c>
      <c r="L407" s="255">
        <f t="shared" si="15"/>
        <v>0</v>
      </c>
      <c r="M407" s="255">
        <f t="shared" si="16"/>
        <v>0</v>
      </c>
      <c r="N407" s="256"/>
      <c r="O407" s="532">
        <f t="shared" si="13"/>
        <v>0</v>
      </c>
      <c r="P407" s="257"/>
      <c r="Q407" s="9"/>
      <c r="R407" s="9"/>
    </row>
    <row r="408" spans="1:18">
      <c r="A408" s="260">
        <v>3009</v>
      </c>
      <c r="B408" s="252">
        <v>6721820</v>
      </c>
      <c r="C408" s="253" t="s">
        <v>167</v>
      </c>
      <c r="D408" s="254" t="s">
        <v>511</v>
      </c>
      <c r="E408" s="255"/>
      <c r="F408" s="255"/>
      <c r="G408" s="255"/>
      <c r="H408" s="255"/>
      <c r="I408" s="255"/>
      <c r="J408" s="255"/>
      <c r="K408" s="255">
        <f t="shared" si="14"/>
        <v>0</v>
      </c>
      <c r="L408" s="255">
        <f t="shared" si="15"/>
        <v>0</v>
      </c>
      <c r="M408" s="255">
        <f t="shared" si="16"/>
        <v>0</v>
      </c>
      <c r="N408" s="256"/>
      <c r="O408" s="532">
        <f t="shared" si="13"/>
        <v>0</v>
      </c>
      <c r="P408" s="257"/>
      <c r="Q408" s="9"/>
      <c r="R408" s="9"/>
    </row>
    <row r="409" spans="1:18">
      <c r="A409" s="260">
        <v>3009</v>
      </c>
      <c r="B409" s="252">
        <v>678</v>
      </c>
      <c r="C409" s="253" t="s">
        <v>153</v>
      </c>
      <c r="D409" s="254" t="s">
        <v>511</v>
      </c>
      <c r="E409" s="255"/>
      <c r="F409" s="255"/>
      <c r="G409" s="255"/>
      <c r="H409" s="255"/>
      <c r="I409" s="255"/>
      <c r="J409" s="255"/>
      <c r="K409" s="255">
        <f t="shared" si="14"/>
        <v>0</v>
      </c>
      <c r="L409" s="255">
        <f t="shared" si="15"/>
        <v>0</v>
      </c>
      <c r="M409" s="255">
        <f t="shared" si="16"/>
        <v>0</v>
      </c>
      <c r="N409" s="256"/>
      <c r="O409" s="532">
        <f t="shared" si="13"/>
        <v>0</v>
      </c>
      <c r="P409" s="257"/>
      <c r="Q409" s="9"/>
      <c r="R409" s="9"/>
    </row>
    <row r="410" spans="1:18">
      <c r="A410" s="260">
        <v>3007</v>
      </c>
      <c r="B410" s="252">
        <v>6781</v>
      </c>
      <c r="C410" s="253" t="s">
        <v>491</v>
      </c>
      <c r="D410" s="254" t="s">
        <v>511</v>
      </c>
      <c r="E410" s="255"/>
      <c r="F410" s="255"/>
      <c r="G410" s="255"/>
      <c r="H410" s="255"/>
      <c r="I410" s="255"/>
      <c r="J410" s="255"/>
      <c r="K410" s="255">
        <f t="shared" si="14"/>
        <v>0</v>
      </c>
      <c r="L410" s="255">
        <f t="shared" si="15"/>
        <v>0</v>
      </c>
      <c r="M410" s="255">
        <f t="shared" si="16"/>
        <v>0</v>
      </c>
      <c r="N410" s="256"/>
      <c r="O410" s="532">
        <f t="shared" si="13"/>
        <v>0</v>
      </c>
      <c r="P410" s="257"/>
      <c r="Q410" s="9"/>
      <c r="R410" s="9"/>
    </row>
    <row r="411" spans="1:18">
      <c r="A411" s="260">
        <v>3006</v>
      </c>
      <c r="B411" s="252">
        <v>6811</v>
      </c>
      <c r="C411" s="253" t="s">
        <v>492</v>
      </c>
      <c r="D411" s="254" t="s">
        <v>511</v>
      </c>
      <c r="E411" s="255"/>
      <c r="F411" s="255"/>
      <c r="G411" s="255"/>
      <c r="H411" s="255"/>
      <c r="I411" s="255"/>
      <c r="J411" s="255"/>
      <c r="K411" s="255">
        <f t="shared" si="14"/>
        <v>0</v>
      </c>
      <c r="L411" s="255">
        <f t="shared" si="15"/>
        <v>0</v>
      </c>
      <c r="M411" s="255">
        <f t="shared" si="16"/>
        <v>0</v>
      </c>
      <c r="N411" s="256"/>
      <c r="O411" s="532">
        <f t="shared" si="13"/>
        <v>0</v>
      </c>
      <c r="P411" s="257"/>
      <c r="Q411" s="9"/>
      <c r="R411" s="9"/>
    </row>
    <row r="412" spans="1:18">
      <c r="A412" s="260">
        <v>3006</v>
      </c>
      <c r="B412" s="252">
        <v>6816</v>
      </c>
      <c r="C412" s="253" t="s">
        <v>493</v>
      </c>
      <c r="D412" s="254" t="s">
        <v>511</v>
      </c>
      <c r="E412" s="255"/>
      <c r="F412" s="255"/>
      <c r="G412" s="255"/>
      <c r="H412" s="255"/>
      <c r="I412" s="255"/>
      <c r="J412" s="255"/>
      <c r="K412" s="255">
        <f t="shared" si="14"/>
        <v>0</v>
      </c>
      <c r="L412" s="255">
        <f t="shared" si="15"/>
        <v>0</v>
      </c>
      <c r="M412" s="255">
        <f t="shared" si="16"/>
        <v>0</v>
      </c>
      <c r="N412" s="256"/>
      <c r="O412" s="532">
        <f t="shared" si="13"/>
        <v>0</v>
      </c>
      <c r="P412" s="257"/>
      <c r="Q412" s="9"/>
      <c r="R412" s="9"/>
    </row>
    <row r="413" spans="1:18">
      <c r="A413" s="260">
        <v>3006</v>
      </c>
      <c r="B413" s="252">
        <v>681330</v>
      </c>
      <c r="C413" s="253" t="s">
        <v>492</v>
      </c>
      <c r="D413" s="254" t="s">
        <v>511</v>
      </c>
      <c r="E413" s="255"/>
      <c r="F413" s="255"/>
      <c r="G413" s="255"/>
      <c r="H413" s="255"/>
      <c r="I413" s="255"/>
      <c r="J413" s="255"/>
      <c r="K413" s="255">
        <f t="shared" si="14"/>
        <v>0</v>
      </c>
      <c r="L413" s="255">
        <f t="shared" si="15"/>
        <v>0</v>
      </c>
      <c r="M413" s="255">
        <f t="shared" si="16"/>
        <v>0</v>
      </c>
      <c r="N413" s="256"/>
      <c r="O413" s="532">
        <f t="shared" si="13"/>
        <v>0</v>
      </c>
      <c r="P413" s="257"/>
      <c r="Q413" s="9"/>
      <c r="R413" s="9"/>
    </row>
    <row r="414" spans="1:18">
      <c r="A414" s="260">
        <v>3006</v>
      </c>
      <c r="B414" s="252">
        <v>681820</v>
      </c>
      <c r="C414" s="253" t="s">
        <v>492</v>
      </c>
      <c r="D414" s="254" t="s">
        <v>511</v>
      </c>
      <c r="E414" s="255"/>
      <c r="F414" s="255"/>
      <c r="G414" s="255"/>
      <c r="H414" s="255"/>
      <c r="I414" s="255"/>
      <c r="J414" s="255"/>
      <c r="K414" s="255">
        <f t="shared" si="14"/>
        <v>0</v>
      </c>
      <c r="L414" s="255">
        <f t="shared" si="15"/>
        <v>0</v>
      </c>
      <c r="M414" s="255">
        <f t="shared" si="16"/>
        <v>0</v>
      </c>
      <c r="N414" s="256"/>
      <c r="O414" s="532">
        <f t="shared" si="13"/>
        <v>0</v>
      </c>
      <c r="P414" s="257"/>
      <c r="Q414" s="9"/>
      <c r="R414" s="9"/>
    </row>
    <row r="415" spans="1:18">
      <c r="A415" s="260">
        <v>5010</v>
      </c>
      <c r="B415" s="252">
        <v>694</v>
      </c>
      <c r="C415" s="253" t="s">
        <v>578</v>
      </c>
      <c r="D415" s="254"/>
      <c r="E415" s="255"/>
      <c r="F415" s="255"/>
      <c r="G415" s="255"/>
      <c r="H415" s="255"/>
      <c r="I415" s="434">
        <f>325.63*139.59</f>
        <v>45454.691700000003</v>
      </c>
      <c r="J415" s="255"/>
      <c r="K415" s="255">
        <f t="shared" si="14"/>
        <v>0</v>
      </c>
      <c r="L415" s="569">
        <f t="shared" si="15"/>
        <v>45454.691700000003</v>
      </c>
      <c r="M415" s="255">
        <f t="shared" si="16"/>
        <v>0</v>
      </c>
      <c r="N415" s="256"/>
      <c r="O415" s="532">
        <f>L415/139.59</f>
        <v>325.63</v>
      </c>
      <c r="P415" s="257"/>
      <c r="Q415" s="9"/>
      <c r="R415" s="9"/>
    </row>
    <row r="416" spans="1:18">
      <c r="A416" s="260">
        <v>4001</v>
      </c>
      <c r="B416" s="252">
        <v>7044</v>
      </c>
      <c r="C416" s="253" t="s">
        <v>494</v>
      </c>
      <c r="D416" s="254" t="s">
        <v>511</v>
      </c>
      <c r="E416" s="255"/>
      <c r="F416" s="255"/>
      <c r="G416" s="255"/>
      <c r="H416" s="255"/>
      <c r="I416" s="255"/>
      <c r="J416" s="255"/>
      <c r="K416" s="255">
        <f t="shared" si="14"/>
        <v>0</v>
      </c>
      <c r="L416" s="255">
        <f t="shared" si="15"/>
        <v>0</v>
      </c>
      <c r="M416" s="255">
        <f t="shared" si="16"/>
        <v>0</v>
      </c>
      <c r="N416" s="256"/>
      <c r="O416" s="532">
        <f t="shared" si="13"/>
        <v>0</v>
      </c>
      <c r="P416" s="257"/>
      <c r="Q416" s="9"/>
      <c r="R416" s="9"/>
    </row>
    <row r="417" spans="1:18">
      <c r="A417" s="260">
        <v>4001</v>
      </c>
      <c r="B417" s="252">
        <v>70441</v>
      </c>
      <c r="C417" s="253" t="s">
        <v>495</v>
      </c>
      <c r="D417" s="254" t="s">
        <v>511</v>
      </c>
      <c r="E417" s="255"/>
      <c r="F417" s="255"/>
      <c r="G417" s="255"/>
      <c r="H417" s="255"/>
      <c r="I417" s="255"/>
      <c r="J417" s="255"/>
      <c r="K417" s="255">
        <f t="shared" si="14"/>
        <v>0</v>
      </c>
      <c r="L417" s="255">
        <f t="shared" si="15"/>
        <v>0</v>
      </c>
      <c r="M417" s="255">
        <f t="shared" si="16"/>
        <v>0</v>
      </c>
      <c r="N417" s="256"/>
      <c r="O417" s="532">
        <f t="shared" si="13"/>
        <v>0</v>
      </c>
      <c r="P417" s="257"/>
      <c r="Q417" s="9"/>
      <c r="R417" s="9"/>
    </row>
    <row r="418" spans="1:18">
      <c r="A418" s="260">
        <v>4001</v>
      </c>
      <c r="B418" s="252">
        <v>70442</v>
      </c>
      <c r="C418" s="253" t="s">
        <v>496</v>
      </c>
      <c r="D418" s="254" t="s">
        <v>511</v>
      </c>
      <c r="E418" s="255"/>
      <c r="F418" s="255"/>
      <c r="G418" s="255"/>
      <c r="H418" s="255"/>
      <c r="I418" s="255"/>
      <c r="J418" s="255"/>
      <c r="K418" s="255">
        <f t="shared" si="14"/>
        <v>0</v>
      </c>
      <c r="L418" s="255">
        <f t="shared" si="15"/>
        <v>0</v>
      </c>
      <c r="M418" s="255">
        <f t="shared" si="16"/>
        <v>0</v>
      </c>
      <c r="N418" s="256"/>
      <c r="O418" s="532">
        <f t="shared" si="13"/>
        <v>0</v>
      </c>
      <c r="P418" s="257"/>
      <c r="Q418" s="9"/>
      <c r="R418" s="9"/>
    </row>
    <row r="419" spans="1:18">
      <c r="A419" s="273"/>
      <c r="B419" s="252">
        <v>70443</v>
      </c>
      <c r="C419" s="253" t="s">
        <v>573</v>
      </c>
      <c r="D419" s="254" t="s">
        <v>511</v>
      </c>
      <c r="E419" s="255"/>
      <c r="F419" s="255"/>
      <c r="G419" s="255"/>
      <c r="H419" s="255"/>
      <c r="I419" s="255"/>
      <c r="J419" s="255"/>
      <c r="K419" s="255">
        <f t="shared" si="14"/>
        <v>0</v>
      </c>
      <c r="L419" s="255">
        <f t="shared" si="15"/>
        <v>0</v>
      </c>
      <c r="M419" s="255">
        <f t="shared" si="16"/>
        <v>0</v>
      </c>
      <c r="N419" s="256"/>
      <c r="O419" s="532">
        <f t="shared" si="13"/>
        <v>0</v>
      </c>
      <c r="P419" s="257"/>
      <c r="Q419" s="9"/>
      <c r="R419" s="9"/>
    </row>
    <row r="420" spans="1:18">
      <c r="A420" s="260">
        <v>4001</v>
      </c>
      <c r="B420" s="252">
        <v>7045</v>
      </c>
      <c r="C420" s="253" t="s">
        <v>572</v>
      </c>
      <c r="D420" s="254" t="s">
        <v>511</v>
      </c>
      <c r="E420" s="255"/>
      <c r="F420" s="255"/>
      <c r="G420" s="255"/>
      <c r="H420" s="255"/>
      <c r="I420" s="255"/>
      <c r="J420" s="255"/>
      <c r="K420" s="255">
        <f t="shared" si="14"/>
        <v>0</v>
      </c>
      <c r="L420" s="255">
        <f t="shared" si="15"/>
        <v>0</v>
      </c>
      <c r="M420" s="255">
        <f t="shared" si="16"/>
        <v>0</v>
      </c>
      <c r="N420" s="256"/>
      <c r="O420" s="532">
        <f t="shared" si="13"/>
        <v>0</v>
      </c>
      <c r="P420" s="257"/>
      <c r="Q420" s="9"/>
      <c r="R420" s="9"/>
    </row>
    <row r="421" spans="1:18">
      <c r="A421" s="260">
        <v>4001</v>
      </c>
      <c r="B421" s="252">
        <v>7047</v>
      </c>
      <c r="C421" s="253" t="s">
        <v>497</v>
      </c>
      <c r="D421" s="254" t="s">
        <v>511</v>
      </c>
      <c r="E421" s="255"/>
      <c r="F421" s="255"/>
      <c r="G421" s="255"/>
      <c r="H421" s="255"/>
      <c r="I421" s="255"/>
      <c r="J421" s="255"/>
      <c r="K421" s="255">
        <f t="shared" si="14"/>
        <v>0</v>
      </c>
      <c r="L421" s="255">
        <f t="shared" si="15"/>
        <v>0</v>
      </c>
      <c r="M421" s="255">
        <f t="shared" si="16"/>
        <v>0</v>
      </c>
      <c r="N421" s="256"/>
      <c r="O421" s="532">
        <f t="shared" si="13"/>
        <v>0</v>
      </c>
      <c r="P421" s="257"/>
      <c r="Q421" s="9"/>
      <c r="R421" s="9"/>
    </row>
    <row r="422" spans="1:18">
      <c r="A422" s="260">
        <v>4001</v>
      </c>
      <c r="B422" s="252">
        <v>7048</v>
      </c>
      <c r="C422" s="253" t="s">
        <v>498</v>
      </c>
      <c r="D422" s="254" t="s">
        <v>511</v>
      </c>
      <c r="E422" s="255"/>
      <c r="F422" s="255"/>
      <c r="G422" s="255"/>
      <c r="H422" s="255"/>
      <c r="I422" s="255"/>
      <c r="J422" s="255"/>
      <c r="K422" s="255">
        <f t="shared" si="14"/>
        <v>0</v>
      </c>
      <c r="L422" s="255">
        <f t="shared" si="15"/>
        <v>0</v>
      </c>
      <c r="M422" s="255">
        <f t="shared" si="16"/>
        <v>0</v>
      </c>
      <c r="N422" s="256"/>
      <c r="O422" s="532">
        <f t="shared" si="13"/>
        <v>0</v>
      </c>
      <c r="P422" s="257"/>
      <c r="Q422" s="9"/>
      <c r="R422" s="9"/>
    </row>
    <row r="423" spans="1:18">
      <c r="A423" s="260">
        <v>4001</v>
      </c>
      <c r="B423" s="252">
        <v>7049</v>
      </c>
      <c r="C423" s="253" t="s">
        <v>499</v>
      </c>
      <c r="D423" s="254" t="s">
        <v>511</v>
      </c>
      <c r="E423" s="255"/>
      <c r="F423" s="255"/>
      <c r="G423" s="255"/>
      <c r="H423" s="255"/>
      <c r="I423" s="255"/>
      <c r="J423" s="255"/>
      <c r="K423" s="255">
        <f t="shared" si="14"/>
        <v>0</v>
      </c>
      <c r="L423" s="255">
        <f t="shared" si="15"/>
        <v>0</v>
      </c>
      <c r="M423" s="255">
        <f t="shared" si="16"/>
        <v>0</v>
      </c>
      <c r="N423" s="256"/>
      <c r="O423" s="532">
        <f t="shared" ref="O423:O440" si="17">M423/139.59</f>
        <v>0</v>
      </c>
      <c r="P423" s="257"/>
      <c r="Q423" s="9"/>
      <c r="R423" s="9"/>
    </row>
    <row r="424" spans="1:18">
      <c r="A424" s="260">
        <v>4001</v>
      </c>
      <c r="B424" s="252">
        <v>705</v>
      </c>
      <c r="C424" s="253" t="s">
        <v>500</v>
      </c>
      <c r="D424" s="254" t="s">
        <v>511</v>
      </c>
      <c r="E424" s="255"/>
      <c r="F424" s="255"/>
      <c r="G424" s="255"/>
      <c r="H424" s="255"/>
      <c r="I424" s="255"/>
      <c r="J424" s="255"/>
      <c r="K424" s="255">
        <f t="shared" si="14"/>
        <v>0</v>
      </c>
      <c r="L424" s="255">
        <f t="shared" si="15"/>
        <v>0</v>
      </c>
      <c r="M424" s="255">
        <f t="shared" si="16"/>
        <v>0</v>
      </c>
      <c r="N424" s="256"/>
      <c r="O424" s="532">
        <f t="shared" si="17"/>
        <v>0</v>
      </c>
      <c r="P424" s="257"/>
      <c r="Q424" s="9"/>
      <c r="R424" s="9"/>
    </row>
    <row r="425" spans="1:18">
      <c r="A425" s="260">
        <v>4001</v>
      </c>
      <c r="B425" s="252">
        <v>7051</v>
      </c>
      <c r="C425" s="253" t="s">
        <v>574</v>
      </c>
      <c r="D425" s="254" t="s">
        <v>511</v>
      </c>
      <c r="E425" s="255"/>
      <c r="F425" s="255"/>
      <c r="G425" s="255"/>
      <c r="H425" s="255"/>
      <c r="I425" s="255"/>
      <c r="J425" s="255"/>
      <c r="K425" s="255">
        <f t="shared" si="14"/>
        <v>0</v>
      </c>
      <c r="L425" s="255">
        <f t="shared" si="15"/>
        <v>0</v>
      </c>
      <c r="M425" s="255">
        <f t="shared" si="16"/>
        <v>0</v>
      </c>
      <c r="N425" s="256"/>
      <c r="O425" s="532">
        <f t="shared" si="17"/>
        <v>0</v>
      </c>
      <c r="P425" s="257"/>
      <c r="Q425" s="9"/>
      <c r="R425" s="9"/>
    </row>
    <row r="426" spans="1:18">
      <c r="A426" s="260">
        <v>4001</v>
      </c>
      <c r="B426" s="252">
        <v>708</v>
      </c>
      <c r="C426" s="253" t="s">
        <v>501</v>
      </c>
      <c r="D426" s="254" t="s">
        <v>511</v>
      </c>
      <c r="E426" s="255"/>
      <c r="F426" s="255"/>
      <c r="G426" s="255"/>
      <c r="H426" s="255"/>
      <c r="I426" s="255"/>
      <c r="J426" s="255"/>
      <c r="K426" s="255">
        <f t="shared" si="14"/>
        <v>0</v>
      </c>
      <c r="L426" s="255">
        <f t="shared" si="15"/>
        <v>0</v>
      </c>
      <c r="M426" s="255">
        <f t="shared" si="16"/>
        <v>0</v>
      </c>
      <c r="N426" s="256"/>
      <c r="O426" s="532">
        <f t="shared" si="17"/>
        <v>0</v>
      </c>
      <c r="P426" s="257"/>
      <c r="Q426" s="9"/>
      <c r="R426" s="9"/>
    </row>
    <row r="427" spans="1:18">
      <c r="A427" s="260">
        <v>4001</v>
      </c>
      <c r="B427" s="252">
        <v>722</v>
      </c>
      <c r="C427" s="253" t="s">
        <v>502</v>
      </c>
      <c r="D427" s="254" t="s">
        <v>511</v>
      </c>
      <c r="E427" s="255"/>
      <c r="F427" s="255"/>
      <c r="G427" s="255"/>
      <c r="H427" s="255"/>
      <c r="I427" s="255"/>
      <c r="J427" s="255"/>
      <c r="K427" s="255">
        <f t="shared" si="14"/>
        <v>0</v>
      </c>
      <c r="L427" s="255">
        <f t="shared" si="15"/>
        <v>0</v>
      </c>
      <c r="M427" s="255">
        <f t="shared" si="16"/>
        <v>0</v>
      </c>
      <c r="N427" s="256"/>
      <c r="O427" s="532">
        <f t="shared" si="17"/>
        <v>0</v>
      </c>
      <c r="P427" s="257"/>
      <c r="Q427" s="9"/>
      <c r="R427" s="9"/>
    </row>
    <row r="428" spans="1:18">
      <c r="A428" s="260">
        <v>3006</v>
      </c>
      <c r="B428" s="252">
        <v>73</v>
      </c>
      <c r="C428" s="253" t="s">
        <v>503</v>
      </c>
      <c r="D428" s="254" t="s">
        <v>511</v>
      </c>
      <c r="E428" s="255"/>
      <c r="F428" s="255"/>
      <c r="G428" s="255"/>
      <c r="H428" s="255"/>
      <c r="I428" s="255"/>
      <c r="J428" s="255"/>
      <c r="K428" s="255">
        <f t="shared" ref="K428:K440" si="18">J428</f>
        <v>0</v>
      </c>
      <c r="L428" s="255">
        <f t="shared" ref="L428:L440" si="19">I428</f>
        <v>0</v>
      </c>
      <c r="M428" s="255">
        <f t="shared" si="16"/>
        <v>0</v>
      </c>
      <c r="N428" s="256"/>
      <c r="O428" s="532">
        <f t="shared" si="17"/>
        <v>0</v>
      </c>
      <c r="P428" s="257"/>
      <c r="Q428" s="9"/>
      <c r="R428" s="9"/>
    </row>
    <row r="429" spans="1:18">
      <c r="A429" s="260">
        <v>4003</v>
      </c>
      <c r="B429" s="252">
        <v>758</v>
      </c>
      <c r="C429" s="253" t="s">
        <v>504</v>
      </c>
      <c r="D429" s="254" t="s">
        <v>511</v>
      </c>
      <c r="E429" s="255"/>
      <c r="F429" s="255"/>
      <c r="G429" s="255"/>
      <c r="H429" s="255"/>
      <c r="I429" s="255"/>
      <c r="J429" s="255"/>
      <c r="K429" s="255">
        <f t="shared" si="18"/>
        <v>0</v>
      </c>
      <c r="L429" s="255">
        <f t="shared" si="19"/>
        <v>0</v>
      </c>
      <c r="M429" s="255">
        <f t="shared" si="16"/>
        <v>0</v>
      </c>
      <c r="N429" s="256"/>
      <c r="O429" s="532">
        <f t="shared" si="17"/>
        <v>0</v>
      </c>
      <c r="P429" s="257"/>
      <c r="Q429" s="9"/>
      <c r="R429" s="9"/>
    </row>
    <row r="430" spans="1:18">
      <c r="A430" s="260">
        <v>3007</v>
      </c>
      <c r="B430" s="252">
        <v>767</v>
      </c>
      <c r="C430" s="253" t="s">
        <v>505</v>
      </c>
      <c r="D430" s="254" t="s">
        <v>511</v>
      </c>
      <c r="E430" s="255"/>
      <c r="F430" s="255"/>
      <c r="G430" s="255"/>
      <c r="H430" s="255"/>
      <c r="I430" s="255"/>
      <c r="J430" s="255"/>
      <c r="K430" s="255">
        <f t="shared" si="18"/>
        <v>0</v>
      </c>
      <c r="L430" s="255">
        <f t="shared" si="19"/>
        <v>0</v>
      </c>
      <c r="M430" s="255">
        <f t="shared" si="16"/>
        <v>0</v>
      </c>
      <c r="N430" s="256"/>
      <c r="O430" s="532">
        <f t="shared" si="17"/>
        <v>0</v>
      </c>
      <c r="P430" s="257"/>
      <c r="Q430" s="9"/>
      <c r="R430" s="9"/>
    </row>
    <row r="431" spans="1:18">
      <c r="A431" s="260">
        <v>3007</v>
      </c>
      <c r="B431" s="252">
        <v>7670</v>
      </c>
      <c r="C431" s="253" t="s">
        <v>40</v>
      </c>
      <c r="D431" s="254" t="s">
        <v>511</v>
      </c>
      <c r="E431" s="255"/>
      <c r="F431" s="255"/>
      <c r="G431" s="255"/>
      <c r="H431" s="255"/>
      <c r="I431" s="255"/>
      <c r="J431" s="255"/>
      <c r="K431" s="255">
        <f t="shared" si="18"/>
        <v>0</v>
      </c>
      <c r="L431" s="255">
        <f t="shared" si="19"/>
        <v>0</v>
      </c>
      <c r="M431" s="255">
        <f t="shared" si="16"/>
        <v>0</v>
      </c>
      <c r="N431" s="256"/>
      <c r="O431" s="532">
        <f t="shared" si="17"/>
        <v>0</v>
      </c>
      <c r="P431" s="257"/>
      <c r="Q431" s="9"/>
      <c r="R431" s="9"/>
    </row>
    <row r="432" spans="1:18">
      <c r="A432" s="260">
        <v>4003</v>
      </c>
      <c r="B432" s="252">
        <v>7671</v>
      </c>
      <c r="C432" s="253" t="s">
        <v>575</v>
      </c>
      <c r="D432" s="254" t="s">
        <v>511</v>
      </c>
      <c r="E432" s="255"/>
      <c r="F432" s="255"/>
      <c r="G432" s="255"/>
      <c r="H432" s="255"/>
      <c r="I432" s="255"/>
      <c r="J432" s="255"/>
      <c r="K432" s="255">
        <f t="shared" si="18"/>
        <v>0</v>
      </c>
      <c r="L432" s="255">
        <f t="shared" si="19"/>
        <v>0</v>
      </c>
      <c r="M432" s="255">
        <f t="shared" si="16"/>
        <v>0</v>
      </c>
      <c r="N432" s="256"/>
      <c r="O432" s="532">
        <f t="shared" si="17"/>
        <v>0</v>
      </c>
      <c r="P432" s="257"/>
      <c r="Q432" s="9"/>
      <c r="R432" s="9"/>
    </row>
    <row r="433" spans="1:18">
      <c r="A433" s="260">
        <v>3009</v>
      </c>
      <c r="B433" s="252">
        <v>768</v>
      </c>
      <c r="C433" s="253" t="s">
        <v>506</v>
      </c>
      <c r="D433" s="254" t="s">
        <v>511</v>
      </c>
      <c r="E433" s="255"/>
      <c r="F433" s="255"/>
      <c r="G433" s="255"/>
      <c r="H433" s="255"/>
      <c r="I433" s="554">
        <f>-16.1*139.59</f>
        <v>-2247.3990000000003</v>
      </c>
      <c r="J433" s="255"/>
      <c r="K433" s="255">
        <f>-I433</f>
        <v>2247.3990000000003</v>
      </c>
      <c r="L433" s="255"/>
      <c r="M433" s="255">
        <f>(+I433-J433)+K433-L433</f>
        <v>0</v>
      </c>
      <c r="N433" s="256"/>
      <c r="O433" s="532">
        <f>K433/139.59</f>
        <v>16.100000000000001</v>
      </c>
      <c r="P433" s="257"/>
      <c r="Q433" s="9"/>
      <c r="R433" s="9"/>
    </row>
    <row r="434" spans="1:18">
      <c r="A434" s="260">
        <v>4002</v>
      </c>
      <c r="B434" s="252">
        <v>7680</v>
      </c>
      <c r="C434" s="253" t="s">
        <v>507</v>
      </c>
      <c r="D434" s="254" t="s">
        <v>511</v>
      </c>
      <c r="E434" s="255"/>
      <c r="F434" s="255"/>
      <c r="G434" s="255"/>
      <c r="H434" s="255"/>
      <c r="I434" s="437"/>
      <c r="J434" s="255"/>
      <c r="K434" s="255">
        <f t="shared" si="18"/>
        <v>0</v>
      </c>
      <c r="L434" s="255"/>
      <c r="M434" s="255">
        <f t="shared" si="16"/>
        <v>0</v>
      </c>
      <c r="N434" s="256"/>
      <c r="O434" s="532">
        <f t="shared" si="17"/>
        <v>0</v>
      </c>
      <c r="P434" s="257"/>
      <c r="Q434" s="9"/>
      <c r="R434" s="9"/>
    </row>
    <row r="435" spans="1:18">
      <c r="A435" s="260">
        <v>3008</v>
      </c>
      <c r="B435" s="252">
        <v>769</v>
      </c>
      <c r="C435" s="253" t="s">
        <v>508</v>
      </c>
      <c r="D435" s="254" t="s">
        <v>511</v>
      </c>
      <c r="E435" s="255"/>
      <c r="F435" s="255"/>
      <c r="G435" s="255"/>
      <c r="H435" s="255"/>
      <c r="I435" s="554">
        <f>-19.26*139.59</f>
        <v>-2688.5034000000005</v>
      </c>
      <c r="J435" s="255"/>
      <c r="K435" s="255">
        <f>-I435</f>
        <v>2688.5034000000005</v>
      </c>
      <c r="L435" s="255"/>
      <c r="M435" s="255">
        <f t="shared" si="16"/>
        <v>0</v>
      </c>
      <c r="N435" s="256"/>
      <c r="O435" s="532">
        <f>K435/139.59</f>
        <v>19.260000000000002</v>
      </c>
      <c r="P435" s="257"/>
      <c r="Q435" s="9"/>
      <c r="R435" s="9"/>
    </row>
    <row r="436" spans="1:18">
      <c r="A436" s="260">
        <v>3008</v>
      </c>
      <c r="B436" s="252">
        <v>7690</v>
      </c>
      <c r="C436" s="253" t="s">
        <v>576</v>
      </c>
      <c r="D436" s="254" t="s">
        <v>511</v>
      </c>
      <c r="E436" s="255"/>
      <c r="F436" s="255"/>
      <c r="G436" s="255"/>
      <c r="H436" s="255"/>
      <c r="I436" s="255"/>
      <c r="J436" s="255"/>
      <c r="K436" s="255">
        <f t="shared" si="18"/>
        <v>0</v>
      </c>
      <c r="L436" s="255">
        <f t="shared" si="19"/>
        <v>0</v>
      </c>
      <c r="M436" s="255">
        <f t="shared" si="16"/>
        <v>0</v>
      </c>
      <c r="N436" s="256"/>
      <c r="O436" s="532">
        <f t="shared" si="17"/>
        <v>0</v>
      </c>
      <c r="P436" s="257"/>
      <c r="Q436" s="9"/>
      <c r="R436" s="9"/>
    </row>
    <row r="437" spans="1:18">
      <c r="A437" s="260">
        <v>3008</v>
      </c>
      <c r="B437" s="252">
        <v>76901</v>
      </c>
      <c r="C437" s="253" t="s">
        <v>509</v>
      </c>
      <c r="D437" s="254" t="s">
        <v>511</v>
      </c>
      <c r="E437" s="255"/>
      <c r="F437" s="255"/>
      <c r="G437" s="255"/>
      <c r="H437" s="255"/>
      <c r="I437" s="255"/>
      <c r="J437" s="255"/>
      <c r="K437" s="255">
        <f t="shared" si="18"/>
        <v>0</v>
      </c>
      <c r="L437" s="255">
        <f t="shared" si="19"/>
        <v>0</v>
      </c>
      <c r="M437" s="255">
        <f t="shared" si="16"/>
        <v>0</v>
      </c>
      <c r="N437" s="256"/>
      <c r="O437" s="532">
        <f t="shared" si="17"/>
        <v>0</v>
      </c>
      <c r="P437" s="257"/>
      <c r="Q437" s="9"/>
      <c r="R437" s="9"/>
    </row>
    <row r="438" spans="1:18">
      <c r="A438" s="260">
        <v>3009</v>
      </c>
      <c r="B438" s="252">
        <v>7721330</v>
      </c>
      <c r="C438" s="253" t="s">
        <v>517</v>
      </c>
      <c r="D438" s="254" t="s">
        <v>511</v>
      </c>
      <c r="E438" s="255"/>
      <c r="F438" s="255"/>
      <c r="G438" s="255"/>
      <c r="H438" s="255"/>
      <c r="I438" s="255"/>
      <c r="J438" s="255"/>
      <c r="K438" s="255">
        <f t="shared" si="18"/>
        <v>0</v>
      </c>
      <c r="L438" s="255">
        <f t="shared" si="19"/>
        <v>0</v>
      </c>
      <c r="M438" s="255">
        <f t="shared" si="16"/>
        <v>0</v>
      </c>
      <c r="N438" s="256"/>
      <c r="O438" s="532">
        <f t="shared" si="17"/>
        <v>0</v>
      </c>
      <c r="P438" s="257"/>
      <c r="Q438" s="9"/>
      <c r="R438" s="9"/>
    </row>
    <row r="439" spans="1:18">
      <c r="A439" s="260">
        <v>3009</v>
      </c>
      <c r="B439" s="252">
        <v>778</v>
      </c>
      <c r="C439" s="253" t="s">
        <v>577</v>
      </c>
      <c r="D439" s="254" t="s">
        <v>511</v>
      </c>
      <c r="E439" s="255"/>
      <c r="F439" s="255"/>
      <c r="G439" s="255"/>
      <c r="H439" s="255"/>
      <c r="I439" s="255"/>
      <c r="J439" s="255"/>
      <c r="K439" s="255">
        <f t="shared" si="18"/>
        <v>0</v>
      </c>
      <c r="L439" s="255">
        <f t="shared" si="19"/>
        <v>0</v>
      </c>
      <c r="M439" s="255">
        <f t="shared" si="16"/>
        <v>0</v>
      </c>
      <c r="N439" s="256"/>
      <c r="O439" s="532">
        <f t="shared" si="17"/>
        <v>0</v>
      </c>
      <c r="P439" s="257"/>
      <c r="Q439" s="9"/>
      <c r="R439" s="9"/>
    </row>
    <row r="440" spans="1:18">
      <c r="A440" s="260"/>
      <c r="B440" s="252">
        <v>890</v>
      </c>
      <c r="C440" s="253" t="s">
        <v>510</v>
      </c>
      <c r="D440" s="254" t="s">
        <v>511</v>
      </c>
      <c r="E440" s="255"/>
      <c r="F440" s="255"/>
      <c r="G440" s="255"/>
      <c r="H440" s="255"/>
      <c r="I440" s="255"/>
      <c r="J440" s="255"/>
      <c r="K440" s="255">
        <f t="shared" si="18"/>
        <v>0</v>
      </c>
      <c r="L440" s="255">
        <f t="shared" si="19"/>
        <v>0</v>
      </c>
      <c r="M440" s="255">
        <f t="shared" si="16"/>
        <v>0</v>
      </c>
      <c r="N440" s="256"/>
      <c r="O440" s="532">
        <f t="shared" si="17"/>
        <v>0</v>
      </c>
      <c r="P440" s="257"/>
      <c r="Q440" s="9"/>
      <c r="R440" s="9"/>
    </row>
    <row r="441" spans="1:18">
      <c r="A441" s="274"/>
      <c r="B441" s="275"/>
      <c r="C441" s="276"/>
      <c r="D441" s="276"/>
      <c r="E441" s="276"/>
      <c r="F441" s="276"/>
      <c r="G441" s="276"/>
      <c r="H441" s="275"/>
      <c r="I441" s="275"/>
      <c r="J441" s="275"/>
      <c r="K441" s="275"/>
      <c r="L441" s="275"/>
      <c r="M441" s="279">
        <f>SUM(M5:M440)</f>
        <v>0</v>
      </c>
      <c r="N441" s="280" t="s">
        <v>664</v>
      </c>
      <c r="O441" s="532">
        <f>M441/139.59</f>
        <v>0</v>
      </c>
    </row>
    <row r="442" spans="1:18">
      <c r="A442" s="274"/>
      <c r="B442" s="275"/>
      <c r="C442" s="276"/>
      <c r="D442" s="276"/>
      <c r="E442" s="276"/>
      <c r="F442" s="276"/>
      <c r="G442" s="276"/>
      <c r="H442" s="275"/>
      <c r="I442" s="275"/>
      <c r="J442" s="275"/>
      <c r="K442" s="275"/>
      <c r="L442" s="275"/>
      <c r="M442" s="423"/>
      <c r="N442" s="275"/>
    </row>
    <row r="443" spans="1:18">
      <c r="A443" s="274"/>
      <c r="B443" s="275"/>
      <c r="C443" s="276"/>
      <c r="D443" s="276"/>
      <c r="E443" s="276"/>
      <c r="F443" s="276"/>
      <c r="G443" s="276"/>
      <c r="H443" s="275"/>
      <c r="I443" s="275"/>
      <c r="J443" s="275"/>
      <c r="K443" s="275"/>
      <c r="L443" s="275"/>
      <c r="M443" s="275"/>
      <c r="N443" s="275"/>
    </row>
    <row r="444" spans="1:18">
      <c r="A444" s="274"/>
      <c r="B444" s="275"/>
      <c r="C444" s="276"/>
      <c r="D444" s="276"/>
      <c r="E444" s="276"/>
      <c r="F444" s="276"/>
      <c r="G444" s="276"/>
      <c r="H444" s="275"/>
      <c r="I444" s="275"/>
      <c r="J444" s="275"/>
      <c r="K444" s="275"/>
      <c r="L444" s="281" t="s">
        <v>665</v>
      </c>
      <c r="M444" s="282">
        <f>SUM(M299:M440)</f>
        <v>9180810.5696999989</v>
      </c>
      <c r="N444" s="275"/>
    </row>
    <row r="445" spans="1:18">
      <c r="A445" s="274"/>
      <c r="B445" s="275"/>
      <c r="C445" s="276"/>
      <c r="D445" s="276"/>
      <c r="E445" s="276"/>
      <c r="F445" s="276"/>
      <c r="G445" s="276"/>
      <c r="H445" s="275"/>
      <c r="I445" s="275"/>
      <c r="J445" s="275"/>
      <c r="K445" s="275"/>
      <c r="L445" s="275" t="s">
        <v>883</v>
      </c>
      <c r="M445" s="415">
        <f>65769.82*139.59</f>
        <v>9180809.1738000009</v>
      </c>
      <c r="N445" s="275"/>
    </row>
    <row r="446" spans="1:18">
      <c r="A446" s="274"/>
      <c r="B446" s="275"/>
      <c r="C446" s="276"/>
      <c r="D446" s="276"/>
      <c r="E446" s="276"/>
      <c r="F446" s="276"/>
      <c r="G446" s="276"/>
      <c r="H446" s="275"/>
      <c r="I446" s="275"/>
      <c r="J446" s="275"/>
      <c r="K446" s="275"/>
      <c r="L446" s="275"/>
      <c r="M446" s="415">
        <f>M444-M445</f>
        <v>1.395899998024106</v>
      </c>
      <c r="N446" s="275" t="s">
        <v>882</v>
      </c>
    </row>
    <row r="447" spans="1:18">
      <c r="A447" s="274"/>
      <c r="B447" s="275"/>
      <c r="C447" s="276"/>
      <c r="D447" s="276"/>
      <c r="E447" s="276"/>
      <c r="F447" s="276"/>
      <c r="G447" s="276"/>
      <c r="H447" s="275"/>
      <c r="I447" s="275"/>
      <c r="J447" s="275"/>
      <c r="K447" s="275"/>
      <c r="L447" s="275"/>
      <c r="M447" s="541">
        <f>M446/139.59</f>
        <v>9.9999999858450175E-3</v>
      </c>
      <c r="N447" s="275"/>
    </row>
    <row r="448" spans="1:18">
      <c r="A448" s="274"/>
      <c r="B448" s="275"/>
      <c r="C448" s="276"/>
      <c r="D448" s="276"/>
      <c r="E448" s="276"/>
      <c r="F448" s="276"/>
      <c r="G448" s="276"/>
      <c r="H448" s="275"/>
      <c r="I448" s="275"/>
      <c r="J448" s="275"/>
      <c r="K448" s="275"/>
      <c r="L448" s="275"/>
      <c r="M448" s="419"/>
      <c r="N448" s="275"/>
    </row>
    <row r="449" spans="1:14">
      <c r="A449" s="274"/>
      <c r="B449" s="275"/>
      <c r="C449" s="276"/>
      <c r="D449" s="276"/>
      <c r="E449" s="276"/>
      <c r="F449" s="276"/>
      <c r="G449" s="276"/>
      <c r="H449" s="275"/>
      <c r="I449" s="275"/>
      <c r="J449" s="275"/>
      <c r="K449" s="275"/>
      <c r="L449" s="275"/>
      <c r="M449" s="275"/>
      <c r="N449" s="275"/>
    </row>
    <row r="450" spans="1:14">
      <c r="A450" s="274"/>
      <c r="B450" s="275"/>
      <c r="C450" s="276"/>
      <c r="D450" s="276"/>
      <c r="E450" s="276"/>
      <c r="F450" s="276"/>
      <c r="G450" s="276"/>
      <c r="H450" s="275"/>
      <c r="I450" s="275"/>
      <c r="J450" s="275"/>
      <c r="K450" s="275"/>
      <c r="L450" s="275"/>
      <c r="M450" s="275"/>
      <c r="N450" s="275"/>
    </row>
    <row r="451" spans="1:14">
      <c r="A451" s="274"/>
      <c r="B451" s="275"/>
      <c r="C451" s="276"/>
      <c r="D451" s="276"/>
      <c r="E451" s="276"/>
      <c r="F451" s="276"/>
      <c r="G451" s="276"/>
      <c r="H451" s="275"/>
      <c r="I451" s="275"/>
      <c r="J451" s="275"/>
      <c r="K451" s="275"/>
      <c r="L451" s="275"/>
      <c r="M451" s="275"/>
      <c r="N451" s="275"/>
    </row>
    <row r="452" spans="1:14">
      <c r="A452" s="274"/>
      <c r="B452" s="275"/>
      <c r="C452" s="276"/>
      <c r="D452" s="276"/>
      <c r="E452" s="276"/>
      <c r="F452" s="276"/>
      <c r="G452" s="276"/>
      <c r="H452" s="275"/>
      <c r="I452" s="275"/>
      <c r="J452" s="275"/>
      <c r="K452" s="275"/>
      <c r="L452" s="275"/>
      <c r="M452" s="275"/>
      <c r="N452" s="275"/>
    </row>
    <row r="453" spans="1:14">
      <c r="A453" s="274"/>
      <c r="B453" s="275"/>
      <c r="C453" s="276"/>
      <c r="D453" s="276"/>
      <c r="E453" s="276"/>
      <c r="F453" s="276"/>
      <c r="G453" s="276"/>
      <c r="H453" s="275"/>
      <c r="I453" s="275"/>
      <c r="J453" s="275"/>
      <c r="K453" s="275"/>
      <c r="L453" s="275"/>
      <c r="M453" s="275"/>
      <c r="N453" s="275"/>
    </row>
    <row r="454" spans="1:14">
      <c r="A454" s="274"/>
      <c r="B454" s="275"/>
      <c r="C454" s="276"/>
      <c r="D454" s="276"/>
      <c r="E454" s="276"/>
      <c r="F454" s="276"/>
      <c r="G454" s="276"/>
      <c r="H454" s="275"/>
      <c r="I454" s="275"/>
      <c r="J454" s="275"/>
      <c r="K454" s="275"/>
      <c r="L454" s="275"/>
      <c r="M454" s="275"/>
      <c r="N454" s="275"/>
    </row>
    <row r="455" spans="1:14">
      <c r="A455" s="274"/>
      <c r="B455" s="275"/>
      <c r="C455" s="276"/>
      <c r="D455" s="276"/>
      <c r="E455" s="276"/>
      <c r="F455" s="276"/>
      <c r="G455" s="276"/>
      <c r="H455" s="275"/>
      <c r="I455" s="275"/>
      <c r="J455" s="275"/>
      <c r="K455" s="275"/>
      <c r="L455" s="275"/>
      <c r="M455" s="275"/>
      <c r="N455" s="275"/>
    </row>
    <row r="456" spans="1:14">
      <c r="A456" s="274"/>
      <c r="B456" s="275"/>
      <c r="C456" s="276"/>
      <c r="D456" s="276"/>
      <c r="E456" s="276"/>
      <c r="F456" s="276"/>
      <c r="G456" s="276"/>
      <c r="H456" s="275"/>
      <c r="I456" s="275"/>
      <c r="J456" s="275"/>
      <c r="K456" s="275"/>
      <c r="L456" s="275"/>
      <c r="M456" s="275"/>
      <c r="N456" s="275"/>
    </row>
    <row r="457" spans="1:14">
      <c r="A457" s="274"/>
      <c r="B457" s="275"/>
      <c r="C457" s="276"/>
      <c r="D457" s="276"/>
      <c r="E457" s="276"/>
      <c r="F457" s="276"/>
      <c r="G457" s="276"/>
      <c r="H457" s="275"/>
      <c r="I457" s="275"/>
      <c r="J457" s="275"/>
      <c r="K457" s="275"/>
      <c r="L457" s="275"/>
      <c r="M457" s="275"/>
      <c r="N457" s="275"/>
    </row>
    <row r="458" spans="1:14">
      <c r="A458" s="274"/>
      <c r="B458" s="275"/>
      <c r="C458" s="276"/>
      <c r="D458" s="276"/>
      <c r="E458" s="276"/>
      <c r="F458" s="276"/>
      <c r="G458" s="276"/>
      <c r="H458" s="275"/>
      <c r="I458" s="275"/>
      <c r="J458" s="275"/>
      <c r="K458" s="275"/>
      <c r="L458" s="275"/>
      <c r="M458" s="275"/>
      <c r="N458" s="275"/>
    </row>
    <row r="459" spans="1:14">
      <c r="A459" s="274"/>
      <c r="B459" s="275"/>
      <c r="C459" s="276"/>
      <c r="D459" s="276"/>
      <c r="E459" s="276"/>
      <c r="F459" s="276"/>
      <c r="G459" s="276"/>
      <c r="H459" s="275"/>
      <c r="I459" s="275"/>
      <c r="J459" s="275"/>
      <c r="K459" s="275"/>
      <c r="L459" s="275"/>
      <c r="M459" s="275"/>
      <c r="N459" s="275"/>
    </row>
    <row r="460" spans="1:14">
      <c r="A460" s="274"/>
      <c r="B460" s="275"/>
      <c r="C460" s="276"/>
      <c r="D460" s="276"/>
      <c r="E460" s="276"/>
      <c r="F460" s="276"/>
      <c r="G460" s="276"/>
      <c r="H460" s="275"/>
      <c r="I460" s="275"/>
      <c r="J460" s="275"/>
      <c r="K460" s="275"/>
      <c r="L460" s="275"/>
      <c r="M460" s="275"/>
      <c r="N460" s="275"/>
    </row>
    <row r="461" spans="1:14">
      <c r="A461" s="274"/>
      <c r="B461" s="275"/>
      <c r="C461" s="276"/>
      <c r="D461" s="276"/>
      <c r="E461" s="276"/>
      <c r="F461" s="276"/>
      <c r="G461" s="276"/>
      <c r="H461" s="275"/>
      <c r="I461" s="275"/>
      <c r="J461" s="275"/>
      <c r="K461" s="275"/>
      <c r="L461" s="275"/>
      <c r="M461" s="275"/>
      <c r="N461" s="275"/>
    </row>
    <row r="462" spans="1:14">
      <c r="A462" s="274"/>
      <c r="B462" s="275"/>
      <c r="C462" s="276"/>
      <c r="D462" s="276"/>
      <c r="E462" s="276"/>
      <c r="F462" s="276"/>
      <c r="G462" s="276"/>
      <c r="H462" s="275"/>
      <c r="I462" s="275"/>
      <c r="J462" s="275"/>
      <c r="K462" s="275"/>
      <c r="L462" s="275"/>
      <c r="M462" s="275"/>
      <c r="N462" s="275"/>
    </row>
    <row r="463" spans="1:14">
      <c r="A463" s="274"/>
      <c r="B463" s="275"/>
      <c r="C463" s="276"/>
      <c r="D463" s="276"/>
      <c r="E463" s="276"/>
      <c r="F463" s="276"/>
      <c r="G463" s="276"/>
      <c r="H463" s="275"/>
      <c r="I463" s="275"/>
      <c r="J463" s="275"/>
      <c r="K463" s="275"/>
      <c r="L463" s="275"/>
      <c r="M463" s="275"/>
      <c r="N463" s="275"/>
    </row>
    <row r="464" spans="1:14">
      <c r="A464" s="274"/>
      <c r="B464" s="275"/>
      <c r="C464" s="276"/>
      <c r="D464" s="276"/>
      <c r="E464" s="276"/>
      <c r="F464" s="276"/>
      <c r="G464" s="276"/>
      <c r="H464" s="275"/>
      <c r="I464" s="275"/>
      <c r="J464" s="275"/>
      <c r="K464" s="275"/>
      <c r="L464" s="275"/>
      <c r="M464" s="275"/>
      <c r="N464" s="275"/>
    </row>
    <row r="465" spans="1:14">
      <c r="A465" s="274"/>
      <c r="B465" s="275"/>
      <c r="C465" s="276"/>
      <c r="D465" s="276"/>
      <c r="E465" s="276"/>
      <c r="F465" s="276"/>
      <c r="G465" s="276"/>
      <c r="H465" s="275"/>
      <c r="I465" s="275"/>
      <c r="J465" s="275"/>
      <c r="K465" s="275"/>
      <c r="L465" s="275"/>
      <c r="M465" s="275"/>
      <c r="N465" s="275"/>
    </row>
    <row r="466" spans="1:14">
      <c r="A466" s="274"/>
      <c r="B466" s="275"/>
      <c r="C466" s="276"/>
      <c r="D466" s="276"/>
      <c r="E466" s="276"/>
      <c r="F466" s="276"/>
      <c r="G466" s="276"/>
      <c r="H466" s="275"/>
      <c r="I466" s="275"/>
      <c r="J466" s="275"/>
      <c r="K466" s="275"/>
      <c r="L466" s="275"/>
      <c r="M466" s="275"/>
      <c r="N466" s="275"/>
    </row>
    <row r="467" spans="1:14">
      <c r="A467" s="274"/>
      <c r="B467" s="275"/>
      <c r="C467" s="276"/>
      <c r="D467" s="276"/>
      <c r="E467" s="276"/>
      <c r="F467" s="276"/>
      <c r="G467" s="276"/>
      <c r="H467" s="275"/>
      <c r="I467" s="275"/>
      <c r="J467" s="275"/>
      <c r="K467" s="275"/>
      <c r="L467" s="275"/>
      <c r="M467" s="275"/>
      <c r="N467" s="275"/>
    </row>
    <row r="468" spans="1:14">
      <c r="A468" s="274"/>
      <c r="B468" s="275"/>
      <c r="C468" s="276"/>
      <c r="D468" s="276"/>
      <c r="E468" s="276"/>
      <c r="F468" s="276"/>
      <c r="G468" s="276"/>
      <c r="H468" s="275"/>
      <c r="I468" s="275"/>
      <c r="J468" s="275"/>
      <c r="K468" s="275"/>
      <c r="L468" s="275"/>
      <c r="M468" s="275"/>
      <c r="N468" s="275"/>
    </row>
    <row r="469" spans="1:14">
      <c r="A469" s="274"/>
      <c r="B469" s="275"/>
      <c r="C469" s="276"/>
      <c r="D469" s="276"/>
      <c r="E469" s="276"/>
      <c r="F469" s="276"/>
      <c r="G469" s="276"/>
      <c r="H469" s="275"/>
      <c r="I469" s="275"/>
      <c r="J469" s="275"/>
      <c r="K469" s="275"/>
      <c r="L469" s="275"/>
      <c r="M469" s="275"/>
      <c r="N469" s="275"/>
    </row>
    <row r="470" spans="1:14">
      <c r="A470" s="274"/>
      <c r="B470" s="275"/>
      <c r="C470" s="276"/>
      <c r="D470" s="276"/>
      <c r="E470" s="276"/>
      <c r="F470" s="276"/>
      <c r="G470" s="276"/>
      <c r="H470" s="275"/>
      <c r="I470" s="275"/>
      <c r="J470" s="275"/>
      <c r="K470" s="275"/>
      <c r="L470" s="275"/>
      <c r="M470" s="275"/>
      <c r="N470" s="275"/>
    </row>
    <row r="471" spans="1:14">
      <c r="A471" s="274"/>
      <c r="B471" s="275"/>
      <c r="C471" s="276"/>
      <c r="D471" s="276"/>
      <c r="E471" s="276"/>
      <c r="F471" s="276"/>
      <c r="G471" s="276"/>
      <c r="H471" s="275"/>
      <c r="I471" s="275"/>
      <c r="J471" s="275"/>
      <c r="K471" s="275"/>
      <c r="L471" s="275"/>
      <c r="M471" s="275"/>
      <c r="N471" s="275"/>
    </row>
    <row r="472" spans="1:14">
      <c r="A472" s="274"/>
      <c r="B472" s="275"/>
      <c r="C472" s="276"/>
      <c r="D472" s="276"/>
      <c r="E472" s="276"/>
      <c r="F472" s="276"/>
      <c r="G472" s="276"/>
      <c r="H472" s="275"/>
      <c r="I472" s="275"/>
      <c r="J472" s="275"/>
      <c r="K472" s="275"/>
      <c r="L472" s="275"/>
      <c r="M472" s="275"/>
      <c r="N472" s="275"/>
    </row>
    <row r="473" spans="1:14">
      <c r="A473" s="274"/>
      <c r="B473" s="275"/>
      <c r="C473" s="276"/>
      <c r="D473" s="276"/>
      <c r="E473" s="276"/>
      <c r="F473" s="276"/>
      <c r="G473" s="276"/>
      <c r="H473" s="275"/>
      <c r="I473" s="275"/>
      <c r="J473" s="275"/>
      <c r="K473" s="275"/>
      <c r="L473" s="275"/>
      <c r="M473" s="275"/>
      <c r="N473" s="275"/>
    </row>
    <row r="474" spans="1:14">
      <c r="A474" s="274"/>
      <c r="B474" s="275"/>
      <c r="C474" s="276"/>
      <c r="D474" s="276"/>
      <c r="E474" s="276"/>
      <c r="F474" s="276"/>
      <c r="G474" s="276"/>
      <c r="H474" s="275"/>
      <c r="I474" s="275"/>
      <c r="J474" s="275"/>
      <c r="K474" s="275"/>
      <c r="L474" s="275"/>
      <c r="M474" s="275"/>
      <c r="N474" s="275"/>
    </row>
    <row r="475" spans="1:14">
      <c r="A475" s="274"/>
      <c r="B475" s="275"/>
      <c r="C475" s="276"/>
      <c r="D475" s="276"/>
      <c r="E475" s="276"/>
      <c r="F475" s="276"/>
      <c r="G475" s="276"/>
      <c r="H475" s="275"/>
      <c r="I475" s="275"/>
      <c r="J475" s="275"/>
      <c r="K475" s="275"/>
      <c r="L475" s="275"/>
      <c r="M475" s="275"/>
      <c r="N475" s="275"/>
    </row>
    <row r="476" spans="1:14">
      <c r="A476" s="274"/>
      <c r="B476" s="275"/>
      <c r="C476" s="276"/>
      <c r="D476" s="276"/>
      <c r="E476" s="276"/>
      <c r="F476" s="276"/>
      <c r="G476" s="276"/>
      <c r="H476" s="275"/>
      <c r="I476" s="275"/>
      <c r="J476" s="275"/>
      <c r="K476" s="275"/>
      <c r="L476" s="275"/>
      <c r="M476" s="275"/>
      <c r="N476" s="275"/>
    </row>
    <row r="477" spans="1:14">
      <c r="A477" s="274"/>
      <c r="B477" s="275"/>
      <c r="C477" s="276"/>
      <c r="D477" s="276"/>
      <c r="E477" s="276"/>
      <c r="F477" s="276"/>
      <c r="G477" s="276"/>
      <c r="H477" s="275"/>
      <c r="I477" s="275"/>
      <c r="J477" s="275"/>
      <c r="K477" s="275"/>
      <c r="L477" s="275"/>
      <c r="M477" s="275"/>
      <c r="N477" s="275"/>
    </row>
    <row r="478" spans="1:14">
      <c r="A478" s="274"/>
      <c r="B478" s="275"/>
      <c r="C478" s="276"/>
      <c r="D478" s="276"/>
      <c r="E478" s="276"/>
      <c r="F478" s="276"/>
      <c r="G478" s="276"/>
      <c r="H478" s="275"/>
      <c r="I478" s="275"/>
      <c r="J478" s="275"/>
      <c r="K478" s="275"/>
      <c r="L478" s="275"/>
      <c r="M478" s="275"/>
      <c r="N478" s="275"/>
    </row>
    <row r="479" spans="1:14">
      <c r="A479" s="274"/>
      <c r="B479" s="275"/>
      <c r="C479" s="276"/>
      <c r="D479" s="276"/>
      <c r="E479" s="276"/>
      <c r="F479" s="276"/>
      <c r="G479" s="276"/>
      <c r="H479" s="275"/>
      <c r="I479" s="275"/>
      <c r="J479" s="275"/>
      <c r="K479" s="275"/>
      <c r="L479" s="275"/>
      <c r="M479" s="275"/>
      <c r="N479" s="275"/>
    </row>
    <row r="480" spans="1:14">
      <c r="A480" s="274"/>
      <c r="B480" s="275"/>
      <c r="C480" s="276"/>
      <c r="D480" s="276"/>
      <c r="E480" s="276"/>
      <c r="F480" s="276"/>
      <c r="G480" s="276"/>
      <c r="H480" s="275"/>
      <c r="I480" s="275"/>
      <c r="J480" s="275"/>
      <c r="K480" s="275"/>
      <c r="L480" s="275"/>
      <c r="M480" s="275"/>
      <c r="N480" s="275"/>
    </row>
    <row r="481" spans="1:14">
      <c r="A481" s="274"/>
      <c r="B481" s="275"/>
      <c r="C481" s="276"/>
      <c r="D481" s="276"/>
      <c r="E481" s="276"/>
      <c r="F481" s="276"/>
      <c r="G481" s="276"/>
      <c r="H481" s="275"/>
      <c r="I481" s="275"/>
      <c r="J481" s="275"/>
      <c r="K481" s="275"/>
      <c r="L481" s="275"/>
      <c r="M481" s="275"/>
      <c r="N481" s="275"/>
    </row>
    <row r="482" spans="1:14">
      <c r="A482" s="274"/>
      <c r="B482" s="275"/>
      <c r="C482" s="276"/>
      <c r="D482" s="276"/>
      <c r="E482" s="276"/>
      <c r="F482" s="276"/>
      <c r="G482" s="276"/>
      <c r="H482" s="275"/>
      <c r="I482" s="275"/>
      <c r="J482" s="275"/>
      <c r="K482" s="275"/>
      <c r="L482" s="275"/>
      <c r="M482" s="275"/>
      <c r="N482" s="275"/>
    </row>
    <row r="483" spans="1:14">
      <c r="A483" s="274"/>
      <c r="B483" s="275"/>
      <c r="C483" s="276"/>
      <c r="D483" s="276"/>
      <c r="E483" s="276"/>
      <c r="F483" s="276"/>
      <c r="G483" s="276"/>
      <c r="H483" s="275"/>
      <c r="I483" s="275"/>
      <c r="J483" s="275"/>
      <c r="K483" s="275"/>
      <c r="L483" s="275"/>
      <c r="M483" s="275"/>
      <c r="N483" s="275"/>
    </row>
    <row r="484" spans="1:14">
      <c r="A484" s="274"/>
      <c r="B484" s="275"/>
      <c r="C484" s="276"/>
      <c r="D484" s="276"/>
      <c r="E484" s="276"/>
      <c r="F484" s="276"/>
      <c r="G484" s="276"/>
      <c r="H484" s="275"/>
      <c r="I484" s="275"/>
      <c r="J484" s="275"/>
      <c r="K484" s="275"/>
      <c r="L484" s="275"/>
      <c r="M484" s="275"/>
      <c r="N484" s="275"/>
    </row>
    <row r="485" spans="1:14">
      <c r="A485" s="274"/>
      <c r="B485" s="275"/>
      <c r="C485" s="276"/>
      <c r="D485" s="276"/>
      <c r="E485" s="276"/>
      <c r="F485" s="276"/>
      <c r="G485" s="276"/>
      <c r="H485" s="275"/>
      <c r="I485" s="275"/>
      <c r="J485" s="275"/>
      <c r="K485" s="275"/>
      <c r="L485" s="275"/>
      <c r="M485" s="275"/>
      <c r="N485" s="275"/>
    </row>
    <row r="486" spans="1:14">
      <c r="A486" s="274"/>
      <c r="B486" s="275"/>
      <c r="C486" s="276"/>
      <c r="D486" s="276"/>
      <c r="E486" s="276"/>
      <c r="F486" s="276"/>
      <c r="G486" s="276"/>
      <c r="H486" s="275"/>
      <c r="I486" s="275"/>
      <c r="J486" s="275"/>
      <c r="K486" s="275"/>
      <c r="L486" s="275"/>
      <c r="M486" s="275"/>
      <c r="N486" s="275"/>
    </row>
    <row r="487" spans="1:14">
      <c r="A487" s="274"/>
      <c r="B487" s="275"/>
      <c r="C487" s="276"/>
      <c r="D487" s="276"/>
      <c r="E487" s="276"/>
      <c r="F487" s="276"/>
      <c r="G487" s="276"/>
      <c r="H487" s="275"/>
      <c r="I487" s="275"/>
      <c r="J487" s="275"/>
      <c r="K487" s="275"/>
      <c r="L487" s="275"/>
      <c r="M487" s="275"/>
      <c r="N487" s="275"/>
    </row>
    <row r="488" spans="1:14">
      <c r="A488" s="274"/>
      <c r="B488" s="275"/>
      <c r="C488" s="276"/>
      <c r="D488" s="276"/>
      <c r="E488" s="276"/>
      <c r="F488" s="276"/>
      <c r="G488" s="276"/>
      <c r="H488" s="275"/>
      <c r="I488" s="275"/>
      <c r="J488" s="275"/>
      <c r="K488" s="275"/>
      <c r="L488" s="275"/>
      <c r="M488" s="275"/>
      <c r="N488" s="275"/>
    </row>
    <row r="489" spans="1:14">
      <c r="A489" s="274"/>
      <c r="B489" s="275"/>
      <c r="C489" s="276"/>
      <c r="D489" s="276"/>
      <c r="E489" s="276"/>
      <c r="F489" s="276"/>
      <c r="G489" s="276"/>
      <c r="H489" s="275"/>
      <c r="I489" s="275"/>
      <c r="J489" s="275"/>
      <c r="K489" s="275"/>
      <c r="L489" s="275"/>
      <c r="M489" s="275"/>
      <c r="N489" s="275"/>
    </row>
    <row r="490" spans="1:14">
      <c r="A490" s="274"/>
      <c r="B490" s="275"/>
      <c r="C490" s="276"/>
      <c r="D490" s="276"/>
      <c r="E490" s="276"/>
      <c r="F490" s="276"/>
      <c r="G490" s="276"/>
      <c r="H490" s="275"/>
      <c r="I490" s="275"/>
      <c r="J490" s="275"/>
      <c r="K490" s="275"/>
      <c r="L490" s="275"/>
      <c r="M490" s="275"/>
      <c r="N490" s="275"/>
    </row>
    <row r="491" spans="1:14">
      <c r="A491" s="274"/>
      <c r="B491" s="275"/>
      <c r="C491" s="276"/>
      <c r="D491" s="276"/>
      <c r="E491" s="276"/>
      <c r="F491" s="276"/>
      <c r="G491" s="276"/>
      <c r="H491" s="275"/>
      <c r="I491" s="275"/>
      <c r="J491" s="275"/>
      <c r="K491" s="275"/>
      <c r="L491" s="275"/>
      <c r="M491" s="275"/>
      <c r="N491" s="275"/>
    </row>
    <row r="492" spans="1:14">
      <c r="A492" s="274"/>
      <c r="B492" s="275"/>
      <c r="C492" s="276"/>
      <c r="D492" s="276"/>
      <c r="E492" s="276"/>
      <c r="F492" s="276"/>
      <c r="G492" s="276"/>
      <c r="H492" s="275"/>
      <c r="I492" s="275"/>
      <c r="J492" s="275"/>
      <c r="K492" s="275"/>
      <c r="L492" s="275"/>
      <c r="M492" s="275"/>
      <c r="N492" s="275"/>
    </row>
    <row r="493" spans="1:14">
      <c r="A493" s="274"/>
      <c r="B493" s="275"/>
      <c r="C493" s="276"/>
      <c r="D493" s="276"/>
      <c r="E493" s="276"/>
      <c r="F493" s="276"/>
      <c r="G493" s="276"/>
      <c r="H493" s="275"/>
      <c r="I493" s="275"/>
      <c r="J493" s="275"/>
      <c r="K493" s="275"/>
      <c r="L493" s="275"/>
      <c r="M493" s="275"/>
      <c r="N493" s="275"/>
    </row>
    <row r="494" spans="1:14">
      <c r="A494" s="274"/>
      <c r="B494" s="275"/>
      <c r="C494" s="276"/>
      <c r="D494" s="276"/>
      <c r="E494" s="276"/>
      <c r="F494" s="276"/>
      <c r="G494" s="276"/>
      <c r="H494" s="275"/>
      <c r="I494" s="275"/>
      <c r="J494" s="275"/>
      <c r="K494" s="275"/>
      <c r="L494" s="275"/>
      <c r="M494" s="275"/>
      <c r="N494" s="275"/>
    </row>
    <row r="495" spans="1:14">
      <c r="A495" s="274"/>
      <c r="B495" s="275"/>
      <c r="C495" s="276"/>
      <c r="D495" s="276"/>
      <c r="E495" s="276"/>
      <c r="F495" s="276"/>
      <c r="G495" s="276"/>
      <c r="H495" s="275"/>
      <c r="I495" s="275"/>
      <c r="J495" s="275"/>
      <c r="K495" s="275"/>
      <c r="L495" s="275"/>
      <c r="M495" s="275"/>
      <c r="N495" s="275"/>
    </row>
    <row r="496" spans="1:14">
      <c r="A496" s="274"/>
      <c r="B496" s="275"/>
      <c r="C496" s="276"/>
      <c r="D496" s="276"/>
      <c r="E496" s="276"/>
      <c r="F496" s="276"/>
      <c r="G496" s="276"/>
      <c r="H496" s="275"/>
      <c r="I496" s="275"/>
      <c r="J496" s="275"/>
      <c r="K496" s="275"/>
      <c r="L496" s="275"/>
      <c r="M496" s="275"/>
      <c r="N496" s="275"/>
    </row>
    <row r="497" spans="1:14">
      <c r="A497" s="274"/>
      <c r="B497" s="275"/>
      <c r="C497" s="276"/>
      <c r="D497" s="276"/>
      <c r="E497" s="276"/>
      <c r="F497" s="276"/>
      <c r="G497" s="276"/>
      <c r="H497" s="275"/>
      <c r="I497" s="275"/>
      <c r="J497" s="275"/>
      <c r="K497" s="275"/>
      <c r="L497" s="275"/>
      <c r="M497" s="275"/>
      <c r="N497" s="275"/>
    </row>
    <row r="498" spans="1:14">
      <c r="A498" s="274"/>
      <c r="B498" s="275"/>
      <c r="C498" s="276"/>
      <c r="D498" s="276"/>
      <c r="E498" s="276"/>
      <c r="F498" s="276"/>
      <c r="G498" s="276"/>
      <c r="H498" s="275"/>
      <c r="I498" s="275"/>
      <c r="J498" s="275"/>
      <c r="K498" s="275"/>
      <c r="L498" s="275"/>
      <c r="M498" s="275"/>
      <c r="N498" s="275"/>
    </row>
    <row r="499" spans="1:14">
      <c r="A499" s="274"/>
      <c r="B499" s="275"/>
      <c r="C499" s="276"/>
      <c r="D499" s="276"/>
      <c r="E499" s="276"/>
      <c r="F499" s="276"/>
      <c r="G499" s="276"/>
      <c r="H499" s="275"/>
      <c r="I499" s="275"/>
      <c r="J499" s="275"/>
      <c r="K499" s="275"/>
      <c r="L499" s="275"/>
      <c r="M499" s="275"/>
      <c r="N499" s="275"/>
    </row>
    <row r="500" spans="1:14">
      <c r="A500" s="274"/>
      <c r="B500" s="275"/>
      <c r="C500" s="276"/>
      <c r="D500" s="276"/>
      <c r="E500" s="276"/>
      <c r="F500" s="276"/>
      <c r="G500" s="276"/>
      <c r="H500" s="275"/>
      <c r="I500" s="275"/>
      <c r="J500" s="275"/>
      <c r="K500" s="275"/>
      <c r="L500" s="275"/>
      <c r="M500" s="275"/>
      <c r="N500" s="275"/>
    </row>
    <row r="501" spans="1:14">
      <c r="A501" s="274"/>
      <c r="B501" s="275"/>
      <c r="C501" s="276"/>
      <c r="D501" s="276"/>
      <c r="E501" s="276"/>
      <c r="F501" s="276"/>
      <c r="G501" s="276"/>
      <c r="H501" s="275"/>
      <c r="I501" s="275"/>
      <c r="J501" s="275"/>
      <c r="K501" s="275"/>
      <c r="L501" s="275"/>
      <c r="M501" s="275"/>
      <c r="N501" s="275"/>
    </row>
    <row r="502" spans="1:14">
      <c r="A502" s="274"/>
      <c r="B502" s="275"/>
      <c r="C502" s="276"/>
      <c r="D502" s="276"/>
      <c r="E502" s="276"/>
      <c r="F502" s="276"/>
      <c r="G502" s="276"/>
      <c r="H502" s="275"/>
      <c r="I502" s="275"/>
      <c r="J502" s="275"/>
      <c r="K502" s="275"/>
      <c r="L502" s="275"/>
      <c r="M502" s="275"/>
      <c r="N502" s="275"/>
    </row>
    <row r="503" spans="1:14">
      <c r="A503" s="274"/>
      <c r="B503" s="275"/>
      <c r="C503" s="276"/>
      <c r="D503" s="276"/>
      <c r="E503" s="276"/>
      <c r="F503" s="276"/>
      <c r="G503" s="276"/>
      <c r="H503" s="275"/>
      <c r="I503" s="275"/>
      <c r="J503" s="275"/>
      <c r="K503" s="275"/>
      <c r="L503" s="275"/>
      <c r="M503" s="275"/>
      <c r="N503" s="275"/>
    </row>
    <row r="504" spans="1:14">
      <c r="A504" s="274"/>
      <c r="B504" s="275"/>
      <c r="C504" s="276"/>
      <c r="D504" s="276"/>
      <c r="E504" s="276"/>
      <c r="F504" s="276"/>
      <c r="G504" s="276"/>
      <c r="H504" s="275"/>
      <c r="I504" s="275"/>
      <c r="J504" s="275"/>
      <c r="K504" s="275"/>
      <c r="L504" s="275"/>
      <c r="M504" s="275"/>
      <c r="N504" s="275"/>
    </row>
    <row r="505" spans="1:14">
      <c r="A505" s="274"/>
      <c r="B505" s="275"/>
      <c r="C505" s="276"/>
      <c r="D505" s="276"/>
      <c r="E505" s="276"/>
      <c r="F505" s="276"/>
      <c r="G505" s="276"/>
      <c r="H505" s="275"/>
      <c r="I505" s="275"/>
      <c r="J505" s="275"/>
      <c r="K505" s="275"/>
      <c r="L505" s="275"/>
      <c r="M505" s="275"/>
      <c r="N505" s="275"/>
    </row>
    <row r="506" spans="1:14">
      <c r="A506" s="274"/>
      <c r="B506" s="275"/>
      <c r="C506" s="276"/>
      <c r="D506" s="276"/>
      <c r="E506" s="276"/>
      <c r="F506" s="276"/>
      <c r="G506" s="276"/>
      <c r="H506" s="275"/>
      <c r="I506" s="275"/>
      <c r="J506" s="275"/>
      <c r="K506" s="275"/>
      <c r="L506" s="275"/>
      <c r="M506" s="275"/>
      <c r="N506" s="275"/>
    </row>
    <row r="507" spans="1:14">
      <c r="A507" s="274"/>
      <c r="B507" s="275"/>
      <c r="C507" s="276"/>
      <c r="D507" s="276"/>
      <c r="E507" s="276"/>
      <c r="F507" s="276"/>
      <c r="G507" s="276"/>
      <c r="H507" s="275"/>
      <c r="I507" s="275"/>
      <c r="J507" s="275"/>
      <c r="K507" s="275"/>
      <c r="L507" s="275"/>
      <c r="M507" s="275"/>
      <c r="N507" s="275"/>
    </row>
    <row r="508" spans="1:14">
      <c r="A508" s="274"/>
      <c r="B508" s="275"/>
      <c r="C508" s="276"/>
      <c r="D508" s="276"/>
      <c r="E508" s="276"/>
      <c r="F508" s="276"/>
      <c r="G508" s="276"/>
      <c r="H508" s="275"/>
      <c r="I508" s="275"/>
      <c r="J508" s="275"/>
      <c r="K508" s="275"/>
      <c r="L508" s="275"/>
      <c r="M508" s="275"/>
      <c r="N508" s="275"/>
    </row>
    <row r="509" spans="1:14">
      <c r="A509" s="274"/>
      <c r="B509" s="275"/>
      <c r="C509" s="276"/>
      <c r="D509" s="276"/>
      <c r="E509" s="276"/>
      <c r="F509" s="276"/>
      <c r="G509" s="276"/>
      <c r="H509" s="275"/>
      <c r="I509" s="275"/>
      <c r="J509" s="275"/>
      <c r="K509" s="275"/>
      <c r="L509" s="275"/>
      <c r="M509" s="275"/>
      <c r="N509" s="275"/>
    </row>
    <row r="510" spans="1:14">
      <c r="A510" s="274"/>
      <c r="B510" s="275"/>
      <c r="C510" s="276"/>
      <c r="D510" s="276"/>
      <c r="E510" s="276"/>
      <c r="F510" s="276"/>
      <c r="G510" s="276"/>
      <c r="H510" s="275"/>
      <c r="I510" s="275"/>
      <c r="J510" s="275"/>
      <c r="K510" s="275"/>
      <c r="L510" s="275"/>
      <c r="M510" s="275"/>
      <c r="N510" s="275"/>
    </row>
    <row r="511" spans="1:14">
      <c r="A511" s="274"/>
      <c r="B511" s="275"/>
      <c r="C511" s="276"/>
      <c r="D511" s="276"/>
      <c r="E511" s="276"/>
      <c r="F511" s="276"/>
      <c r="G511" s="276"/>
      <c r="H511" s="275"/>
      <c r="I511" s="275"/>
      <c r="J511" s="275"/>
      <c r="K511" s="275"/>
      <c r="L511" s="275"/>
      <c r="M511" s="275"/>
      <c r="N511" s="275"/>
    </row>
    <row r="512" spans="1:14">
      <c r="A512" s="274"/>
      <c r="B512" s="275"/>
      <c r="C512" s="276"/>
      <c r="D512" s="276"/>
      <c r="E512" s="276"/>
      <c r="F512" s="276"/>
      <c r="G512" s="276"/>
      <c r="H512" s="275"/>
      <c r="I512" s="275"/>
      <c r="J512" s="275"/>
      <c r="K512" s="275"/>
      <c r="L512" s="275"/>
      <c r="M512" s="275"/>
      <c r="N512" s="275"/>
    </row>
    <row r="513" spans="1:14">
      <c r="A513" s="274"/>
      <c r="B513" s="275"/>
      <c r="C513" s="276"/>
      <c r="D513" s="276"/>
      <c r="E513" s="276"/>
      <c r="F513" s="276"/>
      <c r="G513" s="276"/>
      <c r="H513" s="275"/>
      <c r="I513" s="275"/>
      <c r="J513" s="275"/>
      <c r="K513" s="275"/>
      <c r="L513" s="275"/>
      <c r="M513" s="275"/>
      <c r="N513" s="275"/>
    </row>
    <row r="514" spans="1:14">
      <c r="A514" s="274"/>
      <c r="B514" s="275"/>
      <c r="C514" s="276"/>
      <c r="D514" s="276"/>
      <c r="E514" s="276"/>
      <c r="F514" s="276"/>
      <c r="G514" s="276"/>
      <c r="H514" s="275"/>
      <c r="I514" s="275"/>
      <c r="J514" s="275"/>
      <c r="K514" s="275"/>
      <c r="L514" s="275"/>
      <c r="M514" s="275"/>
      <c r="N514" s="275"/>
    </row>
    <row r="515" spans="1:14">
      <c r="A515" s="274"/>
      <c r="B515" s="275"/>
      <c r="C515" s="276"/>
      <c r="D515" s="276"/>
      <c r="E515" s="276"/>
      <c r="F515" s="276"/>
      <c r="G515" s="276"/>
      <c r="H515" s="275"/>
      <c r="I515" s="275"/>
      <c r="J515" s="275"/>
      <c r="K515" s="275"/>
      <c r="L515" s="275"/>
      <c r="M515" s="275"/>
      <c r="N515" s="275"/>
    </row>
    <row r="516" spans="1:14">
      <c r="A516" s="274"/>
      <c r="B516" s="275"/>
      <c r="C516" s="276"/>
      <c r="D516" s="276"/>
      <c r="E516" s="276"/>
      <c r="F516" s="276"/>
      <c r="G516" s="276"/>
      <c r="H516" s="275"/>
      <c r="I516" s="275"/>
      <c r="J516" s="275"/>
      <c r="K516" s="275"/>
      <c r="L516" s="275"/>
      <c r="M516" s="275"/>
      <c r="N516" s="275"/>
    </row>
    <row r="517" spans="1:14">
      <c r="A517" s="274"/>
      <c r="B517" s="275"/>
      <c r="C517" s="276"/>
      <c r="D517" s="276"/>
      <c r="E517" s="276"/>
      <c r="F517" s="276"/>
      <c r="G517" s="276"/>
      <c r="H517" s="275"/>
      <c r="I517" s="275"/>
      <c r="J517" s="275"/>
      <c r="K517" s="275"/>
      <c r="L517" s="275"/>
      <c r="M517" s="275"/>
      <c r="N517" s="275"/>
    </row>
    <row r="518" spans="1:14">
      <c r="A518" s="274"/>
      <c r="B518" s="275"/>
      <c r="C518" s="276"/>
      <c r="D518" s="276"/>
      <c r="E518" s="276"/>
      <c r="F518" s="276"/>
      <c r="G518" s="276"/>
      <c r="H518" s="275"/>
      <c r="I518" s="275"/>
      <c r="J518" s="275"/>
      <c r="K518" s="275"/>
      <c r="L518" s="275"/>
      <c r="M518" s="275"/>
      <c r="N518" s="275"/>
    </row>
    <row r="519" spans="1:14">
      <c r="A519" s="274"/>
      <c r="B519" s="275"/>
      <c r="C519" s="276"/>
      <c r="D519" s="276"/>
      <c r="E519" s="276"/>
      <c r="F519" s="276"/>
      <c r="G519" s="276"/>
      <c r="H519" s="275"/>
      <c r="I519" s="275"/>
      <c r="J519" s="275"/>
      <c r="K519" s="275"/>
      <c r="L519" s="275"/>
      <c r="M519" s="275"/>
      <c r="N519" s="275"/>
    </row>
    <row r="520" spans="1:14">
      <c r="A520" s="274"/>
      <c r="B520" s="275"/>
      <c r="C520" s="276"/>
      <c r="D520" s="276"/>
      <c r="E520" s="276"/>
      <c r="F520" s="276"/>
      <c r="G520" s="276"/>
      <c r="H520" s="275"/>
      <c r="I520" s="275"/>
      <c r="J520" s="275"/>
      <c r="K520" s="275"/>
      <c r="L520" s="275"/>
      <c r="M520" s="275"/>
      <c r="N520" s="275"/>
    </row>
    <row r="521" spans="1:14">
      <c r="A521" s="274"/>
      <c r="B521" s="275"/>
      <c r="C521" s="276"/>
      <c r="D521" s="276"/>
      <c r="E521" s="276"/>
      <c r="F521" s="276"/>
      <c r="G521" s="276"/>
      <c r="H521" s="275"/>
      <c r="I521" s="275"/>
      <c r="J521" s="275"/>
      <c r="K521" s="275"/>
      <c r="L521" s="275"/>
      <c r="M521" s="275"/>
      <c r="N521" s="275"/>
    </row>
    <row r="522" spans="1:14">
      <c r="A522" s="274"/>
      <c r="B522" s="275"/>
      <c r="C522" s="276"/>
      <c r="D522" s="276"/>
      <c r="E522" s="276"/>
      <c r="F522" s="276"/>
      <c r="G522" s="276"/>
      <c r="H522" s="275"/>
      <c r="I522" s="275"/>
      <c r="J522" s="275"/>
      <c r="K522" s="275"/>
      <c r="L522" s="275"/>
      <c r="M522" s="275"/>
      <c r="N522" s="275"/>
    </row>
    <row r="523" spans="1:14">
      <c r="A523" s="274"/>
      <c r="B523" s="275"/>
      <c r="C523" s="276"/>
      <c r="D523" s="276"/>
      <c r="E523" s="276"/>
      <c r="F523" s="276"/>
      <c r="G523" s="276"/>
      <c r="H523" s="275"/>
      <c r="I523" s="275"/>
      <c r="J523" s="275"/>
      <c r="K523" s="275"/>
      <c r="L523" s="275"/>
      <c r="M523" s="275"/>
      <c r="N523" s="275"/>
    </row>
    <row r="524" spans="1:14">
      <c r="A524" s="274"/>
      <c r="B524" s="275"/>
      <c r="C524" s="276"/>
      <c r="D524" s="276"/>
      <c r="E524" s="276"/>
      <c r="F524" s="276"/>
      <c r="G524" s="276"/>
      <c r="H524" s="275"/>
      <c r="I524" s="275"/>
      <c r="J524" s="275"/>
      <c r="K524" s="275"/>
      <c r="L524" s="275"/>
      <c r="M524" s="275"/>
      <c r="N524" s="275"/>
    </row>
    <row r="525" spans="1:14">
      <c r="A525" s="274"/>
      <c r="B525" s="275"/>
      <c r="C525" s="276"/>
      <c r="D525" s="276"/>
      <c r="E525" s="276"/>
      <c r="F525" s="276"/>
      <c r="G525" s="276"/>
      <c r="H525" s="275"/>
      <c r="I525" s="275"/>
      <c r="J525" s="275"/>
      <c r="K525" s="275"/>
      <c r="L525" s="275"/>
      <c r="M525" s="275"/>
      <c r="N525" s="275"/>
    </row>
    <row r="526" spans="1:14">
      <c r="A526" s="274"/>
      <c r="B526" s="275"/>
      <c r="C526" s="276"/>
      <c r="D526" s="276"/>
      <c r="E526" s="276"/>
      <c r="F526" s="276"/>
      <c r="G526" s="276"/>
      <c r="H526" s="275"/>
      <c r="I526" s="275"/>
      <c r="J526" s="275"/>
      <c r="K526" s="275"/>
      <c r="L526" s="275"/>
      <c r="M526" s="275"/>
      <c r="N526" s="275"/>
    </row>
    <row r="527" spans="1:14">
      <c r="A527" s="274"/>
      <c r="B527" s="275"/>
      <c r="C527" s="276"/>
      <c r="D527" s="276"/>
      <c r="E527" s="276"/>
      <c r="F527" s="276"/>
      <c r="G527" s="276"/>
      <c r="H527" s="275"/>
      <c r="I527" s="275"/>
      <c r="J527" s="275"/>
      <c r="K527" s="275"/>
      <c r="L527" s="275"/>
      <c r="M527" s="275"/>
      <c r="N527" s="275"/>
    </row>
    <row r="528" spans="1:14">
      <c r="A528" s="274"/>
      <c r="B528" s="275"/>
      <c r="C528" s="276"/>
      <c r="D528" s="276"/>
      <c r="E528" s="276"/>
      <c r="F528" s="276"/>
      <c r="G528" s="276"/>
      <c r="H528" s="275"/>
      <c r="I528" s="275"/>
      <c r="J528" s="275"/>
      <c r="K528" s="275"/>
      <c r="L528" s="275"/>
      <c r="M528" s="275"/>
      <c r="N528" s="275"/>
    </row>
    <row r="529" spans="1:14">
      <c r="A529" s="274"/>
      <c r="B529" s="275"/>
      <c r="C529" s="276"/>
      <c r="D529" s="276"/>
      <c r="E529" s="276"/>
      <c r="F529" s="276"/>
      <c r="G529" s="276"/>
      <c r="H529" s="275"/>
      <c r="I529" s="275"/>
      <c r="J529" s="275"/>
      <c r="K529" s="275"/>
      <c r="L529" s="275"/>
      <c r="M529" s="275"/>
      <c r="N529" s="275"/>
    </row>
    <row r="530" spans="1:14">
      <c r="A530" s="274"/>
      <c r="B530" s="275"/>
      <c r="C530" s="276"/>
      <c r="D530" s="276"/>
      <c r="E530" s="276"/>
      <c r="F530" s="276"/>
      <c r="G530" s="276"/>
      <c r="H530" s="275"/>
      <c r="I530" s="275"/>
      <c r="J530" s="275"/>
      <c r="K530" s="275"/>
      <c r="L530" s="275"/>
      <c r="M530" s="275"/>
      <c r="N530" s="275"/>
    </row>
    <row r="531" spans="1:14">
      <c r="A531" s="274"/>
      <c r="B531" s="275"/>
      <c r="C531" s="276"/>
      <c r="D531" s="276"/>
      <c r="E531" s="276"/>
      <c r="F531" s="276"/>
      <c r="G531" s="276"/>
      <c r="H531" s="275"/>
      <c r="I531" s="275"/>
      <c r="J531" s="275"/>
      <c r="K531" s="275"/>
      <c r="L531" s="275"/>
      <c r="M531" s="275"/>
      <c r="N531" s="275"/>
    </row>
    <row r="532" spans="1:14">
      <c r="A532" s="274"/>
      <c r="B532" s="275"/>
      <c r="C532" s="276"/>
      <c r="D532" s="276"/>
      <c r="E532" s="276"/>
      <c r="F532" s="276"/>
      <c r="G532" s="276"/>
      <c r="H532" s="275"/>
      <c r="I532" s="275"/>
      <c r="J532" s="275"/>
      <c r="K532" s="275"/>
      <c r="L532" s="275"/>
      <c r="M532" s="275"/>
      <c r="N532" s="275"/>
    </row>
    <row r="533" spans="1:14">
      <c r="A533" s="274"/>
      <c r="B533" s="275"/>
      <c r="C533" s="276"/>
      <c r="D533" s="276"/>
      <c r="E533" s="276"/>
      <c r="F533" s="276"/>
      <c r="G533" s="276"/>
      <c r="H533" s="275"/>
      <c r="I533" s="275"/>
      <c r="J533" s="275"/>
      <c r="K533" s="275"/>
      <c r="L533" s="275"/>
      <c r="M533" s="275"/>
      <c r="N533" s="275"/>
    </row>
    <row r="534" spans="1:14">
      <c r="A534" s="274"/>
      <c r="B534" s="275"/>
      <c r="C534" s="276"/>
      <c r="D534" s="276"/>
      <c r="E534" s="276"/>
      <c r="F534" s="276"/>
      <c r="G534" s="276"/>
      <c r="H534" s="275"/>
      <c r="I534" s="275"/>
      <c r="J534" s="275"/>
      <c r="K534" s="275"/>
      <c r="L534" s="275"/>
      <c r="M534" s="275"/>
      <c r="N534" s="275"/>
    </row>
    <row r="535" spans="1:14">
      <c r="A535" s="274"/>
      <c r="B535" s="275"/>
      <c r="C535" s="276"/>
      <c r="D535" s="276"/>
      <c r="E535" s="276"/>
      <c r="F535" s="276"/>
      <c r="G535" s="276"/>
      <c r="H535" s="275"/>
      <c r="I535" s="275"/>
      <c r="J535" s="275"/>
      <c r="K535" s="275"/>
      <c r="L535" s="275"/>
      <c r="M535" s="275"/>
      <c r="N535" s="275"/>
    </row>
    <row r="536" spans="1:14">
      <c r="A536" s="274"/>
      <c r="B536" s="275"/>
      <c r="C536" s="276"/>
      <c r="D536" s="276"/>
      <c r="E536" s="276"/>
      <c r="F536" s="276"/>
      <c r="G536" s="276"/>
      <c r="H536" s="275"/>
      <c r="I536" s="275"/>
      <c r="J536" s="275"/>
      <c r="K536" s="275"/>
      <c r="L536" s="275"/>
      <c r="M536" s="275"/>
      <c r="N536" s="275"/>
    </row>
    <row r="537" spans="1:14">
      <c r="A537" s="274"/>
      <c r="B537" s="275"/>
      <c r="C537" s="276"/>
      <c r="D537" s="276"/>
      <c r="E537" s="276"/>
      <c r="F537" s="276"/>
      <c r="G537" s="276"/>
      <c r="H537" s="275"/>
      <c r="I537" s="275"/>
      <c r="J537" s="275"/>
      <c r="K537" s="275"/>
      <c r="L537" s="275"/>
      <c r="M537" s="275"/>
      <c r="N537" s="275"/>
    </row>
    <row r="538" spans="1:14">
      <c r="A538" s="274"/>
      <c r="B538" s="275"/>
      <c r="C538" s="276"/>
      <c r="D538" s="276"/>
      <c r="E538" s="276"/>
      <c r="F538" s="276"/>
      <c r="G538" s="276"/>
      <c r="H538" s="275"/>
      <c r="I538" s="275"/>
      <c r="J538" s="275"/>
      <c r="K538" s="275"/>
      <c r="L538" s="275"/>
      <c r="M538" s="275"/>
      <c r="N538" s="275"/>
    </row>
    <row r="539" spans="1:14">
      <c r="A539" s="274"/>
      <c r="B539" s="275"/>
      <c r="C539" s="276"/>
      <c r="D539" s="276"/>
      <c r="E539" s="276"/>
      <c r="F539" s="276"/>
      <c r="G539" s="276"/>
      <c r="H539" s="275"/>
      <c r="I539" s="275"/>
      <c r="J539" s="275"/>
      <c r="K539" s="275"/>
      <c r="L539" s="275"/>
      <c r="M539" s="275"/>
      <c r="N539" s="275"/>
    </row>
    <row r="540" spans="1:14">
      <c r="A540" s="274"/>
      <c r="B540" s="275"/>
      <c r="C540" s="276"/>
      <c r="D540" s="276"/>
      <c r="E540" s="276"/>
      <c r="F540" s="276"/>
      <c r="G540" s="276"/>
      <c r="H540" s="275"/>
      <c r="I540" s="275"/>
      <c r="J540" s="275"/>
      <c r="K540" s="275"/>
      <c r="L540" s="275"/>
      <c r="M540" s="275"/>
      <c r="N540" s="275"/>
    </row>
    <row r="541" spans="1:14">
      <c r="A541" s="274"/>
      <c r="B541" s="275"/>
      <c r="C541" s="276"/>
      <c r="D541" s="276"/>
      <c r="E541" s="276"/>
      <c r="F541" s="276"/>
      <c r="G541" s="276"/>
      <c r="H541" s="275"/>
      <c r="I541" s="275"/>
      <c r="J541" s="275"/>
      <c r="K541" s="275"/>
      <c r="L541" s="275"/>
      <c r="M541" s="275"/>
      <c r="N541" s="275"/>
    </row>
    <row r="542" spans="1:14">
      <c r="A542" s="274"/>
      <c r="B542" s="275"/>
      <c r="C542" s="276"/>
      <c r="D542" s="276"/>
      <c r="E542" s="276"/>
      <c r="F542" s="276"/>
      <c r="G542" s="276"/>
      <c r="H542" s="275"/>
      <c r="I542" s="275"/>
      <c r="J542" s="275"/>
      <c r="K542" s="275"/>
      <c r="L542" s="275"/>
      <c r="M542" s="275"/>
      <c r="N542" s="275"/>
    </row>
    <row r="543" spans="1:14">
      <c r="A543" s="274"/>
      <c r="B543" s="275"/>
      <c r="C543" s="276"/>
      <c r="D543" s="276"/>
      <c r="E543" s="276"/>
      <c r="F543" s="276"/>
      <c r="G543" s="276"/>
      <c r="H543" s="275"/>
      <c r="I543" s="275"/>
      <c r="J543" s="275"/>
      <c r="K543" s="275"/>
      <c r="L543" s="275"/>
      <c r="M543" s="275"/>
      <c r="N543" s="275"/>
    </row>
    <row r="544" spans="1:14">
      <c r="A544" s="274"/>
      <c r="B544" s="275"/>
      <c r="C544" s="276"/>
      <c r="D544" s="276"/>
      <c r="E544" s="276"/>
      <c r="F544" s="276"/>
      <c r="G544" s="276"/>
      <c r="H544" s="275"/>
      <c r="I544" s="275"/>
      <c r="J544" s="275"/>
      <c r="K544" s="275"/>
      <c r="L544" s="275"/>
      <c r="M544" s="275"/>
      <c r="N544" s="275"/>
    </row>
    <row r="545" spans="1:14">
      <c r="A545" s="274"/>
      <c r="B545" s="275"/>
      <c r="C545" s="276"/>
      <c r="D545" s="276"/>
      <c r="E545" s="276"/>
      <c r="F545" s="277"/>
      <c r="G545" s="276"/>
      <c r="H545" s="275"/>
      <c r="I545" s="275"/>
      <c r="J545" s="275"/>
      <c r="K545" s="275"/>
      <c r="L545" s="275"/>
      <c r="M545" s="275"/>
      <c r="N545" s="275"/>
    </row>
    <row r="546" spans="1:14">
      <c r="A546" s="274"/>
      <c r="B546" s="275"/>
      <c r="C546" s="276"/>
      <c r="D546" s="276"/>
      <c r="E546" s="276"/>
      <c r="F546" s="276"/>
      <c r="G546" s="276"/>
      <c r="H546" s="275"/>
      <c r="I546" s="275"/>
      <c r="J546" s="275"/>
      <c r="K546" s="275"/>
      <c r="L546" s="275"/>
      <c r="M546" s="275"/>
      <c r="N546" s="275"/>
    </row>
    <row r="547" spans="1:14">
      <c r="A547" s="274"/>
      <c r="B547" s="275"/>
      <c r="C547" s="276"/>
      <c r="D547" s="276"/>
      <c r="E547" s="276"/>
      <c r="F547" s="276"/>
      <c r="G547" s="276"/>
      <c r="H547" s="275"/>
      <c r="I547" s="275"/>
      <c r="J547" s="275"/>
      <c r="K547" s="275"/>
      <c r="L547" s="275"/>
      <c r="M547" s="275"/>
      <c r="N547" s="275"/>
    </row>
    <row r="548" spans="1:14">
      <c r="A548" s="274"/>
      <c r="B548" s="275"/>
      <c r="C548" s="276"/>
      <c r="D548" s="276"/>
      <c r="E548" s="276"/>
      <c r="F548" s="276"/>
      <c r="G548" s="276"/>
      <c r="H548" s="275"/>
      <c r="I548" s="275"/>
      <c r="J548" s="275"/>
      <c r="K548" s="275"/>
      <c r="L548" s="275"/>
      <c r="M548" s="275"/>
      <c r="N548" s="275"/>
    </row>
    <row r="549" spans="1:14">
      <c r="A549" s="274"/>
      <c r="B549" s="275"/>
      <c r="C549" s="276"/>
      <c r="D549" s="276"/>
      <c r="E549" s="276"/>
      <c r="F549" s="276"/>
      <c r="G549" s="276"/>
      <c r="H549" s="275"/>
      <c r="I549" s="275"/>
      <c r="J549" s="275"/>
      <c r="K549" s="275"/>
      <c r="L549" s="275"/>
      <c r="M549" s="275"/>
      <c r="N549" s="275"/>
    </row>
    <row r="550" spans="1:14">
      <c r="A550" s="274"/>
      <c r="B550" s="275"/>
      <c r="C550" s="276"/>
      <c r="D550" s="276"/>
      <c r="E550" s="276"/>
      <c r="F550" s="276"/>
      <c r="G550" s="276"/>
      <c r="H550" s="275"/>
      <c r="I550" s="275"/>
      <c r="J550" s="275"/>
      <c r="K550" s="275"/>
      <c r="L550" s="275"/>
      <c r="M550" s="275"/>
      <c r="N550" s="275"/>
    </row>
    <row r="551" spans="1:14">
      <c r="A551" s="274"/>
      <c r="B551" s="275"/>
      <c r="C551" s="276"/>
      <c r="D551" s="276"/>
      <c r="E551" s="276"/>
      <c r="F551" s="276"/>
      <c r="G551" s="276"/>
      <c r="H551" s="275"/>
      <c r="I551" s="275"/>
      <c r="J551" s="275"/>
      <c r="K551" s="275"/>
      <c r="L551" s="275"/>
      <c r="M551" s="275"/>
      <c r="N551" s="275"/>
    </row>
    <row r="552" spans="1:14">
      <c r="A552" s="274"/>
      <c r="B552" s="275"/>
      <c r="C552" s="276"/>
      <c r="D552" s="276"/>
      <c r="E552" s="276"/>
      <c r="F552" s="276"/>
      <c r="G552" s="276"/>
      <c r="H552" s="275"/>
      <c r="I552" s="275"/>
      <c r="J552" s="275"/>
      <c r="K552" s="275"/>
      <c r="L552" s="275"/>
      <c r="M552" s="275"/>
      <c r="N552" s="275"/>
    </row>
    <row r="553" spans="1:14">
      <c r="A553" s="274"/>
      <c r="B553" s="275"/>
      <c r="C553" s="276"/>
      <c r="D553" s="276"/>
      <c r="E553" s="276"/>
      <c r="F553" s="277"/>
      <c r="G553" s="276"/>
      <c r="H553" s="275"/>
      <c r="I553" s="275"/>
      <c r="J553" s="275"/>
      <c r="K553" s="275"/>
      <c r="L553" s="275"/>
      <c r="M553" s="275"/>
      <c r="N553" s="275"/>
    </row>
    <row r="554" spans="1:14">
      <c r="A554" s="274"/>
      <c r="B554" s="275"/>
      <c r="C554" s="276"/>
      <c r="D554" s="276"/>
      <c r="E554" s="276"/>
      <c r="F554" s="263"/>
      <c r="G554" s="276"/>
      <c r="H554" s="275"/>
      <c r="I554" s="275"/>
      <c r="J554" s="275"/>
      <c r="K554" s="275"/>
      <c r="L554" s="275"/>
      <c r="M554" s="275"/>
      <c r="N554" s="275"/>
    </row>
    <row r="555" spans="1:14">
      <c r="A555" s="274"/>
      <c r="B555" s="275"/>
      <c r="C555" s="276"/>
      <c r="D555" s="276"/>
      <c r="E555" s="276"/>
      <c r="F555" s="277"/>
      <c r="G555" s="276"/>
      <c r="H555" s="275"/>
      <c r="I555" s="275"/>
      <c r="J555" s="275"/>
      <c r="K555" s="275"/>
      <c r="L555" s="275"/>
      <c r="M555" s="275"/>
      <c r="N555" s="275"/>
    </row>
    <row r="556" spans="1:14">
      <c r="A556" s="274"/>
      <c r="B556" s="275"/>
      <c r="C556" s="276"/>
      <c r="D556" s="276"/>
      <c r="E556" s="276"/>
      <c r="F556" s="277"/>
      <c r="G556" s="276"/>
      <c r="H556" s="275"/>
      <c r="I556" s="275"/>
      <c r="J556" s="275"/>
      <c r="K556" s="275"/>
      <c r="L556" s="275"/>
      <c r="M556" s="275"/>
      <c r="N556" s="275"/>
    </row>
    <row r="557" spans="1:14">
      <c r="A557" s="274"/>
      <c r="B557" s="275"/>
      <c r="C557" s="276"/>
      <c r="D557" s="276"/>
      <c r="E557" s="276"/>
      <c r="F557" s="277"/>
      <c r="G557" s="276"/>
      <c r="H557" s="275"/>
      <c r="I557" s="275"/>
      <c r="J557" s="275"/>
      <c r="K557" s="275"/>
      <c r="L557" s="275"/>
      <c r="M557" s="275"/>
      <c r="N557" s="275"/>
    </row>
    <row r="558" spans="1:14">
      <c r="A558" s="274"/>
      <c r="B558" s="275"/>
      <c r="C558" s="276"/>
      <c r="D558" s="276"/>
      <c r="E558" s="276"/>
      <c r="F558" s="277"/>
      <c r="G558" s="276"/>
      <c r="H558" s="275"/>
      <c r="I558" s="275"/>
      <c r="J558" s="275"/>
      <c r="K558" s="275"/>
      <c r="L558" s="275"/>
      <c r="M558" s="275"/>
      <c r="N558" s="275"/>
    </row>
    <row r="559" spans="1:14">
      <c r="A559" s="274"/>
      <c r="B559" s="275"/>
      <c r="C559" s="276"/>
      <c r="D559" s="276"/>
      <c r="E559" s="276"/>
      <c r="F559" s="277"/>
      <c r="G559" s="276"/>
      <c r="H559" s="275"/>
      <c r="I559" s="275"/>
      <c r="J559" s="275"/>
      <c r="K559" s="275"/>
      <c r="L559" s="275"/>
      <c r="M559" s="275"/>
      <c r="N559" s="275"/>
    </row>
    <row r="560" spans="1:14">
      <c r="A560" s="274"/>
      <c r="B560" s="275"/>
      <c r="C560" s="276"/>
      <c r="D560" s="276"/>
      <c r="E560" s="276"/>
      <c r="F560" s="263"/>
      <c r="G560" s="276"/>
      <c r="H560" s="275"/>
      <c r="I560" s="275"/>
      <c r="J560" s="275"/>
      <c r="K560" s="275"/>
      <c r="L560" s="275"/>
      <c r="M560" s="275"/>
      <c r="N560" s="275"/>
    </row>
    <row r="561" spans="1:14">
      <c r="A561" s="274"/>
      <c r="B561" s="275"/>
      <c r="C561" s="276"/>
      <c r="D561" s="276"/>
      <c r="E561" s="276"/>
      <c r="F561" s="263"/>
      <c r="G561" s="276"/>
      <c r="H561" s="275"/>
      <c r="I561" s="275"/>
      <c r="J561" s="275"/>
      <c r="K561" s="275"/>
      <c r="L561" s="275"/>
      <c r="M561" s="275"/>
      <c r="N561" s="275"/>
    </row>
    <row r="562" spans="1:14">
      <c r="A562" s="274"/>
      <c r="B562" s="275"/>
      <c r="C562" s="276"/>
      <c r="D562" s="276"/>
      <c r="E562" s="276"/>
      <c r="F562" s="263"/>
      <c r="G562" s="276"/>
      <c r="H562" s="275"/>
      <c r="I562" s="275"/>
      <c r="J562" s="275"/>
      <c r="K562" s="275"/>
      <c r="L562" s="275"/>
      <c r="M562" s="275"/>
      <c r="N562" s="275"/>
    </row>
    <row r="563" spans="1:14">
      <c r="A563" s="274"/>
      <c r="B563" s="275"/>
      <c r="C563" s="276"/>
      <c r="D563" s="276"/>
      <c r="E563" s="276"/>
      <c r="F563" s="277"/>
      <c r="G563" s="276"/>
      <c r="H563" s="275"/>
      <c r="I563" s="275"/>
      <c r="J563" s="275"/>
      <c r="K563" s="275"/>
      <c r="L563" s="275"/>
      <c r="M563" s="275"/>
      <c r="N563" s="275"/>
    </row>
    <row r="564" spans="1:14">
      <c r="A564" s="274"/>
      <c r="B564" s="275"/>
      <c r="C564" s="276"/>
      <c r="D564" s="276"/>
      <c r="E564" s="276"/>
      <c r="F564" s="276"/>
      <c r="G564" s="276"/>
      <c r="H564" s="275"/>
      <c r="I564" s="275"/>
      <c r="J564" s="275"/>
      <c r="K564" s="275"/>
      <c r="L564" s="275"/>
      <c r="M564" s="275"/>
      <c r="N564" s="275"/>
    </row>
    <row r="565" spans="1:14">
      <c r="A565" s="274"/>
      <c r="B565" s="275"/>
      <c r="C565" s="276"/>
      <c r="D565" s="276"/>
      <c r="E565" s="276"/>
      <c r="F565" s="276"/>
      <c r="G565" s="276"/>
      <c r="H565" s="275"/>
      <c r="I565" s="275"/>
      <c r="J565" s="275"/>
      <c r="K565" s="275"/>
      <c r="L565" s="275"/>
      <c r="M565" s="275"/>
      <c r="N565" s="275"/>
    </row>
    <row r="566" spans="1:14">
      <c r="A566" s="274"/>
      <c r="B566" s="275"/>
      <c r="C566" s="276"/>
      <c r="D566" s="276"/>
      <c r="E566" s="276"/>
      <c r="F566" s="276"/>
      <c r="G566" s="276"/>
      <c r="H566" s="275"/>
      <c r="I566" s="275"/>
      <c r="J566" s="275"/>
      <c r="K566" s="275"/>
      <c r="L566" s="275"/>
      <c r="M566" s="275"/>
      <c r="N566" s="275"/>
    </row>
    <row r="567" spans="1:14">
      <c r="A567" s="274"/>
      <c r="B567" s="275"/>
      <c r="C567" s="276"/>
      <c r="D567" s="276"/>
      <c r="E567" s="276"/>
      <c r="F567" s="276"/>
      <c r="G567" s="276"/>
      <c r="H567" s="275"/>
      <c r="I567" s="275"/>
      <c r="J567" s="275"/>
      <c r="K567" s="275"/>
      <c r="L567" s="275"/>
      <c r="M567" s="275"/>
      <c r="N567" s="275"/>
    </row>
    <row r="568" spans="1:14">
      <c r="A568" s="274"/>
      <c r="B568" s="275"/>
      <c r="C568" s="276"/>
      <c r="D568" s="276"/>
      <c r="E568" s="276"/>
      <c r="F568" s="276"/>
      <c r="G568" s="276"/>
      <c r="H568" s="275"/>
      <c r="I568" s="275"/>
      <c r="J568" s="275"/>
      <c r="K568" s="275"/>
      <c r="L568" s="275"/>
      <c r="M568" s="275"/>
      <c r="N568" s="275"/>
    </row>
    <row r="569" spans="1:14">
      <c r="A569" s="274"/>
      <c r="B569" s="275"/>
      <c r="C569" s="276"/>
      <c r="D569" s="276"/>
      <c r="E569" s="276"/>
      <c r="F569" s="276"/>
      <c r="G569" s="276"/>
      <c r="H569" s="275"/>
      <c r="I569" s="275"/>
      <c r="J569" s="275"/>
      <c r="K569" s="275"/>
      <c r="L569" s="275"/>
      <c r="M569" s="275"/>
      <c r="N569" s="275"/>
    </row>
    <row r="570" spans="1:14">
      <c r="A570" s="274"/>
      <c r="B570" s="275"/>
      <c r="C570" s="276"/>
      <c r="D570" s="276"/>
      <c r="E570" s="276"/>
      <c r="F570" s="276"/>
      <c r="G570" s="276"/>
      <c r="H570" s="275"/>
      <c r="I570" s="275"/>
      <c r="J570" s="275"/>
      <c r="K570" s="275"/>
      <c r="L570" s="275"/>
      <c r="M570" s="275"/>
      <c r="N570" s="275"/>
    </row>
    <row r="571" spans="1:14">
      <c r="A571" s="274"/>
      <c r="B571" s="275"/>
      <c r="C571" s="276"/>
      <c r="D571" s="276"/>
      <c r="E571" s="276"/>
      <c r="F571" s="276"/>
      <c r="G571" s="276"/>
      <c r="H571" s="275"/>
      <c r="I571" s="275"/>
      <c r="J571" s="275"/>
      <c r="K571" s="275"/>
      <c r="L571" s="275"/>
      <c r="M571" s="275"/>
      <c r="N571" s="275"/>
    </row>
    <row r="572" spans="1:14">
      <c r="A572" s="274"/>
      <c r="B572" s="275"/>
      <c r="C572" s="276"/>
      <c r="D572" s="276"/>
      <c r="E572" s="276"/>
      <c r="F572" s="276"/>
      <c r="G572" s="276"/>
      <c r="H572" s="275"/>
      <c r="I572" s="275"/>
      <c r="J572" s="275"/>
      <c r="K572" s="275"/>
      <c r="L572" s="275"/>
      <c r="M572" s="275"/>
      <c r="N572" s="275"/>
    </row>
    <row r="573" spans="1:14">
      <c r="A573" s="274"/>
      <c r="B573" s="275"/>
      <c r="C573" s="276"/>
      <c r="D573" s="276"/>
      <c r="E573" s="276"/>
      <c r="F573" s="276"/>
      <c r="G573" s="276"/>
      <c r="H573" s="275"/>
      <c r="I573" s="275"/>
      <c r="J573" s="275"/>
      <c r="K573" s="275"/>
      <c r="L573" s="275"/>
      <c r="M573" s="275"/>
      <c r="N573" s="275"/>
    </row>
    <row r="574" spans="1:14">
      <c r="A574" s="274"/>
      <c r="B574" s="275"/>
      <c r="C574" s="276"/>
      <c r="D574" s="276"/>
      <c r="E574" s="276"/>
      <c r="F574" s="276"/>
      <c r="G574" s="276"/>
      <c r="H574" s="275"/>
      <c r="I574" s="275"/>
      <c r="J574" s="275"/>
      <c r="K574" s="275"/>
      <c r="L574" s="275"/>
      <c r="M574" s="275"/>
      <c r="N574" s="275"/>
    </row>
    <row r="575" spans="1:14">
      <c r="A575" s="274"/>
      <c r="B575" s="275"/>
      <c r="C575" s="276"/>
      <c r="D575" s="276"/>
      <c r="E575" s="276"/>
      <c r="F575" s="276"/>
      <c r="G575" s="276"/>
      <c r="H575" s="275"/>
      <c r="I575" s="275"/>
      <c r="J575" s="275"/>
      <c r="K575" s="275"/>
      <c r="L575" s="275"/>
      <c r="M575" s="275"/>
      <c r="N575" s="275"/>
    </row>
    <row r="576" spans="1:14">
      <c r="A576" s="274"/>
      <c r="B576" s="275"/>
      <c r="C576" s="276"/>
      <c r="D576" s="276"/>
      <c r="E576" s="276"/>
      <c r="F576" s="276"/>
      <c r="G576" s="276"/>
      <c r="H576" s="275"/>
      <c r="I576" s="275"/>
      <c r="J576" s="275"/>
      <c r="K576" s="275"/>
      <c r="L576" s="275"/>
      <c r="M576" s="275"/>
      <c r="N576" s="275"/>
    </row>
    <row r="577" spans="1:14">
      <c r="A577" s="274"/>
      <c r="B577" s="275"/>
      <c r="C577" s="276"/>
      <c r="D577" s="276"/>
      <c r="E577" s="276"/>
      <c r="F577" s="276"/>
      <c r="G577" s="276"/>
      <c r="H577" s="275"/>
      <c r="I577" s="275"/>
      <c r="J577" s="275"/>
      <c r="K577" s="275"/>
      <c r="L577" s="275"/>
      <c r="M577" s="275"/>
      <c r="N577" s="275"/>
    </row>
    <row r="578" spans="1:14">
      <c r="A578" s="274"/>
      <c r="B578" s="275"/>
      <c r="C578" s="276"/>
      <c r="D578" s="276"/>
      <c r="E578" s="276"/>
      <c r="F578" s="276"/>
      <c r="G578" s="276"/>
      <c r="H578" s="275"/>
      <c r="I578" s="275"/>
      <c r="J578" s="275"/>
      <c r="K578" s="275"/>
      <c r="L578" s="275"/>
      <c r="M578" s="275"/>
      <c r="N578" s="275"/>
    </row>
    <row r="579" spans="1:14">
      <c r="A579" s="274"/>
      <c r="B579" s="275"/>
      <c r="C579" s="276"/>
      <c r="D579" s="276"/>
      <c r="E579" s="276"/>
      <c r="F579" s="277"/>
      <c r="G579" s="276"/>
      <c r="H579" s="275"/>
      <c r="I579" s="275"/>
      <c r="J579" s="275"/>
      <c r="K579" s="275"/>
      <c r="L579" s="275"/>
      <c r="M579" s="275"/>
      <c r="N579" s="275"/>
    </row>
    <row r="580" spans="1:14">
      <c r="A580" s="274"/>
      <c r="B580" s="275"/>
      <c r="C580" s="276"/>
      <c r="D580" s="276"/>
      <c r="E580" s="276"/>
      <c r="F580" s="277"/>
      <c r="G580" s="276"/>
      <c r="H580" s="275"/>
      <c r="I580" s="275"/>
      <c r="J580" s="275"/>
      <c r="K580" s="275"/>
      <c r="L580" s="275"/>
      <c r="M580" s="275"/>
      <c r="N580" s="275"/>
    </row>
    <row r="581" spans="1:14">
      <c r="A581" s="274"/>
      <c r="B581" s="275"/>
      <c r="C581" s="276"/>
      <c r="D581" s="276"/>
      <c r="E581" s="276"/>
      <c r="F581" s="276"/>
      <c r="G581" s="276"/>
      <c r="H581" s="275"/>
      <c r="I581" s="275"/>
      <c r="J581" s="275"/>
      <c r="K581" s="275"/>
      <c r="L581" s="275"/>
      <c r="M581" s="275"/>
      <c r="N581" s="275"/>
    </row>
    <row r="582" spans="1:14">
      <c r="A582" s="274"/>
      <c r="B582" s="275"/>
      <c r="C582" s="276"/>
      <c r="D582" s="276"/>
      <c r="E582" s="276"/>
      <c r="F582" s="276"/>
      <c r="G582" s="276"/>
      <c r="H582" s="275"/>
      <c r="I582" s="275"/>
      <c r="J582" s="275"/>
      <c r="K582" s="275"/>
      <c r="L582" s="275"/>
      <c r="M582" s="275"/>
      <c r="N582" s="275"/>
    </row>
    <row r="583" spans="1:14">
      <c r="A583" s="274"/>
      <c r="B583" s="275"/>
      <c r="C583" s="276"/>
      <c r="D583" s="276"/>
      <c r="E583" s="276"/>
      <c r="F583" s="276"/>
      <c r="G583" s="276"/>
      <c r="H583" s="275"/>
      <c r="I583" s="275"/>
      <c r="J583" s="275"/>
      <c r="K583" s="275"/>
      <c r="L583" s="275"/>
      <c r="M583" s="275"/>
      <c r="N583" s="275"/>
    </row>
    <row r="584" spans="1:14">
      <c r="A584" s="274"/>
      <c r="B584" s="275"/>
      <c r="C584" s="276"/>
      <c r="D584" s="276"/>
      <c r="E584" s="276"/>
      <c r="F584" s="276"/>
      <c r="G584" s="276"/>
      <c r="H584" s="275"/>
      <c r="I584" s="275"/>
      <c r="J584" s="275"/>
      <c r="K584" s="275"/>
      <c r="L584" s="275"/>
      <c r="M584" s="275"/>
      <c r="N584" s="275"/>
    </row>
    <row r="585" spans="1:14">
      <c r="A585" s="274"/>
      <c r="B585" s="275"/>
      <c r="C585" s="276"/>
      <c r="D585" s="276"/>
      <c r="E585" s="276"/>
      <c r="F585" s="276"/>
      <c r="G585" s="276"/>
      <c r="H585" s="275"/>
      <c r="I585" s="275"/>
      <c r="J585" s="275"/>
      <c r="K585" s="275"/>
      <c r="L585" s="275"/>
      <c r="M585" s="275"/>
      <c r="N585" s="275"/>
    </row>
    <row r="586" spans="1:14">
      <c r="A586" s="274"/>
      <c r="B586" s="275"/>
      <c r="C586" s="276"/>
      <c r="D586" s="276"/>
      <c r="E586" s="276"/>
      <c r="F586" s="276"/>
      <c r="G586" s="276"/>
      <c r="H586" s="275"/>
      <c r="I586" s="275"/>
      <c r="J586" s="275"/>
      <c r="K586" s="275"/>
      <c r="L586" s="275"/>
      <c r="M586" s="275"/>
      <c r="N586" s="275"/>
    </row>
    <row r="587" spans="1:14">
      <c r="A587" s="274"/>
      <c r="B587" s="275"/>
      <c r="C587" s="276"/>
      <c r="D587" s="276"/>
      <c r="E587" s="276"/>
      <c r="F587" s="276"/>
      <c r="G587" s="276"/>
      <c r="H587" s="275"/>
      <c r="I587" s="275"/>
      <c r="J587" s="275"/>
      <c r="K587" s="275"/>
      <c r="L587" s="275"/>
      <c r="M587" s="275"/>
      <c r="N587" s="275"/>
    </row>
    <row r="588" spans="1:14">
      <c r="A588" s="274"/>
      <c r="B588" s="275"/>
      <c r="C588" s="276"/>
      <c r="D588" s="276"/>
      <c r="E588" s="276"/>
      <c r="F588" s="277"/>
      <c r="G588" s="276"/>
      <c r="H588" s="275"/>
      <c r="I588" s="275"/>
      <c r="J588" s="275"/>
      <c r="K588" s="275"/>
      <c r="L588" s="275"/>
      <c r="M588" s="275"/>
      <c r="N588" s="275"/>
    </row>
    <row r="589" spans="1:14">
      <c r="A589" s="274"/>
      <c r="B589" s="275"/>
      <c r="C589" s="276"/>
      <c r="D589" s="276"/>
      <c r="E589" s="276"/>
      <c r="F589" s="276"/>
      <c r="G589" s="276"/>
      <c r="H589" s="275"/>
      <c r="I589" s="275"/>
      <c r="J589" s="275"/>
      <c r="K589" s="275"/>
      <c r="L589" s="275"/>
      <c r="M589" s="275"/>
      <c r="N589" s="275"/>
    </row>
    <row r="590" spans="1:14">
      <c r="A590" s="274"/>
      <c r="B590" s="275"/>
      <c r="C590" s="276"/>
      <c r="D590" s="276"/>
      <c r="E590" s="276"/>
      <c r="F590" s="276"/>
      <c r="G590" s="276"/>
      <c r="H590" s="275"/>
      <c r="I590" s="275"/>
      <c r="J590" s="275"/>
      <c r="K590" s="275"/>
      <c r="L590" s="275"/>
      <c r="M590" s="275"/>
      <c r="N590" s="275"/>
    </row>
    <row r="591" spans="1:14">
      <c r="A591" s="274"/>
      <c r="B591" s="275"/>
      <c r="C591" s="276"/>
      <c r="D591" s="276"/>
      <c r="E591" s="276"/>
      <c r="F591" s="276"/>
      <c r="G591" s="276"/>
      <c r="H591" s="275"/>
      <c r="I591" s="275"/>
      <c r="J591" s="275"/>
      <c r="K591" s="275"/>
      <c r="L591" s="275"/>
      <c r="M591" s="275"/>
      <c r="N591" s="275"/>
    </row>
    <row r="592" spans="1:14">
      <c r="A592" s="274"/>
      <c r="B592" s="275"/>
      <c r="C592" s="276"/>
      <c r="D592" s="276"/>
      <c r="E592" s="276"/>
      <c r="F592" s="276"/>
      <c r="G592" s="276"/>
      <c r="H592" s="275"/>
      <c r="I592" s="275"/>
      <c r="J592" s="275"/>
      <c r="K592" s="275"/>
      <c r="L592" s="275"/>
      <c r="M592" s="275"/>
      <c r="N592" s="275"/>
    </row>
    <row r="593" spans="1:14">
      <c r="A593" s="274"/>
      <c r="B593" s="275"/>
      <c r="C593" s="276"/>
      <c r="D593" s="276"/>
      <c r="E593" s="276"/>
      <c r="F593" s="276"/>
      <c r="G593" s="276"/>
      <c r="H593" s="275"/>
      <c r="I593" s="275"/>
      <c r="J593" s="275"/>
      <c r="K593" s="275"/>
      <c r="L593" s="275"/>
      <c r="M593" s="275"/>
      <c r="N593" s="275"/>
    </row>
    <row r="594" spans="1:14">
      <c r="A594" s="274"/>
      <c r="B594" s="275"/>
      <c r="C594" s="276"/>
      <c r="D594" s="276"/>
      <c r="E594" s="276"/>
      <c r="F594" s="277"/>
      <c r="G594" s="276"/>
      <c r="H594" s="275"/>
      <c r="I594" s="275"/>
      <c r="J594" s="275"/>
      <c r="K594" s="275"/>
      <c r="L594" s="275"/>
      <c r="M594" s="275"/>
      <c r="N594" s="275"/>
    </row>
    <row r="595" spans="1:14">
      <c r="A595" s="274"/>
      <c r="B595" s="275"/>
      <c r="C595" s="276"/>
      <c r="D595" s="276"/>
      <c r="E595" s="276"/>
      <c r="F595" s="277"/>
      <c r="G595" s="276"/>
      <c r="H595" s="275"/>
      <c r="I595" s="275"/>
      <c r="J595" s="275"/>
      <c r="K595" s="275"/>
      <c r="L595" s="275"/>
      <c r="M595" s="275"/>
      <c r="N595" s="275"/>
    </row>
    <row r="596" spans="1:14">
      <c r="A596" s="274"/>
      <c r="B596" s="275"/>
      <c r="C596" s="276"/>
      <c r="D596" s="276"/>
      <c r="E596" s="276"/>
      <c r="F596" s="276"/>
      <c r="G596" s="276"/>
      <c r="H596" s="275"/>
      <c r="I596" s="275"/>
      <c r="J596" s="275"/>
      <c r="K596" s="275"/>
      <c r="L596" s="275"/>
      <c r="M596" s="275"/>
      <c r="N596" s="275"/>
    </row>
    <row r="597" spans="1:14">
      <c r="A597" s="274"/>
      <c r="B597" s="275"/>
      <c r="C597" s="276"/>
      <c r="D597" s="276"/>
      <c r="E597" s="276"/>
      <c r="F597" s="276"/>
      <c r="G597" s="276"/>
      <c r="H597" s="275"/>
      <c r="I597" s="275"/>
      <c r="J597" s="275"/>
      <c r="K597" s="275"/>
      <c r="L597" s="275"/>
      <c r="M597" s="275"/>
      <c r="N597" s="275"/>
    </row>
    <row r="598" spans="1:14">
      <c r="A598" s="274"/>
      <c r="B598" s="275"/>
      <c r="C598" s="276"/>
      <c r="D598" s="276"/>
      <c r="E598" s="276"/>
      <c r="F598" s="276"/>
      <c r="G598" s="276"/>
      <c r="H598" s="275"/>
      <c r="I598" s="275"/>
      <c r="J598" s="275"/>
      <c r="K598" s="275"/>
      <c r="L598" s="275"/>
      <c r="M598" s="275"/>
      <c r="N598" s="275"/>
    </row>
    <row r="599" spans="1:14">
      <c r="A599" s="274"/>
      <c r="B599" s="275"/>
      <c r="C599" s="276"/>
      <c r="D599" s="276"/>
      <c r="E599" s="276"/>
      <c r="F599" s="276"/>
      <c r="G599" s="276"/>
      <c r="H599" s="275"/>
      <c r="I599" s="275"/>
      <c r="J599" s="275"/>
      <c r="K599" s="275"/>
      <c r="L599" s="275"/>
      <c r="M599" s="275"/>
      <c r="N599" s="275"/>
    </row>
    <row r="600" spans="1:14">
      <c r="A600" s="274"/>
      <c r="B600" s="275"/>
      <c r="C600" s="276"/>
      <c r="D600" s="276"/>
      <c r="E600" s="276"/>
      <c r="F600" s="276"/>
      <c r="G600" s="276"/>
      <c r="H600" s="275"/>
      <c r="I600" s="275"/>
      <c r="J600" s="275"/>
      <c r="K600" s="275"/>
      <c r="L600" s="275"/>
      <c r="M600" s="275"/>
      <c r="N600" s="275"/>
    </row>
    <row r="601" spans="1:14">
      <c r="A601" s="274"/>
      <c r="B601" s="275"/>
      <c r="C601" s="276"/>
      <c r="D601" s="276"/>
      <c r="E601" s="276"/>
      <c r="F601" s="276"/>
      <c r="G601" s="276"/>
      <c r="H601" s="275"/>
      <c r="I601" s="275"/>
      <c r="J601" s="275"/>
      <c r="K601" s="275"/>
      <c r="L601" s="275"/>
      <c r="M601" s="275"/>
      <c r="N601" s="275"/>
    </row>
    <row r="602" spans="1:14">
      <c r="A602" s="274"/>
      <c r="B602" s="275"/>
      <c r="C602" s="276"/>
      <c r="D602" s="276"/>
      <c r="E602" s="276"/>
      <c r="F602" s="276"/>
      <c r="G602" s="276"/>
      <c r="H602" s="275"/>
      <c r="I602" s="275"/>
      <c r="J602" s="275"/>
      <c r="K602" s="275"/>
      <c r="L602" s="275"/>
      <c r="M602" s="275"/>
      <c r="N602" s="275"/>
    </row>
    <row r="603" spans="1:14">
      <c r="A603" s="274"/>
      <c r="B603" s="275"/>
      <c r="C603" s="276"/>
      <c r="D603" s="276"/>
      <c r="E603" s="276"/>
      <c r="F603" s="276"/>
      <c r="G603" s="276"/>
      <c r="H603" s="275"/>
      <c r="I603" s="275"/>
      <c r="J603" s="275"/>
      <c r="K603" s="275"/>
      <c r="L603" s="275"/>
      <c r="M603" s="275"/>
      <c r="N603" s="275"/>
    </row>
    <row r="604" spans="1:14">
      <c r="A604" s="274"/>
      <c r="B604" s="275"/>
      <c r="C604" s="276"/>
      <c r="D604" s="276"/>
      <c r="E604" s="276"/>
      <c r="F604" s="276"/>
      <c r="G604" s="276"/>
      <c r="H604" s="275"/>
      <c r="I604" s="275"/>
      <c r="J604" s="275"/>
      <c r="K604" s="275"/>
      <c r="L604" s="275"/>
      <c r="M604" s="275"/>
      <c r="N604" s="275"/>
    </row>
    <row r="605" spans="1:14">
      <c r="A605" s="274"/>
      <c r="B605" s="275"/>
      <c r="C605" s="276"/>
      <c r="D605" s="276"/>
      <c r="E605" s="276"/>
      <c r="F605" s="276"/>
      <c r="G605" s="276"/>
      <c r="H605" s="275"/>
      <c r="I605" s="275"/>
      <c r="J605" s="275"/>
      <c r="K605" s="275"/>
      <c r="L605" s="275"/>
      <c r="M605" s="275"/>
      <c r="N605" s="275"/>
    </row>
    <row r="606" spans="1:14">
      <c r="A606" s="274"/>
      <c r="B606" s="275"/>
      <c r="C606" s="276"/>
      <c r="D606" s="276"/>
      <c r="E606" s="276"/>
      <c r="F606" s="276"/>
      <c r="G606" s="276"/>
      <c r="H606" s="275"/>
      <c r="I606" s="275"/>
      <c r="J606" s="275"/>
      <c r="K606" s="275"/>
      <c r="L606" s="275"/>
      <c r="M606" s="275"/>
      <c r="N606" s="275"/>
    </row>
    <row r="607" spans="1:14">
      <c r="A607" s="274"/>
      <c r="B607" s="275"/>
      <c r="C607" s="276"/>
      <c r="D607" s="276"/>
      <c r="E607" s="276"/>
      <c r="F607" s="277"/>
      <c r="G607" s="276"/>
      <c r="H607" s="275"/>
      <c r="I607" s="275"/>
      <c r="J607" s="275"/>
      <c r="K607" s="275"/>
      <c r="L607" s="275"/>
      <c r="M607" s="275"/>
      <c r="N607" s="275"/>
    </row>
    <row r="608" spans="1:14">
      <c r="A608" s="274"/>
      <c r="B608" s="275"/>
      <c r="C608" s="276"/>
      <c r="D608" s="276"/>
      <c r="E608" s="276"/>
      <c r="F608" s="276"/>
      <c r="G608" s="276"/>
      <c r="H608" s="275"/>
      <c r="I608" s="275"/>
      <c r="J608" s="275"/>
      <c r="K608" s="275"/>
      <c r="L608" s="275"/>
      <c r="M608" s="275"/>
      <c r="N608" s="275"/>
    </row>
    <row r="609" spans="1:14">
      <c r="A609" s="274"/>
      <c r="B609" s="275"/>
      <c r="C609" s="276"/>
      <c r="D609" s="276"/>
      <c r="E609" s="276"/>
      <c r="F609" s="276"/>
      <c r="G609" s="276"/>
      <c r="H609" s="275"/>
      <c r="I609" s="275"/>
      <c r="J609" s="275"/>
      <c r="K609" s="275"/>
      <c r="L609" s="275"/>
      <c r="M609" s="275"/>
      <c r="N609" s="275"/>
    </row>
    <row r="610" spans="1:14">
      <c r="A610" s="274"/>
      <c r="B610" s="275"/>
      <c r="C610" s="276"/>
      <c r="D610" s="276"/>
      <c r="E610" s="276"/>
      <c r="F610" s="276"/>
      <c r="G610" s="276"/>
      <c r="H610" s="275"/>
      <c r="I610" s="275"/>
      <c r="J610" s="275"/>
      <c r="K610" s="275"/>
      <c r="L610" s="275"/>
      <c r="M610" s="275"/>
      <c r="N610" s="275"/>
    </row>
    <row r="611" spans="1:14">
      <c r="A611" s="274"/>
      <c r="B611" s="275"/>
      <c r="C611" s="276"/>
      <c r="D611" s="276"/>
      <c r="E611" s="276"/>
      <c r="F611" s="276"/>
      <c r="G611" s="276"/>
      <c r="H611" s="275"/>
      <c r="I611" s="275"/>
      <c r="J611" s="275"/>
      <c r="K611" s="275"/>
      <c r="L611" s="275"/>
      <c r="M611" s="275"/>
      <c r="N611" s="275"/>
    </row>
    <row r="612" spans="1:14">
      <c r="A612" s="274"/>
      <c r="B612" s="275"/>
      <c r="C612" s="276"/>
      <c r="D612" s="276"/>
      <c r="E612" s="276"/>
      <c r="F612" s="276"/>
      <c r="G612" s="276"/>
      <c r="H612" s="275"/>
      <c r="I612" s="275"/>
      <c r="J612" s="275"/>
      <c r="K612" s="275"/>
      <c r="L612" s="275"/>
      <c r="M612" s="275"/>
      <c r="N612" s="275"/>
    </row>
    <row r="613" spans="1:14">
      <c r="A613" s="274"/>
      <c r="B613" s="275"/>
      <c r="C613" s="276"/>
      <c r="D613" s="276"/>
      <c r="E613" s="276"/>
      <c r="F613" s="276"/>
      <c r="G613" s="276"/>
      <c r="H613" s="275"/>
      <c r="I613" s="275"/>
      <c r="J613" s="275"/>
      <c r="K613" s="275"/>
      <c r="L613" s="275"/>
      <c r="M613" s="275"/>
      <c r="N613" s="275"/>
    </row>
    <row r="614" spans="1:14">
      <c r="A614" s="274"/>
      <c r="B614" s="275"/>
      <c r="C614" s="276"/>
      <c r="D614" s="276"/>
      <c r="E614" s="276"/>
      <c r="F614" s="276"/>
      <c r="G614" s="276"/>
      <c r="H614" s="275"/>
      <c r="I614" s="275"/>
      <c r="J614" s="275"/>
      <c r="K614" s="275"/>
      <c r="L614" s="275"/>
      <c r="M614" s="275"/>
      <c r="N614" s="275"/>
    </row>
    <row r="615" spans="1:14">
      <c r="A615" s="274"/>
      <c r="B615" s="275"/>
      <c r="C615" s="276"/>
      <c r="D615" s="276"/>
      <c r="E615" s="276"/>
      <c r="F615" s="276"/>
      <c r="G615" s="276"/>
      <c r="H615" s="275"/>
      <c r="I615" s="275"/>
      <c r="J615" s="275"/>
      <c r="K615" s="275"/>
      <c r="L615" s="275"/>
      <c r="M615" s="275"/>
      <c r="N615" s="275"/>
    </row>
    <row r="616" spans="1:14">
      <c r="A616" s="274"/>
      <c r="B616" s="275"/>
      <c r="C616" s="276"/>
      <c r="D616" s="276"/>
      <c r="E616" s="276"/>
      <c r="F616" s="276"/>
      <c r="G616" s="276"/>
      <c r="H616" s="275"/>
      <c r="I616" s="275"/>
      <c r="J616" s="275"/>
      <c r="K616" s="275"/>
      <c r="L616" s="275"/>
      <c r="M616" s="275"/>
      <c r="N616" s="275"/>
    </row>
    <row r="617" spans="1:14">
      <c r="A617" s="274"/>
      <c r="B617" s="275"/>
      <c r="C617" s="276"/>
      <c r="D617" s="276"/>
      <c r="E617" s="276"/>
      <c r="F617" s="276"/>
      <c r="G617" s="276"/>
      <c r="H617" s="275"/>
      <c r="I617" s="275"/>
      <c r="J617" s="275"/>
      <c r="K617" s="275"/>
      <c r="L617" s="275"/>
      <c r="M617" s="275"/>
      <c r="N617" s="275"/>
    </row>
    <row r="618" spans="1:14">
      <c r="A618" s="274"/>
      <c r="B618" s="275"/>
      <c r="C618" s="276"/>
      <c r="D618" s="276"/>
      <c r="E618" s="276"/>
      <c r="F618" s="276"/>
      <c r="G618" s="276"/>
      <c r="H618" s="275"/>
      <c r="I618" s="275"/>
      <c r="J618" s="275"/>
      <c r="K618" s="275"/>
      <c r="L618" s="275"/>
      <c r="M618" s="275"/>
      <c r="N618" s="275"/>
    </row>
    <row r="619" spans="1:14">
      <c r="A619" s="274"/>
      <c r="B619" s="275"/>
      <c r="C619" s="276"/>
      <c r="D619" s="276"/>
      <c r="E619" s="276"/>
      <c r="F619" s="276"/>
      <c r="G619" s="276"/>
      <c r="H619" s="275"/>
      <c r="I619" s="275"/>
      <c r="J619" s="275"/>
      <c r="K619" s="275"/>
      <c r="L619" s="275"/>
      <c r="M619" s="275"/>
      <c r="N619" s="275"/>
    </row>
    <row r="620" spans="1:14">
      <c r="A620" s="274"/>
      <c r="B620" s="275"/>
      <c r="C620" s="276"/>
      <c r="D620" s="276"/>
      <c r="E620" s="276"/>
      <c r="F620" s="276"/>
      <c r="G620" s="276"/>
      <c r="H620" s="275"/>
      <c r="I620" s="275"/>
      <c r="J620" s="275"/>
      <c r="K620" s="275"/>
      <c r="L620" s="275"/>
      <c r="M620" s="275"/>
      <c r="N620" s="275"/>
    </row>
    <row r="621" spans="1:14">
      <c r="A621" s="274"/>
      <c r="B621" s="275"/>
      <c r="C621" s="276"/>
      <c r="D621" s="276"/>
      <c r="E621" s="276"/>
      <c r="F621" s="276"/>
      <c r="G621" s="276"/>
      <c r="H621" s="275"/>
      <c r="I621" s="275"/>
      <c r="J621" s="275"/>
      <c r="K621" s="275"/>
      <c r="L621" s="275"/>
      <c r="M621" s="275"/>
      <c r="N621" s="275"/>
    </row>
    <row r="622" spans="1:14">
      <c r="A622" s="274"/>
      <c r="B622" s="275"/>
      <c r="C622" s="276"/>
      <c r="D622" s="276"/>
      <c r="E622" s="276"/>
      <c r="F622" s="276"/>
      <c r="G622" s="276"/>
      <c r="H622" s="275"/>
      <c r="I622" s="275"/>
      <c r="J622" s="275"/>
      <c r="K622" s="275"/>
      <c r="L622" s="275"/>
      <c r="M622" s="275"/>
      <c r="N622" s="275"/>
    </row>
    <row r="623" spans="1:14">
      <c r="A623" s="274"/>
      <c r="B623" s="275"/>
      <c r="C623" s="276"/>
      <c r="D623" s="276"/>
      <c r="E623" s="276"/>
      <c r="F623" s="276"/>
      <c r="G623" s="276"/>
      <c r="H623" s="275"/>
      <c r="I623" s="275"/>
      <c r="J623" s="275"/>
      <c r="K623" s="275"/>
      <c r="L623" s="275"/>
      <c r="M623" s="275"/>
      <c r="N623" s="275"/>
    </row>
    <row r="624" spans="1:14">
      <c r="A624" s="274"/>
      <c r="B624" s="275"/>
      <c r="C624" s="276"/>
      <c r="D624" s="276"/>
      <c r="E624" s="276"/>
      <c r="F624" s="276"/>
      <c r="G624" s="276"/>
      <c r="H624" s="275"/>
      <c r="I624" s="275"/>
      <c r="J624" s="275"/>
      <c r="K624" s="275"/>
      <c r="L624" s="275"/>
      <c r="M624" s="275"/>
      <c r="N624" s="275"/>
    </row>
    <row r="625" spans="1:14">
      <c r="A625" s="274"/>
      <c r="B625" s="275"/>
      <c r="C625" s="276"/>
      <c r="D625" s="276"/>
      <c r="E625" s="276"/>
      <c r="F625" s="276"/>
      <c r="G625" s="276"/>
      <c r="H625" s="275"/>
      <c r="I625" s="275"/>
      <c r="J625" s="275"/>
      <c r="K625" s="275"/>
      <c r="L625" s="275"/>
      <c r="M625" s="275"/>
      <c r="N625" s="275"/>
    </row>
    <row r="626" spans="1:14">
      <c r="A626" s="274"/>
      <c r="B626" s="275"/>
      <c r="C626" s="276"/>
      <c r="D626" s="276"/>
      <c r="E626" s="276"/>
      <c r="F626" s="276"/>
      <c r="G626" s="276"/>
      <c r="H626" s="275"/>
      <c r="I626" s="275"/>
      <c r="J626" s="275"/>
      <c r="K626" s="275"/>
      <c r="L626" s="275"/>
      <c r="M626" s="275"/>
      <c r="N626" s="275"/>
    </row>
    <row r="627" spans="1:14">
      <c r="A627" s="274"/>
      <c r="B627" s="275"/>
      <c r="C627" s="276"/>
      <c r="D627" s="276"/>
      <c r="E627" s="276"/>
      <c r="F627" s="276"/>
      <c r="G627" s="276"/>
      <c r="H627" s="275"/>
      <c r="I627" s="275"/>
      <c r="J627" s="275"/>
      <c r="K627" s="275"/>
      <c r="L627" s="275"/>
      <c r="M627" s="275"/>
      <c r="N627" s="275"/>
    </row>
    <row r="628" spans="1:14">
      <c r="A628" s="274"/>
      <c r="B628" s="275"/>
      <c r="C628" s="276"/>
      <c r="D628" s="276"/>
      <c r="E628" s="276"/>
      <c r="F628" s="276"/>
      <c r="G628" s="276"/>
      <c r="H628" s="275"/>
      <c r="I628" s="275"/>
      <c r="J628" s="275"/>
      <c r="K628" s="275"/>
      <c r="L628" s="275"/>
      <c r="M628" s="275"/>
      <c r="N628" s="275"/>
    </row>
    <row r="629" spans="1:14">
      <c r="A629" s="274"/>
      <c r="B629" s="275"/>
      <c r="C629" s="276"/>
      <c r="D629" s="276"/>
      <c r="E629" s="276"/>
      <c r="F629" s="276"/>
      <c r="G629" s="276"/>
      <c r="H629" s="275"/>
      <c r="I629" s="275"/>
      <c r="J629" s="275"/>
      <c r="K629" s="275"/>
      <c r="L629" s="275"/>
      <c r="M629" s="275"/>
      <c r="N629" s="275"/>
    </row>
    <row r="630" spans="1:14">
      <c r="A630" s="274"/>
      <c r="B630" s="275"/>
      <c r="C630" s="276"/>
      <c r="D630" s="276"/>
      <c r="E630" s="276"/>
      <c r="F630" s="276"/>
      <c r="G630" s="276"/>
      <c r="H630" s="275"/>
      <c r="I630" s="275"/>
      <c r="J630" s="275"/>
      <c r="K630" s="275"/>
      <c r="L630" s="275"/>
      <c r="M630" s="275"/>
      <c r="N630" s="275"/>
    </row>
    <row r="631" spans="1:14">
      <c r="A631" s="274"/>
      <c r="B631" s="275"/>
      <c r="C631" s="276"/>
      <c r="D631" s="276"/>
      <c r="E631" s="276"/>
      <c r="F631" s="276"/>
      <c r="G631" s="276"/>
      <c r="H631" s="275"/>
      <c r="I631" s="275"/>
      <c r="J631" s="275"/>
      <c r="K631" s="275"/>
      <c r="L631" s="275"/>
      <c r="M631" s="275"/>
      <c r="N631" s="275"/>
    </row>
    <row r="632" spans="1:14">
      <c r="A632" s="274"/>
      <c r="B632" s="275"/>
      <c r="C632" s="276"/>
      <c r="D632" s="276"/>
      <c r="E632" s="276"/>
      <c r="F632" s="276"/>
      <c r="G632" s="276"/>
      <c r="H632" s="275"/>
      <c r="I632" s="275"/>
      <c r="J632" s="275"/>
      <c r="K632" s="275"/>
      <c r="L632" s="275"/>
      <c r="M632" s="275"/>
      <c r="N632" s="275"/>
    </row>
    <row r="633" spans="1:14">
      <c r="A633" s="274"/>
      <c r="B633" s="275"/>
      <c r="C633" s="276"/>
      <c r="D633" s="276"/>
      <c r="E633" s="276"/>
      <c r="F633" s="276"/>
      <c r="G633" s="276"/>
      <c r="H633" s="275"/>
      <c r="I633" s="275"/>
      <c r="J633" s="275"/>
      <c r="K633" s="275"/>
      <c r="L633" s="275"/>
      <c r="M633" s="275"/>
      <c r="N633" s="275"/>
    </row>
    <row r="634" spans="1:14">
      <c r="A634" s="274"/>
      <c r="B634" s="275"/>
      <c r="C634" s="276"/>
      <c r="D634" s="276"/>
      <c r="E634" s="276"/>
      <c r="F634" s="276"/>
      <c r="G634" s="276"/>
      <c r="H634" s="275"/>
      <c r="I634" s="275"/>
      <c r="J634" s="275"/>
      <c r="K634" s="275"/>
      <c r="L634" s="275"/>
      <c r="M634" s="275"/>
      <c r="N634" s="275"/>
    </row>
    <row r="635" spans="1:14">
      <c r="A635" s="274"/>
      <c r="B635" s="275"/>
      <c r="C635" s="276"/>
      <c r="D635" s="276"/>
      <c r="E635" s="276"/>
      <c r="F635" s="276"/>
      <c r="G635" s="276"/>
      <c r="H635" s="275"/>
      <c r="I635" s="275"/>
      <c r="J635" s="275"/>
      <c r="K635" s="275"/>
      <c r="L635" s="275"/>
      <c r="M635" s="275"/>
      <c r="N635" s="275"/>
    </row>
    <row r="636" spans="1:14">
      <c r="A636" s="274"/>
      <c r="B636" s="275"/>
      <c r="C636" s="276"/>
      <c r="D636" s="276"/>
      <c r="E636" s="276"/>
      <c r="F636" s="276"/>
      <c r="G636" s="276"/>
      <c r="H636" s="275"/>
      <c r="I636" s="275"/>
      <c r="J636" s="275"/>
      <c r="K636" s="275"/>
      <c r="L636" s="275"/>
      <c r="M636" s="275"/>
      <c r="N636" s="275"/>
    </row>
    <row r="637" spans="1:14">
      <c r="A637" s="274"/>
      <c r="B637" s="275"/>
      <c r="C637" s="276"/>
      <c r="D637" s="276"/>
      <c r="E637" s="276"/>
      <c r="F637" s="276"/>
      <c r="G637" s="276"/>
      <c r="H637" s="275"/>
      <c r="I637" s="275"/>
      <c r="J637" s="275"/>
      <c r="K637" s="275"/>
      <c r="L637" s="275"/>
      <c r="M637" s="275"/>
      <c r="N637" s="275"/>
    </row>
    <row r="638" spans="1:14">
      <c r="A638" s="274"/>
      <c r="B638" s="275"/>
      <c r="C638" s="276"/>
      <c r="D638" s="276"/>
      <c r="E638" s="276"/>
      <c r="F638" s="276"/>
      <c r="G638" s="276"/>
      <c r="H638" s="275"/>
      <c r="I638" s="275"/>
      <c r="J638" s="275"/>
      <c r="K638" s="275"/>
      <c r="L638" s="275"/>
      <c r="M638" s="275"/>
      <c r="N638" s="275"/>
    </row>
    <row r="639" spans="1:14">
      <c r="A639" s="274"/>
      <c r="B639" s="275"/>
      <c r="C639" s="276"/>
      <c r="D639" s="276"/>
      <c r="E639" s="276"/>
      <c r="F639" s="276"/>
      <c r="G639" s="276"/>
      <c r="H639" s="275"/>
      <c r="I639" s="275"/>
      <c r="J639" s="275"/>
      <c r="K639" s="275"/>
      <c r="L639" s="275"/>
      <c r="M639" s="275"/>
      <c r="N639" s="275"/>
    </row>
    <row r="640" spans="1:14">
      <c r="A640" s="274"/>
      <c r="B640" s="275"/>
      <c r="C640" s="276"/>
      <c r="D640" s="276"/>
      <c r="E640" s="276"/>
      <c r="F640" s="276"/>
      <c r="G640" s="276"/>
      <c r="H640" s="275"/>
      <c r="I640" s="275"/>
      <c r="J640" s="275"/>
      <c r="K640" s="275"/>
      <c r="L640" s="275"/>
      <c r="M640" s="275"/>
      <c r="N640" s="275"/>
    </row>
    <row r="641" spans="1:14">
      <c r="A641" s="274"/>
      <c r="B641" s="275"/>
      <c r="C641" s="276"/>
      <c r="D641" s="276"/>
      <c r="E641" s="276"/>
      <c r="F641" s="276"/>
      <c r="G641" s="276"/>
      <c r="H641" s="275"/>
      <c r="I641" s="275"/>
      <c r="J641" s="275"/>
      <c r="K641" s="275"/>
      <c r="L641" s="275"/>
      <c r="M641" s="275"/>
      <c r="N641" s="275"/>
    </row>
    <row r="642" spans="1:14">
      <c r="A642" s="274"/>
      <c r="B642" s="275"/>
      <c r="C642" s="276"/>
      <c r="D642" s="276"/>
      <c r="E642" s="276"/>
      <c r="F642" s="276"/>
      <c r="G642" s="276"/>
      <c r="H642" s="275"/>
      <c r="I642" s="275"/>
      <c r="J642" s="275"/>
      <c r="K642" s="275"/>
      <c r="L642" s="275"/>
      <c r="M642" s="275"/>
      <c r="N642" s="275"/>
    </row>
    <row r="643" spans="1:14">
      <c r="A643" s="274"/>
      <c r="B643" s="275"/>
      <c r="C643" s="276"/>
      <c r="D643" s="276"/>
      <c r="E643" s="276"/>
      <c r="F643" s="276"/>
      <c r="G643" s="276"/>
      <c r="H643" s="275"/>
      <c r="I643" s="275"/>
      <c r="J643" s="275"/>
      <c r="K643" s="275"/>
      <c r="L643" s="275"/>
      <c r="M643" s="275"/>
      <c r="N643" s="275"/>
    </row>
    <row r="644" spans="1:14">
      <c r="A644" s="274"/>
      <c r="B644" s="275"/>
      <c r="C644" s="276"/>
      <c r="D644" s="276"/>
      <c r="E644" s="276"/>
      <c r="F644" s="276"/>
      <c r="G644" s="276"/>
      <c r="H644" s="275"/>
      <c r="I644" s="275"/>
      <c r="J644" s="275"/>
      <c r="K644" s="275"/>
      <c r="L644" s="275"/>
      <c r="M644" s="275"/>
      <c r="N644" s="275"/>
    </row>
    <row r="645" spans="1:14">
      <c r="A645" s="274"/>
      <c r="B645" s="275"/>
      <c r="C645" s="276"/>
      <c r="D645" s="276"/>
      <c r="E645" s="276"/>
      <c r="F645" s="276"/>
      <c r="G645" s="276"/>
      <c r="H645" s="275"/>
      <c r="I645" s="275"/>
      <c r="J645" s="275"/>
      <c r="K645" s="275"/>
      <c r="L645" s="275"/>
      <c r="M645" s="275"/>
      <c r="N645" s="275"/>
    </row>
    <row r="646" spans="1:14">
      <c r="A646" s="274"/>
      <c r="B646" s="275"/>
      <c r="C646" s="276"/>
      <c r="D646" s="276"/>
      <c r="E646" s="276"/>
      <c r="F646" s="276"/>
      <c r="G646" s="276"/>
      <c r="H646" s="275"/>
      <c r="I646" s="275"/>
      <c r="J646" s="275"/>
      <c r="K646" s="275"/>
      <c r="L646" s="275"/>
      <c r="M646" s="275"/>
      <c r="N646" s="275"/>
    </row>
    <row r="647" spans="1:14">
      <c r="A647" s="274"/>
      <c r="B647" s="275"/>
      <c r="C647" s="276"/>
      <c r="D647" s="276"/>
      <c r="E647" s="276"/>
      <c r="F647" s="276"/>
      <c r="G647" s="276"/>
      <c r="H647" s="275"/>
      <c r="I647" s="275"/>
      <c r="J647" s="275"/>
      <c r="K647" s="275"/>
      <c r="L647" s="275"/>
      <c r="M647" s="275"/>
      <c r="N647" s="275"/>
    </row>
    <row r="648" spans="1:14">
      <c r="A648" s="274"/>
      <c r="B648" s="275"/>
      <c r="C648" s="276"/>
      <c r="D648" s="276"/>
      <c r="E648" s="276"/>
      <c r="F648" s="276"/>
      <c r="G648" s="276"/>
      <c r="H648" s="275"/>
      <c r="I648" s="275"/>
      <c r="J648" s="275"/>
      <c r="K648" s="275"/>
      <c r="L648" s="275"/>
      <c r="M648" s="275"/>
      <c r="N648" s="275"/>
    </row>
    <row r="649" spans="1:14">
      <c r="A649" s="274"/>
      <c r="B649" s="275"/>
      <c r="C649" s="276"/>
      <c r="D649" s="276"/>
      <c r="E649" s="276"/>
      <c r="F649" s="276"/>
      <c r="G649" s="276"/>
      <c r="H649" s="275"/>
      <c r="I649" s="275"/>
      <c r="J649" s="275"/>
      <c r="K649" s="275"/>
      <c r="L649" s="275"/>
      <c r="M649" s="275"/>
      <c r="N649" s="275"/>
    </row>
    <row r="650" spans="1:14">
      <c r="A650" s="274"/>
      <c r="B650" s="275"/>
      <c r="C650" s="276"/>
      <c r="D650" s="276"/>
      <c r="E650" s="276"/>
      <c r="F650" s="276"/>
      <c r="G650" s="276"/>
      <c r="H650" s="275"/>
      <c r="I650" s="275"/>
      <c r="J650" s="275"/>
      <c r="K650" s="275"/>
      <c r="L650" s="275"/>
      <c r="M650" s="275"/>
      <c r="N650" s="275"/>
    </row>
    <row r="651" spans="1:14">
      <c r="A651" s="274"/>
      <c r="B651" s="275"/>
      <c r="C651" s="276"/>
      <c r="D651" s="276"/>
      <c r="E651" s="276"/>
      <c r="F651" s="276"/>
      <c r="G651" s="276"/>
      <c r="H651" s="275"/>
      <c r="I651" s="275"/>
      <c r="J651" s="275"/>
      <c r="K651" s="275"/>
      <c r="L651" s="275"/>
      <c r="M651" s="275"/>
      <c r="N651" s="275"/>
    </row>
    <row r="652" spans="1:14">
      <c r="A652" s="274"/>
      <c r="B652" s="275"/>
      <c r="C652" s="276"/>
      <c r="D652" s="276"/>
      <c r="E652" s="276"/>
      <c r="F652" s="276"/>
      <c r="G652" s="276"/>
      <c r="H652" s="275"/>
      <c r="I652" s="275"/>
      <c r="J652" s="275"/>
      <c r="K652" s="275"/>
      <c r="L652" s="275"/>
      <c r="M652" s="275"/>
      <c r="N652" s="275"/>
    </row>
    <row r="653" spans="1:14">
      <c r="A653" s="274"/>
      <c r="B653" s="275"/>
      <c r="C653" s="276"/>
      <c r="D653" s="276"/>
      <c r="E653" s="276"/>
      <c r="F653" s="276"/>
      <c r="G653" s="276"/>
      <c r="H653" s="275"/>
      <c r="I653" s="275"/>
      <c r="J653" s="275"/>
      <c r="K653" s="275"/>
      <c r="L653" s="275"/>
      <c r="M653" s="275"/>
      <c r="N653" s="275"/>
    </row>
    <row r="654" spans="1:14">
      <c r="A654" s="274"/>
      <c r="B654" s="275"/>
      <c r="C654" s="276"/>
      <c r="D654" s="276"/>
      <c r="E654" s="276"/>
      <c r="F654" s="276"/>
      <c r="G654" s="276"/>
      <c r="H654" s="275"/>
      <c r="I654" s="275"/>
      <c r="J654" s="275"/>
      <c r="K654" s="275"/>
      <c r="L654" s="275"/>
      <c r="M654" s="275"/>
      <c r="N654" s="275"/>
    </row>
    <row r="655" spans="1:14">
      <c r="A655" s="274"/>
      <c r="B655" s="275"/>
      <c r="C655" s="276"/>
      <c r="D655" s="276"/>
      <c r="E655" s="276"/>
      <c r="F655" s="276"/>
      <c r="G655" s="276"/>
      <c r="H655" s="275"/>
      <c r="I655" s="275"/>
      <c r="J655" s="275"/>
      <c r="K655" s="275"/>
      <c r="L655" s="275"/>
      <c r="M655" s="275"/>
      <c r="N655" s="275"/>
    </row>
    <row r="656" spans="1:14">
      <c r="A656" s="274"/>
      <c r="B656" s="275"/>
      <c r="C656" s="276"/>
      <c r="D656" s="276"/>
      <c r="E656" s="276"/>
      <c r="F656" s="276"/>
      <c r="G656" s="276"/>
      <c r="H656" s="275"/>
      <c r="I656" s="275"/>
      <c r="J656" s="275"/>
      <c r="K656" s="275"/>
      <c r="L656" s="275"/>
      <c r="M656" s="275"/>
      <c r="N656" s="275"/>
    </row>
    <row r="657" spans="1:14">
      <c r="A657" s="274"/>
      <c r="B657" s="275"/>
      <c r="C657" s="276"/>
      <c r="D657" s="276"/>
      <c r="E657" s="276"/>
      <c r="F657" s="276"/>
      <c r="G657" s="276"/>
      <c r="H657" s="275"/>
      <c r="I657" s="275"/>
      <c r="J657" s="275"/>
      <c r="K657" s="275"/>
      <c r="L657" s="275"/>
      <c r="M657" s="275"/>
      <c r="N657" s="275"/>
    </row>
    <row r="658" spans="1:14">
      <c r="A658" s="274"/>
      <c r="B658" s="275"/>
      <c r="C658" s="276"/>
      <c r="D658" s="276"/>
      <c r="E658" s="276"/>
      <c r="F658" s="276"/>
      <c r="G658" s="276"/>
      <c r="H658" s="275"/>
      <c r="I658" s="275"/>
      <c r="J658" s="275"/>
      <c r="K658" s="275"/>
      <c r="L658" s="275"/>
      <c r="M658" s="275"/>
      <c r="N658" s="275"/>
    </row>
    <row r="659" spans="1:14">
      <c r="A659" s="274"/>
      <c r="B659" s="275"/>
      <c r="C659" s="276"/>
      <c r="D659" s="276"/>
      <c r="E659" s="276"/>
      <c r="F659" s="276"/>
      <c r="G659" s="276"/>
      <c r="H659" s="275"/>
      <c r="I659" s="275"/>
      <c r="J659" s="275"/>
      <c r="K659" s="275"/>
      <c r="L659" s="275"/>
      <c r="M659" s="275"/>
      <c r="N659" s="275"/>
    </row>
    <row r="660" spans="1:14">
      <c r="A660" s="274"/>
      <c r="B660" s="275"/>
      <c r="C660" s="276"/>
      <c r="D660" s="276"/>
      <c r="E660" s="276"/>
      <c r="F660" s="276"/>
      <c r="G660" s="276"/>
      <c r="H660" s="275"/>
      <c r="I660" s="275"/>
      <c r="J660" s="275"/>
      <c r="K660" s="275"/>
      <c r="L660" s="275"/>
      <c r="M660" s="275"/>
      <c r="N660" s="275"/>
    </row>
    <row r="661" spans="1:14">
      <c r="A661" s="274"/>
      <c r="B661" s="275"/>
      <c r="C661" s="276"/>
      <c r="D661" s="276"/>
      <c r="E661" s="276"/>
      <c r="F661" s="276"/>
      <c r="G661" s="276"/>
      <c r="H661" s="275"/>
      <c r="I661" s="275"/>
      <c r="J661" s="275"/>
      <c r="K661" s="275"/>
      <c r="L661" s="275"/>
      <c r="M661" s="275"/>
      <c r="N661" s="275"/>
    </row>
    <row r="662" spans="1:14">
      <c r="A662" s="274"/>
      <c r="B662" s="275"/>
      <c r="C662" s="276"/>
      <c r="D662" s="276"/>
      <c r="E662" s="276"/>
      <c r="F662" s="276"/>
      <c r="G662" s="276"/>
      <c r="H662" s="275"/>
      <c r="I662" s="275"/>
      <c r="J662" s="275"/>
      <c r="K662" s="275"/>
      <c r="L662" s="275"/>
      <c r="M662" s="275"/>
      <c r="N662" s="275"/>
    </row>
    <row r="663" spans="1:14">
      <c r="A663" s="274"/>
      <c r="B663" s="275"/>
      <c r="C663" s="276"/>
      <c r="D663" s="276"/>
      <c r="E663" s="276"/>
      <c r="F663" s="276"/>
      <c r="G663" s="276"/>
      <c r="H663" s="275"/>
      <c r="I663" s="275"/>
      <c r="J663" s="275"/>
      <c r="K663" s="275"/>
      <c r="L663" s="275"/>
      <c r="M663" s="275"/>
      <c r="N663" s="275"/>
    </row>
    <row r="664" spans="1:14">
      <c r="A664" s="274"/>
      <c r="B664" s="275"/>
      <c r="C664" s="276"/>
      <c r="D664" s="276"/>
      <c r="E664" s="276"/>
      <c r="F664" s="276"/>
      <c r="G664" s="276"/>
      <c r="H664" s="275"/>
      <c r="I664" s="275"/>
      <c r="J664" s="275"/>
      <c r="K664" s="275"/>
      <c r="L664" s="275"/>
      <c r="M664" s="275"/>
      <c r="N664" s="275"/>
    </row>
    <row r="665" spans="1:14">
      <c r="A665" s="274"/>
      <c r="B665" s="275"/>
      <c r="C665" s="276"/>
      <c r="D665" s="276"/>
      <c r="E665" s="276"/>
      <c r="F665" s="276"/>
      <c r="G665" s="276"/>
      <c r="H665" s="275"/>
      <c r="I665" s="275"/>
      <c r="J665" s="275"/>
      <c r="K665" s="275"/>
      <c r="L665" s="275"/>
      <c r="M665" s="275"/>
      <c r="N665" s="275"/>
    </row>
    <row r="666" spans="1:14">
      <c r="A666" s="274"/>
      <c r="B666" s="275"/>
      <c r="C666" s="276"/>
      <c r="D666" s="276"/>
      <c r="E666" s="276"/>
      <c r="F666" s="276"/>
      <c r="G666" s="276"/>
      <c r="H666" s="275"/>
      <c r="I666" s="275"/>
      <c r="J666" s="275"/>
      <c r="K666" s="275"/>
      <c r="L666" s="275"/>
      <c r="M666" s="275"/>
      <c r="N666" s="275"/>
    </row>
    <row r="667" spans="1:14">
      <c r="A667" s="274"/>
      <c r="B667" s="275"/>
      <c r="C667" s="276"/>
      <c r="D667" s="276"/>
      <c r="E667" s="276"/>
      <c r="F667" s="276"/>
      <c r="G667" s="276"/>
      <c r="H667" s="275"/>
      <c r="I667" s="275"/>
      <c r="J667" s="275"/>
      <c r="K667" s="275"/>
      <c r="L667" s="275"/>
      <c r="M667" s="275"/>
      <c r="N667" s="275"/>
    </row>
    <row r="668" spans="1:14">
      <c r="A668" s="274"/>
      <c r="B668" s="275"/>
      <c r="C668" s="276"/>
      <c r="D668" s="276"/>
      <c r="E668" s="276"/>
      <c r="F668" s="276"/>
      <c r="G668" s="276"/>
      <c r="H668" s="275"/>
      <c r="I668" s="275"/>
      <c r="J668" s="275"/>
      <c r="K668" s="275"/>
      <c r="L668" s="275"/>
      <c r="M668" s="275"/>
      <c r="N668" s="275"/>
    </row>
    <row r="669" spans="1:14">
      <c r="A669" s="274"/>
      <c r="B669" s="275"/>
      <c r="C669" s="276"/>
      <c r="D669" s="276"/>
      <c r="E669" s="276"/>
      <c r="F669" s="276"/>
      <c r="G669" s="276"/>
      <c r="H669" s="275"/>
      <c r="I669" s="275"/>
      <c r="J669" s="275"/>
      <c r="K669" s="275"/>
      <c r="L669" s="275"/>
      <c r="M669" s="275"/>
      <c r="N669" s="275"/>
    </row>
    <row r="670" spans="1:14">
      <c r="A670" s="274"/>
      <c r="B670" s="275"/>
      <c r="C670" s="276"/>
      <c r="D670" s="276"/>
      <c r="E670" s="276"/>
      <c r="F670" s="277"/>
      <c r="G670" s="276"/>
      <c r="H670" s="275"/>
      <c r="I670" s="275"/>
      <c r="J670" s="275"/>
      <c r="K670" s="275"/>
      <c r="L670" s="275"/>
      <c r="M670" s="275"/>
      <c r="N670" s="275"/>
    </row>
    <row r="671" spans="1:14">
      <c r="A671" s="274"/>
      <c r="B671" s="275"/>
      <c r="C671" s="276"/>
      <c r="D671" s="276"/>
      <c r="E671" s="276"/>
      <c r="F671" s="277"/>
      <c r="G671" s="276"/>
      <c r="H671" s="275"/>
      <c r="I671" s="275"/>
      <c r="J671" s="275"/>
      <c r="K671" s="275"/>
      <c r="L671" s="275"/>
      <c r="M671" s="275"/>
      <c r="N671" s="275"/>
    </row>
    <row r="672" spans="1:14">
      <c r="A672" s="274"/>
      <c r="B672" s="275"/>
      <c r="C672" s="276"/>
      <c r="D672" s="276"/>
      <c r="E672" s="276"/>
      <c r="F672" s="276"/>
      <c r="G672" s="276"/>
      <c r="H672" s="275"/>
      <c r="I672" s="275"/>
      <c r="J672" s="275"/>
      <c r="K672" s="275"/>
      <c r="L672" s="275"/>
      <c r="M672" s="275"/>
      <c r="N672" s="275"/>
    </row>
    <row r="673" spans="1:14">
      <c r="A673" s="274"/>
      <c r="B673" s="275"/>
      <c r="C673" s="276"/>
      <c r="D673" s="276"/>
      <c r="E673" s="276"/>
      <c r="F673" s="276"/>
      <c r="G673" s="276"/>
      <c r="H673" s="275"/>
      <c r="I673" s="275"/>
      <c r="J673" s="275"/>
      <c r="K673" s="275"/>
      <c r="L673" s="275"/>
      <c r="M673" s="275"/>
      <c r="N673" s="275"/>
    </row>
    <row r="674" spans="1:14">
      <c r="A674" s="274"/>
      <c r="B674" s="275"/>
      <c r="C674" s="276"/>
      <c r="D674" s="276"/>
      <c r="E674" s="276"/>
      <c r="F674" s="276"/>
      <c r="G674" s="276"/>
      <c r="H674" s="275"/>
      <c r="I674" s="275"/>
      <c r="J674" s="275"/>
      <c r="K674" s="275"/>
      <c r="L674" s="275"/>
      <c r="M674" s="275"/>
      <c r="N674" s="275"/>
    </row>
    <row r="675" spans="1:14">
      <c r="A675" s="274"/>
      <c r="B675" s="275"/>
      <c r="C675" s="276"/>
      <c r="D675" s="276"/>
      <c r="E675" s="276"/>
      <c r="F675" s="276"/>
      <c r="G675" s="276"/>
      <c r="H675" s="275"/>
      <c r="I675" s="275"/>
      <c r="J675" s="275"/>
      <c r="K675" s="275"/>
      <c r="L675" s="275"/>
      <c r="M675" s="275"/>
      <c r="N675" s="275"/>
    </row>
    <row r="676" spans="1:14">
      <c r="A676" s="274"/>
      <c r="B676" s="275"/>
      <c r="C676" s="276"/>
      <c r="D676" s="276"/>
      <c r="E676" s="276"/>
      <c r="F676" s="276"/>
      <c r="G676" s="276"/>
      <c r="H676" s="275"/>
      <c r="I676" s="275"/>
      <c r="J676" s="275"/>
      <c r="K676" s="275"/>
      <c r="L676" s="275"/>
      <c r="M676" s="275"/>
      <c r="N676" s="275"/>
    </row>
    <row r="677" spans="1:14">
      <c r="A677" s="274"/>
      <c r="B677" s="275"/>
      <c r="C677" s="276"/>
      <c r="D677" s="276"/>
      <c r="E677" s="276"/>
      <c r="F677" s="277"/>
      <c r="G677" s="276"/>
      <c r="H677" s="275"/>
      <c r="I677" s="275"/>
      <c r="J677" s="275"/>
      <c r="K677" s="275"/>
      <c r="L677" s="275"/>
      <c r="M677" s="275"/>
      <c r="N677" s="275"/>
    </row>
    <row r="678" spans="1:14">
      <c r="A678" s="274"/>
      <c r="B678" s="275"/>
      <c r="C678" s="276"/>
      <c r="D678" s="276"/>
      <c r="E678" s="276"/>
      <c r="F678" s="277"/>
      <c r="G678" s="276"/>
      <c r="H678" s="275"/>
      <c r="I678" s="275"/>
      <c r="J678" s="275"/>
      <c r="K678" s="275"/>
      <c r="L678" s="275"/>
      <c r="M678" s="275"/>
      <c r="N678" s="275"/>
    </row>
    <row r="679" spans="1:14">
      <c r="A679" s="274"/>
      <c r="B679" s="275"/>
      <c r="C679" s="276"/>
      <c r="D679" s="276"/>
      <c r="E679" s="276"/>
      <c r="F679" s="277"/>
      <c r="G679" s="276"/>
      <c r="H679" s="275"/>
      <c r="I679" s="275"/>
      <c r="J679" s="275"/>
      <c r="K679" s="275"/>
      <c r="L679" s="275"/>
      <c r="M679" s="275"/>
      <c r="N679" s="275"/>
    </row>
    <row r="680" spans="1:14">
      <c r="A680" s="274"/>
      <c r="B680" s="275"/>
      <c r="C680" s="276"/>
      <c r="D680" s="276"/>
      <c r="E680" s="276"/>
      <c r="F680" s="276"/>
      <c r="G680" s="276"/>
      <c r="H680" s="275"/>
      <c r="I680" s="275"/>
      <c r="J680" s="275"/>
      <c r="K680" s="275"/>
      <c r="L680" s="275"/>
      <c r="M680" s="275"/>
      <c r="N680" s="275"/>
    </row>
    <row r="681" spans="1:14">
      <c r="A681" s="274"/>
      <c r="B681" s="275"/>
      <c r="C681" s="276"/>
      <c r="D681" s="276"/>
      <c r="E681" s="276"/>
      <c r="F681" s="276"/>
      <c r="G681" s="276"/>
      <c r="H681" s="275"/>
      <c r="I681" s="275"/>
      <c r="J681" s="275"/>
      <c r="K681" s="275"/>
      <c r="L681" s="275"/>
      <c r="M681" s="275"/>
      <c r="N681" s="275"/>
    </row>
    <row r="682" spans="1:14">
      <c r="A682" s="274"/>
      <c r="B682" s="275"/>
      <c r="C682" s="276"/>
      <c r="D682" s="276"/>
      <c r="E682" s="276"/>
      <c r="F682" s="277"/>
      <c r="G682" s="276"/>
      <c r="H682" s="275"/>
      <c r="I682" s="275"/>
      <c r="J682" s="275"/>
      <c r="K682" s="275"/>
      <c r="L682" s="275"/>
      <c r="M682" s="275"/>
      <c r="N682" s="275"/>
    </row>
    <row r="683" spans="1:14">
      <c r="A683" s="274"/>
      <c r="B683" s="275"/>
      <c r="C683" s="276"/>
      <c r="D683" s="276"/>
      <c r="E683" s="276"/>
      <c r="F683" s="276"/>
      <c r="G683" s="276"/>
      <c r="H683" s="275"/>
      <c r="I683" s="275"/>
      <c r="J683" s="275"/>
      <c r="K683" s="275"/>
      <c r="L683" s="275"/>
      <c r="M683" s="275"/>
      <c r="N683" s="275"/>
    </row>
    <row r="684" spans="1:14">
      <c r="A684" s="274"/>
      <c r="B684" s="275"/>
      <c r="C684" s="276"/>
      <c r="D684" s="276"/>
      <c r="E684" s="276"/>
      <c r="F684" s="276"/>
      <c r="G684" s="276"/>
      <c r="H684" s="275"/>
      <c r="I684" s="275"/>
      <c r="J684" s="275"/>
      <c r="K684" s="275"/>
      <c r="L684" s="275"/>
      <c r="M684" s="275"/>
      <c r="N684" s="275"/>
    </row>
    <row r="685" spans="1:14">
      <c r="A685" s="274"/>
      <c r="B685" s="275"/>
      <c r="C685" s="276"/>
      <c r="D685" s="276"/>
      <c r="E685" s="276"/>
      <c r="F685" s="276"/>
      <c r="G685" s="276"/>
      <c r="H685" s="275"/>
      <c r="I685" s="275"/>
      <c r="J685" s="275"/>
      <c r="K685" s="275"/>
      <c r="L685" s="275"/>
      <c r="M685" s="275"/>
      <c r="N685" s="275"/>
    </row>
    <row r="686" spans="1:14">
      <c r="A686" s="274"/>
      <c r="B686" s="275"/>
      <c r="C686" s="276"/>
      <c r="D686" s="276"/>
      <c r="E686" s="276"/>
      <c r="F686" s="276"/>
      <c r="G686" s="276"/>
      <c r="H686" s="275"/>
      <c r="I686" s="275"/>
      <c r="J686" s="275"/>
      <c r="K686" s="275"/>
      <c r="L686" s="275"/>
      <c r="M686" s="275"/>
      <c r="N686" s="275"/>
    </row>
    <row r="687" spans="1:14">
      <c r="A687" s="274"/>
      <c r="B687" s="275"/>
      <c r="C687" s="276"/>
      <c r="D687" s="276"/>
      <c r="E687" s="276"/>
      <c r="F687" s="277"/>
      <c r="G687" s="276"/>
      <c r="H687" s="275"/>
      <c r="I687" s="275"/>
      <c r="J687" s="275"/>
      <c r="K687" s="275"/>
      <c r="L687" s="275"/>
      <c r="M687" s="275"/>
      <c r="N687" s="275"/>
    </row>
    <row r="688" spans="1:14">
      <c r="A688" s="274"/>
      <c r="B688" s="275"/>
      <c r="C688" s="276"/>
      <c r="D688" s="276"/>
      <c r="E688" s="276"/>
      <c r="F688" s="276"/>
      <c r="G688" s="276"/>
      <c r="H688" s="275"/>
      <c r="I688" s="275"/>
      <c r="J688" s="275"/>
      <c r="K688" s="275"/>
      <c r="L688" s="275"/>
      <c r="M688" s="275"/>
      <c r="N688" s="275"/>
    </row>
    <row r="689" spans="1:14">
      <c r="A689" s="274"/>
      <c r="B689" s="275"/>
      <c r="C689" s="276"/>
      <c r="D689" s="276"/>
      <c r="E689" s="276"/>
      <c r="F689" s="277"/>
      <c r="G689" s="276"/>
      <c r="H689" s="275"/>
      <c r="I689" s="275"/>
      <c r="J689" s="275"/>
      <c r="K689" s="275"/>
      <c r="L689" s="275"/>
      <c r="M689" s="275"/>
      <c r="N689" s="275"/>
    </row>
    <row r="690" spans="1:14">
      <c r="A690" s="274"/>
      <c r="B690" s="275"/>
      <c r="C690" s="276"/>
      <c r="D690" s="276"/>
      <c r="E690" s="276"/>
      <c r="F690" s="276"/>
      <c r="G690" s="276"/>
      <c r="H690" s="275"/>
      <c r="I690" s="275"/>
      <c r="J690" s="275"/>
      <c r="K690" s="275"/>
      <c r="L690" s="275"/>
      <c r="M690" s="275"/>
      <c r="N690" s="275"/>
    </row>
    <row r="691" spans="1:14">
      <c r="A691" s="274"/>
      <c r="B691" s="275"/>
      <c r="C691" s="276"/>
      <c r="D691" s="276"/>
      <c r="E691" s="276"/>
      <c r="F691" s="276"/>
      <c r="G691" s="276"/>
      <c r="H691" s="275"/>
      <c r="I691" s="275"/>
      <c r="J691" s="275"/>
      <c r="K691" s="275"/>
      <c r="L691" s="275"/>
      <c r="M691" s="275"/>
      <c r="N691" s="275"/>
    </row>
    <row r="692" spans="1:14">
      <c r="A692" s="274"/>
      <c r="B692" s="275"/>
      <c r="C692" s="276"/>
      <c r="D692" s="276"/>
      <c r="E692" s="276"/>
      <c r="F692" s="277"/>
      <c r="G692" s="276"/>
      <c r="H692" s="275"/>
      <c r="I692" s="275"/>
      <c r="J692" s="275"/>
      <c r="K692" s="275"/>
      <c r="L692" s="275"/>
      <c r="M692" s="275"/>
      <c r="N692" s="275"/>
    </row>
    <row r="693" spans="1:14">
      <c r="A693" s="274"/>
      <c r="B693" s="275"/>
      <c r="C693" s="276"/>
      <c r="D693" s="276"/>
      <c r="E693" s="276"/>
      <c r="F693" s="277"/>
      <c r="G693" s="276"/>
      <c r="H693" s="275"/>
      <c r="I693" s="275"/>
      <c r="J693" s="275"/>
      <c r="K693" s="275"/>
      <c r="L693" s="275"/>
      <c r="M693" s="275"/>
      <c r="N693" s="275"/>
    </row>
    <row r="694" spans="1:14">
      <c r="A694" s="274"/>
      <c r="B694" s="275"/>
      <c r="C694" s="276"/>
      <c r="D694" s="276"/>
      <c r="E694" s="276"/>
      <c r="F694" s="276"/>
      <c r="G694" s="276"/>
      <c r="H694" s="275"/>
      <c r="I694" s="275"/>
      <c r="J694" s="275"/>
      <c r="K694" s="275"/>
      <c r="L694" s="275"/>
      <c r="M694" s="275"/>
      <c r="N694" s="275"/>
    </row>
    <row r="695" spans="1:14">
      <c r="A695" s="274"/>
      <c r="B695" s="275"/>
      <c r="C695" s="276"/>
      <c r="D695" s="276"/>
      <c r="E695" s="276"/>
      <c r="F695" s="276"/>
      <c r="G695" s="276"/>
      <c r="H695" s="275"/>
      <c r="I695" s="275"/>
      <c r="J695" s="275"/>
      <c r="K695" s="275"/>
      <c r="L695" s="275"/>
      <c r="M695" s="275"/>
      <c r="N695" s="275"/>
    </row>
    <row r="696" spans="1:14">
      <c r="A696" s="274"/>
      <c r="B696" s="275"/>
      <c r="C696" s="276"/>
      <c r="D696" s="276"/>
      <c r="E696" s="276"/>
      <c r="F696" s="276"/>
      <c r="G696" s="276"/>
      <c r="H696" s="275"/>
      <c r="I696" s="275"/>
      <c r="J696" s="275"/>
      <c r="K696" s="275"/>
      <c r="L696" s="275"/>
      <c r="M696" s="275"/>
      <c r="N696" s="275"/>
    </row>
    <row r="697" spans="1:14">
      <c r="A697" s="274"/>
      <c r="B697" s="275"/>
      <c r="C697" s="276"/>
      <c r="D697" s="276"/>
      <c r="E697" s="276"/>
      <c r="F697" s="276"/>
      <c r="G697" s="276"/>
      <c r="H697" s="275"/>
      <c r="I697" s="275"/>
      <c r="J697" s="275"/>
      <c r="K697" s="275"/>
      <c r="L697" s="275"/>
      <c r="M697" s="275"/>
      <c r="N697" s="275"/>
    </row>
    <row r="698" spans="1:14">
      <c r="A698" s="274"/>
      <c r="B698" s="275"/>
      <c r="C698" s="276"/>
      <c r="D698" s="276"/>
      <c r="E698" s="276"/>
      <c r="F698" s="276"/>
      <c r="G698" s="276"/>
      <c r="H698" s="275"/>
      <c r="I698" s="275"/>
      <c r="J698" s="275"/>
      <c r="K698" s="275"/>
      <c r="L698" s="275"/>
      <c r="M698" s="275"/>
      <c r="N698" s="275"/>
    </row>
    <row r="699" spans="1:14">
      <c r="A699" s="274"/>
      <c r="B699" s="275"/>
      <c r="C699" s="276"/>
      <c r="D699" s="276"/>
      <c r="E699" s="276"/>
      <c r="F699" s="276"/>
      <c r="G699" s="276"/>
      <c r="H699" s="275"/>
      <c r="I699" s="275"/>
      <c r="J699" s="275"/>
      <c r="K699" s="275"/>
      <c r="L699" s="275"/>
      <c r="M699" s="275"/>
      <c r="N699" s="275"/>
    </row>
    <row r="700" spans="1:14">
      <c r="A700" s="274"/>
      <c r="B700" s="275"/>
      <c r="C700" s="276"/>
      <c r="D700" s="276"/>
      <c r="E700" s="276"/>
      <c r="F700" s="276"/>
      <c r="G700" s="276"/>
      <c r="H700" s="275"/>
      <c r="I700" s="275"/>
      <c r="J700" s="275"/>
      <c r="K700" s="275"/>
      <c r="L700" s="275"/>
      <c r="M700" s="275"/>
      <c r="N700" s="275"/>
    </row>
    <row r="701" spans="1:14">
      <c r="A701" s="274"/>
      <c r="B701" s="275"/>
      <c r="C701" s="276"/>
      <c r="D701" s="276"/>
      <c r="E701" s="276"/>
      <c r="F701" s="276"/>
      <c r="G701" s="276"/>
      <c r="H701" s="275"/>
      <c r="I701" s="275"/>
      <c r="J701" s="275"/>
      <c r="K701" s="275"/>
      <c r="L701" s="275"/>
      <c r="M701" s="275"/>
      <c r="N701" s="275"/>
    </row>
    <row r="702" spans="1:14">
      <c r="A702" s="274"/>
      <c r="B702" s="275"/>
      <c r="C702" s="276"/>
      <c r="D702" s="276"/>
      <c r="E702" s="276"/>
      <c r="F702" s="276"/>
      <c r="G702" s="276"/>
      <c r="H702" s="275"/>
      <c r="I702" s="275"/>
      <c r="J702" s="275"/>
      <c r="K702" s="275"/>
      <c r="L702" s="275"/>
      <c r="M702" s="275"/>
      <c r="N702" s="275"/>
    </row>
    <row r="703" spans="1:14">
      <c r="A703" s="274"/>
      <c r="B703" s="275"/>
      <c r="C703" s="276"/>
      <c r="D703" s="276"/>
      <c r="E703" s="276"/>
      <c r="F703" s="277"/>
      <c r="G703" s="276"/>
      <c r="H703" s="275"/>
      <c r="I703" s="275"/>
      <c r="J703" s="275"/>
      <c r="K703" s="275"/>
      <c r="L703" s="275"/>
      <c r="M703" s="275"/>
      <c r="N703" s="275"/>
    </row>
    <row r="704" spans="1:14">
      <c r="A704" s="274"/>
      <c r="B704" s="275"/>
      <c r="C704" s="276"/>
      <c r="D704" s="276"/>
      <c r="E704" s="276"/>
      <c r="F704" s="276"/>
      <c r="G704" s="276"/>
      <c r="H704" s="275"/>
      <c r="I704" s="275"/>
      <c r="J704" s="275"/>
      <c r="K704" s="275"/>
      <c r="L704" s="275"/>
      <c r="M704" s="275"/>
      <c r="N704" s="275"/>
    </row>
    <row r="705" spans="1:14">
      <c r="A705" s="274"/>
      <c r="B705" s="275"/>
      <c r="C705" s="276"/>
      <c r="D705" s="276"/>
      <c r="E705" s="276"/>
      <c r="F705" s="276"/>
      <c r="G705" s="276"/>
      <c r="H705" s="275"/>
      <c r="I705" s="275"/>
      <c r="J705" s="275"/>
      <c r="K705" s="275"/>
      <c r="L705" s="275"/>
      <c r="M705" s="275"/>
      <c r="N705" s="275"/>
    </row>
    <row r="706" spans="1:14">
      <c r="A706" s="274"/>
      <c r="B706" s="275"/>
      <c r="C706" s="276"/>
      <c r="D706" s="276"/>
      <c r="E706" s="276"/>
      <c r="F706" s="276"/>
      <c r="G706" s="276"/>
      <c r="H706" s="275"/>
      <c r="I706" s="275"/>
      <c r="J706" s="275"/>
      <c r="K706" s="275"/>
      <c r="L706" s="275"/>
      <c r="M706" s="275"/>
      <c r="N706" s="275"/>
    </row>
    <row r="707" spans="1:14">
      <c r="A707" s="274"/>
      <c r="B707" s="275"/>
      <c r="C707" s="276"/>
      <c r="D707" s="276"/>
      <c r="E707" s="276"/>
      <c r="F707" s="277"/>
      <c r="G707" s="276"/>
      <c r="H707" s="275"/>
      <c r="I707" s="275"/>
      <c r="J707" s="275"/>
      <c r="K707" s="275"/>
      <c r="L707" s="275"/>
      <c r="M707" s="275"/>
      <c r="N707" s="275"/>
    </row>
    <row r="708" spans="1:14">
      <c r="A708" s="274"/>
      <c r="B708" s="275"/>
      <c r="C708" s="276"/>
      <c r="D708" s="276"/>
      <c r="E708" s="276"/>
      <c r="F708" s="277"/>
      <c r="G708" s="276"/>
      <c r="H708" s="275"/>
      <c r="I708" s="275"/>
      <c r="J708" s="275"/>
      <c r="K708" s="275"/>
      <c r="L708" s="275"/>
      <c r="M708" s="275"/>
      <c r="N708" s="275"/>
    </row>
    <row r="709" spans="1:14">
      <c r="A709" s="274"/>
      <c r="B709" s="275"/>
      <c r="C709" s="276"/>
      <c r="D709" s="276"/>
      <c r="E709" s="276"/>
      <c r="F709" s="276"/>
      <c r="G709" s="276"/>
      <c r="H709" s="275"/>
      <c r="I709" s="275"/>
      <c r="J709" s="275"/>
      <c r="K709" s="275"/>
      <c r="L709" s="275"/>
      <c r="M709" s="275"/>
      <c r="N709" s="275"/>
    </row>
    <row r="710" spans="1:14">
      <c r="A710" s="274"/>
      <c r="B710" s="275"/>
      <c r="C710" s="276"/>
      <c r="D710" s="276"/>
      <c r="E710" s="276"/>
      <c r="F710" s="276"/>
      <c r="G710" s="276"/>
      <c r="H710" s="275"/>
      <c r="I710" s="275"/>
      <c r="J710" s="275"/>
      <c r="K710" s="275"/>
      <c r="L710" s="275"/>
      <c r="M710" s="275"/>
      <c r="N710" s="275"/>
    </row>
    <row r="711" spans="1:14">
      <c r="A711" s="274"/>
      <c r="B711" s="275"/>
      <c r="C711" s="276"/>
      <c r="D711" s="276"/>
      <c r="E711" s="276"/>
      <c r="F711" s="276"/>
      <c r="G711" s="276"/>
      <c r="H711" s="275"/>
      <c r="I711" s="275"/>
      <c r="J711" s="275"/>
      <c r="K711" s="275"/>
      <c r="L711" s="275"/>
      <c r="M711" s="275"/>
      <c r="N711" s="275"/>
    </row>
    <row r="712" spans="1:14">
      <c r="A712" s="274"/>
      <c r="B712" s="275"/>
      <c r="C712" s="276"/>
      <c r="D712" s="276"/>
      <c r="E712" s="276"/>
      <c r="F712" s="276"/>
      <c r="G712" s="276"/>
      <c r="H712" s="275"/>
      <c r="I712" s="275"/>
      <c r="J712" s="275"/>
      <c r="K712" s="275"/>
      <c r="L712" s="275"/>
      <c r="M712" s="275"/>
      <c r="N712" s="275"/>
    </row>
    <row r="713" spans="1:14">
      <c r="A713" s="274"/>
      <c r="B713" s="275"/>
      <c r="C713" s="276"/>
      <c r="D713" s="276"/>
      <c r="E713" s="276"/>
      <c r="F713" s="276"/>
      <c r="G713" s="276"/>
      <c r="H713" s="275"/>
      <c r="I713" s="275"/>
      <c r="J713" s="275"/>
      <c r="K713" s="275"/>
      <c r="L713" s="275"/>
      <c r="M713" s="275"/>
      <c r="N713" s="275"/>
    </row>
    <row r="714" spans="1:14">
      <c r="A714" s="274"/>
      <c r="B714" s="275"/>
      <c r="C714" s="276"/>
      <c r="D714" s="276"/>
      <c r="E714" s="276"/>
      <c r="F714" s="276"/>
      <c r="G714" s="276"/>
      <c r="H714" s="275"/>
      <c r="I714" s="275"/>
      <c r="J714" s="275"/>
      <c r="K714" s="275"/>
      <c r="L714" s="275"/>
      <c r="M714" s="275"/>
      <c r="N714" s="275"/>
    </row>
    <row r="715" spans="1:14">
      <c r="A715" s="274"/>
      <c r="B715" s="275"/>
      <c r="C715" s="276"/>
      <c r="D715" s="276"/>
      <c r="E715" s="276"/>
      <c r="F715" s="276"/>
      <c r="G715" s="276"/>
      <c r="H715" s="275"/>
      <c r="I715" s="275"/>
      <c r="J715" s="275"/>
      <c r="K715" s="275"/>
      <c r="L715" s="275"/>
      <c r="M715" s="275"/>
      <c r="N715" s="275"/>
    </row>
    <row r="716" spans="1:14">
      <c r="A716" s="274"/>
      <c r="B716" s="275"/>
      <c r="C716" s="276"/>
      <c r="D716" s="276"/>
      <c r="E716" s="276"/>
      <c r="F716" s="276"/>
      <c r="G716" s="276"/>
      <c r="H716" s="275"/>
      <c r="I716" s="275"/>
      <c r="J716" s="275"/>
      <c r="K716" s="275"/>
      <c r="L716" s="275"/>
      <c r="M716" s="275"/>
      <c r="N716" s="275"/>
    </row>
    <row r="717" spans="1:14">
      <c r="A717" s="274"/>
      <c r="B717" s="275"/>
      <c r="C717" s="276"/>
      <c r="D717" s="276"/>
      <c r="E717" s="276"/>
      <c r="F717" s="276"/>
      <c r="G717" s="276"/>
      <c r="H717" s="275"/>
      <c r="I717" s="275"/>
      <c r="J717" s="275"/>
      <c r="K717" s="275"/>
      <c r="L717" s="275"/>
      <c r="M717" s="275"/>
      <c r="N717" s="275"/>
    </row>
    <row r="718" spans="1:14">
      <c r="A718" s="274"/>
      <c r="B718" s="275"/>
      <c r="C718" s="276"/>
      <c r="D718" s="276"/>
      <c r="E718" s="276"/>
      <c r="F718" s="276"/>
      <c r="G718" s="276"/>
      <c r="H718" s="275"/>
      <c r="I718" s="275"/>
      <c r="J718" s="275"/>
      <c r="K718" s="275"/>
      <c r="L718" s="275"/>
      <c r="M718" s="275"/>
      <c r="N718" s="275"/>
    </row>
    <row r="719" spans="1:14">
      <c r="A719" s="274"/>
      <c r="B719" s="275"/>
      <c r="C719" s="276"/>
      <c r="D719" s="276"/>
      <c r="E719" s="276"/>
      <c r="F719" s="277"/>
      <c r="G719" s="276"/>
      <c r="H719" s="275"/>
      <c r="I719" s="275"/>
      <c r="J719" s="275"/>
      <c r="K719" s="275"/>
      <c r="L719" s="275"/>
      <c r="M719" s="275"/>
      <c r="N719" s="275"/>
    </row>
    <row r="720" spans="1:14">
      <c r="A720" s="274"/>
      <c r="B720" s="275"/>
      <c r="C720" s="276"/>
      <c r="D720" s="276"/>
      <c r="E720" s="276"/>
      <c r="F720" s="277"/>
      <c r="G720" s="276"/>
      <c r="H720" s="275"/>
      <c r="I720" s="275"/>
      <c r="J720" s="275"/>
      <c r="K720" s="275"/>
      <c r="L720" s="275"/>
      <c r="M720" s="275"/>
      <c r="N720" s="275"/>
    </row>
    <row r="721" spans="1:14">
      <c r="A721" s="274"/>
      <c r="B721" s="275"/>
      <c r="C721" s="276"/>
      <c r="D721" s="276"/>
      <c r="E721" s="276"/>
      <c r="F721" s="276"/>
      <c r="G721" s="276"/>
      <c r="H721" s="275"/>
      <c r="I721" s="275"/>
      <c r="J721" s="275"/>
      <c r="K721" s="275"/>
      <c r="L721" s="275"/>
      <c r="M721" s="275"/>
      <c r="N721" s="275"/>
    </row>
    <row r="722" spans="1:14">
      <c r="A722" s="274"/>
      <c r="B722" s="275"/>
      <c r="C722" s="276"/>
      <c r="D722" s="276"/>
      <c r="E722" s="276"/>
      <c r="F722" s="276"/>
      <c r="G722" s="276"/>
      <c r="H722" s="275"/>
      <c r="I722" s="275"/>
      <c r="J722" s="275"/>
      <c r="K722" s="275"/>
      <c r="L722" s="275"/>
      <c r="M722" s="275"/>
      <c r="N722" s="275"/>
    </row>
    <row r="723" spans="1:14">
      <c r="A723" s="274"/>
      <c r="B723" s="275"/>
      <c r="C723" s="276"/>
      <c r="D723" s="276"/>
      <c r="E723" s="276"/>
      <c r="F723" s="276"/>
      <c r="G723" s="276"/>
      <c r="H723" s="275"/>
      <c r="I723" s="275"/>
      <c r="J723" s="275"/>
      <c r="K723" s="275"/>
      <c r="L723" s="275"/>
      <c r="M723" s="275"/>
      <c r="N723" s="275"/>
    </row>
    <row r="724" spans="1:14">
      <c r="A724" s="274"/>
      <c r="B724" s="275"/>
      <c r="C724" s="276"/>
      <c r="D724" s="276"/>
      <c r="E724" s="276"/>
      <c r="F724" s="276"/>
      <c r="G724" s="276"/>
      <c r="H724" s="275"/>
      <c r="I724" s="275"/>
      <c r="J724" s="275"/>
      <c r="K724" s="275"/>
      <c r="L724" s="275"/>
      <c r="M724" s="275"/>
      <c r="N724" s="275"/>
    </row>
    <row r="725" spans="1:14">
      <c r="A725" s="274"/>
      <c r="B725" s="275"/>
      <c r="C725" s="276"/>
      <c r="D725" s="276"/>
      <c r="E725" s="276"/>
      <c r="F725" s="276"/>
      <c r="G725" s="276"/>
      <c r="H725" s="275"/>
      <c r="I725" s="275"/>
      <c r="J725" s="275"/>
      <c r="K725" s="275"/>
      <c r="L725" s="275"/>
      <c r="M725" s="275"/>
      <c r="N725" s="275"/>
    </row>
    <row r="726" spans="1:14">
      <c r="A726" s="274"/>
      <c r="B726" s="275"/>
      <c r="C726" s="276"/>
      <c r="D726" s="276"/>
      <c r="E726" s="276"/>
      <c r="F726" s="277"/>
      <c r="G726" s="276"/>
      <c r="H726" s="275"/>
      <c r="I726" s="275"/>
      <c r="J726" s="275"/>
      <c r="K726" s="275"/>
      <c r="L726" s="275"/>
      <c r="M726" s="275"/>
      <c r="N726" s="275"/>
    </row>
    <row r="727" spans="1:14">
      <c r="A727" s="274"/>
      <c r="B727" s="275"/>
      <c r="C727" s="276"/>
      <c r="D727" s="276"/>
      <c r="E727" s="276"/>
      <c r="F727" s="277"/>
      <c r="G727" s="276"/>
      <c r="H727" s="275"/>
      <c r="I727" s="275"/>
      <c r="J727" s="275"/>
      <c r="K727" s="275"/>
      <c r="L727" s="275"/>
      <c r="M727" s="275"/>
      <c r="N727" s="275"/>
    </row>
    <row r="728" spans="1:14">
      <c r="A728" s="274"/>
      <c r="B728" s="275"/>
      <c r="C728" s="276"/>
      <c r="D728" s="276"/>
      <c r="E728" s="276"/>
      <c r="F728" s="277"/>
      <c r="G728" s="276"/>
      <c r="H728" s="275"/>
      <c r="I728" s="275"/>
      <c r="J728" s="275"/>
      <c r="K728" s="275"/>
      <c r="L728" s="275"/>
      <c r="M728" s="275"/>
      <c r="N728" s="275"/>
    </row>
    <row r="729" spans="1:14">
      <c r="A729" s="274"/>
      <c r="B729" s="275"/>
      <c r="C729" s="276"/>
      <c r="D729" s="276"/>
      <c r="E729" s="276"/>
      <c r="F729" s="276"/>
      <c r="G729" s="276"/>
      <c r="H729" s="275"/>
      <c r="I729" s="275"/>
      <c r="J729" s="275"/>
      <c r="K729" s="275"/>
      <c r="L729" s="275"/>
      <c r="M729" s="275"/>
      <c r="N729" s="275"/>
    </row>
    <row r="730" spans="1:14">
      <c r="A730" s="274"/>
      <c r="B730" s="275"/>
      <c r="C730" s="276"/>
      <c r="D730" s="276"/>
      <c r="E730" s="276"/>
      <c r="F730" s="276"/>
      <c r="G730" s="276"/>
      <c r="H730" s="275"/>
      <c r="I730" s="275"/>
      <c r="J730" s="275"/>
      <c r="K730" s="275"/>
      <c r="L730" s="275"/>
      <c r="M730" s="275"/>
      <c r="N730" s="275"/>
    </row>
    <row r="731" spans="1:14">
      <c r="A731" s="274"/>
      <c r="B731" s="275"/>
      <c r="C731" s="276"/>
      <c r="D731" s="276"/>
      <c r="E731" s="276"/>
      <c r="F731" s="276"/>
      <c r="G731" s="276"/>
      <c r="H731" s="275"/>
      <c r="I731" s="275"/>
      <c r="J731" s="275"/>
      <c r="K731" s="275"/>
      <c r="L731" s="275"/>
      <c r="M731" s="275"/>
      <c r="N731" s="275"/>
    </row>
    <row r="732" spans="1:14">
      <c r="A732" s="274"/>
      <c r="B732" s="275"/>
      <c r="C732" s="276"/>
      <c r="D732" s="276"/>
      <c r="E732" s="276"/>
      <c r="F732" s="276"/>
      <c r="G732" s="276"/>
      <c r="H732" s="275"/>
      <c r="I732" s="275"/>
      <c r="J732" s="275"/>
      <c r="K732" s="275"/>
      <c r="L732" s="275"/>
      <c r="M732" s="275"/>
      <c r="N732" s="275"/>
    </row>
    <row r="733" spans="1:14">
      <c r="A733" s="274"/>
      <c r="B733" s="275"/>
      <c r="C733" s="276"/>
      <c r="D733" s="276"/>
      <c r="E733" s="276"/>
      <c r="F733" s="276"/>
      <c r="G733" s="276"/>
      <c r="H733" s="275"/>
      <c r="I733" s="275"/>
      <c r="J733" s="275"/>
      <c r="K733" s="275"/>
      <c r="L733" s="275"/>
      <c r="M733" s="275"/>
      <c r="N733" s="275"/>
    </row>
    <row r="734" spans="1:14">
      <c r="A734" s="274"/>
      <c r="B734" s="275"/>
      <c r="C734" s="276"/>
      <c r="D734" s="276"/>
      <c r="E734" s="276"/>
      <c r="F734" s="276"/>
      <c r="G734" s="276"/>
      <c r="H734" s="275"/>
      <c r="I734" s="275"/>
      <c r="J734" s="275"/>
      <c r="K734" s="275"/>
      <c r="L734" s="275"/>
      <c r="M734" s="275"/>
      <c r="N734" s="275"/>
    </row>
    <row r="735" spans="1:14">
      <c r="A735" s="274"/>
      <c r="B735" s="275"/>
      <c r="C735" s="276"/>
      <c r="D735" s="276"/>
      <c r="E735" s="276"/>
      <c r="F735" s="276"/>
      <c r="G735" s="276"/>
      <c r="H735" s="275"/>
      <c r="I735" s="275"/>
      <c r="J735" s="275"/>
      <c r="K735" s="275"/>
      <c r="L735" s="275"/>
      <c r="M735" s="275"/>
      <c r="N735" s="275"/>
    </row>
    <row r="736" spans="1:14">
      <c r="A736" s="274"/>
      <c r="B736" s="275"/>
      <c r="C736" s="276"/>
      <c r="D736" s="276"/>
      <c r="E736" s="276"/>
      <c r="F736" s="276"/>
      <c r="G736" s="276"/>
      <c r="H736" s="275"/>
      <c r="I736" s="275"/>
      <c r="J736" s="275"/>
      <c r="K736" s="275"/>
      <c r="L736" s="275"/>
      <c r="M736" s="275"/>
      <c r="N736" s="275"/>
    </row>
    <row r="737" spans="1:14">
      <c r="A737" s="274"/>
      <c r="B737" s="275"/>
      <c r="C737" s="276"/>
      <c r="D737" s="276"/>
      <c r="E737" s="276"/>
      <c r="F737" s="276"/>
      <c r="G737" s="276"/>
      <c r="H737" s="275"/>
      <c r="I737" s="275"/>
      <c r="J737" s="275"/>
      <c r="K737" s="275"/>
      <c r="L737" s="275"/>
      <c r="M737" s="275"/>
      <c r="N737" s="275"/>
    </row>
    <row r="738" spans="1:14">
      <c r="A738" s="274"/>
      <c r="B738" s="275"/>
      <c r="C738" s="276"/>
      <c r="D738" s="276"/>
      <c r="E738" s="276"/>
      <c r="F738" s="276"/>
      <c r="G738" s="276"/>
      <c r="H738" s="275"/>
      <c r="I738" s="275"/>
      <c r="J738" s="275"/>
      <c r="K738" s="275"/>
      <c r="L738" s="275"/>
      <c r="M738" s="275"/>
      <c r="N738" s="275"/>
    </row>
    <row r="739" spans="1:14">
      <c r="A739" s="274"/>
      <c r="B739" s="275"/>
      <c r="C739" s="276"/>
      <c r="D739" s="276"/>
      <c r="E739" s="276"/>
      <c r="F739" s="276"/>
      <c r="G739" s="276"/>
      <c r="H739" s="275"/>
      <c r="I739" s="275"/>
      <c r="J739" s="275"/>
      <c r="K739" s="275"/>
      <c r="L739" s="275"/>
      <c r="M739" s="275"/>
      <c r="N739" s="275"/>
    </row>
    <row r="740" spans="1:14">
      <c r="A740" s="274"/>
      <c r="B740" s="275"/>
      <c r="C740" s="276"/>
      <c r="D740" s="276"/>
      <c r="E740" s="276"/>
      <c r="F740" s="276"/>
      <c r="G740" s="276"/>
      <c r="H740" s="275"/>
      <c r="I740" s="275"/>
      <c r="J740" s="275"/>
      <c r="K740" s="275"/>
      <c r="L740" s="275"/>
      <c r="M740" s="275"/>
      <c r="N740" s="275"/>
    </row>
    <row r="741" spans="1:14">
      <c r="A741" s="274"/>
      <c r="B741" s="275"/>
      <c r="C741" s="276"/>
      <c r="D741" s="276"/>
      <c r="E741" s="276"/>
      <c r="F741" s="276"/>
      <c r="G741" s="276"/>
      <c r="H741" s="275"/>
      <c r="I741" s="275"/>
      <c r="J741" s="275"/>
      <c r="K741" s="275"/>
      <c r="L741" s="275"/>
      <c r="M741" s="275"/>
      <c r="N741" s="275"/>
    </row>
    <row r="742" spans="1:14">
      <c r="A742" s="274"/>
      <c r="B742" s="275"/>
      <c r="C742" s="276"/>
      <c r="D742" s="276"/>
      <c r="E742" s="276"/>
      <c r="F742" s="276"/>
      <c r="G742" s="276"/>
      <c r="H742" s="275"/>
      <c r="I742" s="275"/>
      <c r="J742" s="275"/>
      <c r="K742" s="275"/>
      <c r="L742" s="275"/>
      <c r="M742" s="275"/>
      <c r="N742" s="275"/>
    </row>
    <row r="743" spans="1:14">
      <c r="A743" s="274"/>
      <c r="B743" s="275"/>
      <c r="C743" s="276"/>
      <c r="D743" s="276"/>
      <c r="E743" s="276"/>
      <c r="F743" s="276"/>
      <c r="G743" s="276"/>
      <c r="H743" s="275"/>
      <c r="I743" s="275"/>
      <c r="J743" s="275"/>
      <c r="K743" s="275"/>
      <c r="L743" s="275"/>
      <c r="M743" s="275"/>
      <c r="N743" s="275"/>
    </row>
    <row r="744" spans="1:14">
      <c r="A744" s="274"/>
      <c r="B744" s="275"/>
      <c r="C744" s="276"/>
      <c r="D744" s="276"/>
      <c r="E744" s="276"/>
      <c r="F744" s="276"/>
      <c r="G744" s="276"/>
      <c r="H744" s="275"/>
      <c r="I744" s="275"/>
      <c r="J744" s="275"/>
      <c r="K744" s="275"/>
      <c r="L744" s="275"/>
      <c r="M744" s="275"/>
      <c r="N744" s="275"/>
    </row>
    <row r="745" spans="1:14">
      <c r="A745" s="274"/>
      <c r="B745" s="275"/>
      <c r="C745" s="276"/>
      <c r="D745" s="276"/>
      <c r="E745" s="276"/>
      <c r="F745" s="276"/>
      <c r="G745" s="276"/>
      <c r="H745" s="275"/>
      <c r="I745" s="275"/>
      <c r="J745" s="275"/>
      <c r="K745" s="275"/>
      <c r="L745" s="275"/>
      <c r="M745" s="275"/>
      <c r="N745" s="275"/>
    </row>
    <row r="746" spans="1:14">
      <c r="A746" s="274"/>
      <c r="B746" s="275"/>
      <c r="C746" s="276"/>
      <c r="D746" s="276"/>
      <c r="E746" s="276"/>
      <c r="F746" s="276"/>
      <c r="G746" s="276"/>
      <c r="H746" s="275"/>
      <c r="I746" s="275"/>
      <c r="J746" s="275"/>
      <c r="K746" s="275"/>
      <c r="L746" s="275"/>
      <c r="M746" s="275"/>
      <c r="N746" s="275"/>
    </row>
    <row r="747" spans="1:14">
      <c r="A747" s="274"/>
      <c r="B747" s="275"/>
      <c r="C747" s="276"/>
      <c r="D747" s="276"/>
      <c r="E747" s="276"/>
      <c r="F747" s="277"/>
      <c r="G747" s="276"/>
      <c r="H747" s="275"/>
      <c r="I747" s="275"/>
      <c r="J747" s="275"/>
      <c r="K747" s="275"/>
      <c r="L747" s="275"/>
      <c r="M747" s="275"/>
      <c r="N747" s="275"/>
    </row>
    <row r="748" spans="1:14">
      <c r="A748" s="274"/>
      <c r="B748" s="275"/>
      <c r="C748" s="276"/>
      <c r="D748" s="276"/>
      <c r="E748" s="276"/>
      <c r="F748" s="276"/>
      <c r="G748" s="276"/>
      <c r="H748" s="275"/>
      <c r="I748" s="275"/>
      <c r="J748" s="275"/>
      <c r="K748" s="275"/>
      <c r="L748" s="275"/>
      <c r="M748" s="275"/>
      <c r="N748" s="275"/>
    </row>
    <row r="749" spans="1:14">
      <c r="A749" s="274"/>
      <c r="B749" s="275"/>
      <c r="C749" s="276"/>
      <c r="D749" s="276"/>
      <c r="E749" s="276"/>
      <c r="F749" s="276"/>
      <c r="G749" s="276"/>
      <c r="H749" s="275"/>
      <c r="I749" s="275"/>
      <c r="J749" s="275"/>
      <c r="K749" s="275"/>
      <c r="L749" s="275"/>
      <c r="M749" s="275"/>
      <c r="N749" s="275"/>
    </row>
    <row r="750" spans="1:14">
      <c r="A750" s="274"/>
      <c r="B750" s="275"/>
      <c r="C750" s="276"/>
      <c r="D750" s="276"/>
      <c r="E750" s="276"/>
      <c r="F750" s="276"/>
      <c r="G750" s="276"/>
      <c r="H750" s="275"/>
      <c r="I750" s="275"/>
      <c r="J750" s="275"/>
      <c r="K750" s="275"/>
      <c r="L750" s="275"/>
      <c r="M750" s="275"/>
      <c r="N750" s="275"/>
    </row>
    <row r="751" spans="1:14">
      <c r="A751" s="274"/>
      <c r="B751" s="275"/>
      <c r="C751" s="276"/>
      <c r="D751" s="276"/>
      <c r="E751" s="276"/>
      <c r="F751" s="276"/>
      <c r="G751" s="276"/>
      <c r="H751" s="275"/>
      <c r="I751" s="275"/>
      <c r="J751" s="275"/>
      <c r="K751" s="275"/>
      <c r="L751" s="275"/>
      <c r="M751" s="275"/>
      <c r="N751" s="275"/>
    </row>
    <row r="752" spans="1:14">
      <c r="A752" s="274"/>
      <c r="B752" s="275"/>
      <c r="C752" s="276"/>
      <c r="D752" s="276"/>
      <c r="E752" s="276"/>
      <c r="F752" s="276"/>
      <c r="G752" s="276"/>
      <c r="H752" s="275"/>
      <c r="I752" s="275"/>
      <c r="J752" s="275"/>
      <c r="K752" s="275"/>
      <c r="L752" s="275"/>
      <c r="M752" s="275"/>
      <c r="N752" s="275"/>
    </row>
    <row r="753" spans="1:14">
      <c r="A753" s="274"/>
      <c r="B753" s="275"/>
      <c r="C753" s="276"/>
      <c r="D753" s="276"/>
      <c r="E753" s="276"/>
      <c r="F753" s="276"/>
      <c r="G753" s="276"/>
      <c r="H753" s="275"/>
      <c r="I753" s="275"/>
      <c r="J753" s="275"/>
      <c r="K753" s="275"/>
      <c r="L753" s="275"/>
      <c r="M753" s="275"/>
      <c r="N753" s="275"/>
    </row>
    <row r="754" spans="1:14">
      <c r="A754" s="274"/>
      <c r="B754" s="275"/>
      <c r="C754" s="276"/>
      <c r="D754" s="276"/>
      <c r="E754" s="276"/>
      <c r="F754" s="276"/>
      <c r="G754" s="276"/>
      <c r="H754" s="275"/>
      <c r="I754" s="275"/>
      <c r="J754" s="275"/>
      <c r="K754" s="275"/>
      <c r="L754" s="275"/>
      <c r="M754" s="275"/>
      <c r="N754" s="275"/>
    </row>
    <row r="755" spans="1:14">
      <c r="A755" s="274"/>
      <c r="B755" s="275"/>
      <c r="C755" s="276"/>
      <c r="D755" s="276"/>
      <c r="E755" s="276"/>
      <c r="F755" s="276"/>
      <c r="G755" s="276"/>
      <c r="H755" s="275"/>
      <c r="I755" s="275"/>
      <c r="J755" s="275"/>
      <c r="K755" s="275"/>
      <c r="L755" s="275"/>
      <c r="M755" s="275"/>
      <c r="N755" s="275"/>
    </row>
    <row r="756" spans="1:14">
      <c r="A756" s="274"/>
      <c r="B756" s="275"/>
      <c r="C756" s="276"/>
      <c r="D756" s="276"/>
      <c r="E756" s="276"/>
      <c r="F756" s="276"/>
      <c r="G756" s="276"/>
      <c r="H756" s="275"/>
      <c r="I756" s="275"/>
      <c r="J756" s="275"/>
      <c r="K756" s="275"/>
      <c r="L756" s="275"/>
      <c r="M756" s="275"/>
      <c r="N756" s="275"/>
    </row>
    <row r="757" spans="1:14">
      <c r="A757" s="274"/>
      <c r="B757" s="275"/>
      <c r="C757" s="276"/>
      <c r="D757" s="276"/>
      <c r="E757" s="276"/>
      <c r="F757" s="276"/>
      <c r="G757" s="276"/>
      <c r="H757" s="275"/>
      <c r="I757" s="275"/>
      <c r="J757" s="275"/>
      <c r="K757" s="275"/>
      <c r="L757" s="275"/>
      <c r="M757" s="275"/>
      <c r="N757" s="275"/>
    </row>
    <row r="758" spans="1:14">
      <c r="A758" s="274"/>
      <c r="B758" s="275"/>
      <c r="C758" s="276"/>
      <c r="D758" s="276"/>
      <c r="E758" s="276"/>
      <c r="F758" s="276"/>
      <c r="G758" s="276"/>
      <c r="H758" s="275"/>
      <c r="I758" s="275"/>
      <c r="J758" s="275"/>
      <c r="K758" s="275"/>
      <c r="L758" s="275"/>
      <c r="M758" s="275"/>
      <c r="N758" s="275"/>
    </row>
    <row r="759" spans="1:14">
      <c r="A759" s="274"/>
      <c r="B759" s="275"/>
      <c r="C759" s="276"/>
      <c r="D759" s="276"/>
      <c r="E759" s="276"/>
      <c r="F759" s="276"/>
      <c r="G759" s="276"/>
      <c r="H759" s="275"/>
      <c r="I759" s="275"/>
      <c r="J759" s="275"/>
      <c r="K759" s="275"/>
      <c r="L759" s="275"/>
      <c r="M759" s="275"/>
      <c r="N759" s="275"/>
    </row>
    <row r="760" spans="1:14">
      <c r="A760" s="274"/>
      <c r="B760" s="275"/>
      <c r="C760" s="276"/>
      <c r="D760" s="276"/>
      <c r="E760" s="276"/>
      <c r="F760" s="276"/>
      <c r="G760" s="276"/>
      <c r="H760" s="275"/>
      <c r="I760" s="275"/>
      <c r="J760" s="275"/>
      <c r="K760" s="275"/>
      <c r="L760" s="275"/>
      <c r="M760" s="275"/>
      <c r="N760" s="275"/>
    </row>
    <row r="761" spans="1:14">
      <c r="A761" s="274"/>
      <c r="B761" s="275"/>
      <c r="C761" s="276"/>
      <c r="D761" s="276"/>
      <c r="E761" s="276"/>
      <c r="F761" s="276"/>
      <c r="G761" s="276"/>
      <c r="H761" s="275"/>
      <c r="I761" s="275"/>
      <c r="J761" s="275"/>
      <c r="K761" s="275"/>
      <c r="L761" s="275"/>
      <c r="M761" s="275"/>
      <c r="N761" s="275"/>
    </row>
    <row r="762" spans="1:14">
      <c r="A762" s="274"/>
      <c r="B762" s="275"/>
      <c r="C762" s="276"/>
      <c r="D762" s="276"/>
      <c r="E762" s="276"/>
      <c r="F762" s="276"/>
      <c r="G762" s="276"/>
      <c r="H762" s="275"/>
      <c r="I762" s="275"/>
      <c r="J762" s="275"/>
      <c r="K762" s="275"/>
      <c r="L762" s="275"/>
      <c r="M762" s="275"/>
      <c r="N762" s="275"/>
    </row>
    <row r="763" spans="1:14">
      <c r="A763" s="274"/>
      <c r="B763" s="275"/>
      <c r="C763" s="276"/>
      <c r="D763" s="276"/>
      <c r="E763" s="276"/>
      <c r="F763" s="276"/>
      <c r="G763" s="276"/>
      <c r="H763" s="275"/>
      <c r="I763" s="275"/>
      <c r="J763" s="275"/>
      <c r="K763" s="275"/>
      <c r="L763" s="275"/>
      <c r="M763" s="275"/>
      <c r="N763" s="275"/>
    </row>
    <row r="764" spans="1:14">
      <c r="A764" s="274"/>
      <c r="B764" s="275"/>
      <c r="C764" s="276"/>
      <c r="D764" s="276"/>
      <c r="E764" s="276"/>
      <c r="F764" s="276"/>
      <c r="G764" s="276"/>
      <c r="H764" s="275"/>
      <c r="I764" s="275"/>
      <c r="J764" s="275"/>
      <c r="K764" s="275"/>
      <c r="L764" s="275"/>
      <c r="M764" s="275"/>
      <c r="N764" s="275"/>
    </row>
    <row r="765" spans="1:14">
      <c r="A765" s="274"/>
      <c r="B765" s="275"/>
      <c r="C765" s="276"/>
      <c r="D765" s="276"/>
      <c r="E765" s="276"/>
      <c r="F765" s="276"/>
      <c r="G765" s="276"/>
      <c r="H765" s="275"/>
      <c r="I765" s="275"/>
      <c r="J765" s="275"/>
      <c r="K765" s="275"/>
      <c r="L765" s="275"/>
      <c r="M765" s="275"/>
      <c r="N765" s="275"/>
    </row>
    <row r="766" spans="1:14">
      <c r="A766" s="274"/>
      <c r="B766" s="275"/>
      <c r="C766" s="276"/>
      <c r="D766" s="276"/>
      <c r="E766" s="276"/>
      <c r="F766" s="276"/>
      <c r="G766" s="276"/>
      <c r="H766" s="275"/>
      <c r="I766" s="275"/>
      <c r="J766" s="275"/>
      <c r="K766" s="275"/>
      <c r="L766" s="275"/>
      <c r="M766" s="275"/>
      <c r="N766" s="275"/>
    </row>
    <row r="767" spans="1:14">
      <c r="A767" s="274"/>
      <c r="B767" s="275"/>
      <c r="C767" s="276"/>
      <c r="D767" s="276"/>
      <c r="E767" s="276"/>
      <c r="F767" s="276"/>
      <c r="G767" s="276"/>
      <c r="H767" s="275"/>
      <c r="I767" s="275"/>
      <c r="J767" s="275"/>
      <c r="K767" s="275"/>
      <c r="L767" s="275"/>
      <c r="M767" s="275"/>
      <c r="N767" s="275"/>
    </row>
    <row r="768" spans="1:14">
      <c r="A768" s="274"/>
      <c r="B768" s="275"/>
      <c r="C768" s="276"/>
      <c r="D768" s="276"/>
      <c r="E768" s="276"/>
      <c r="F768" s="276"/>
      <c r="G768" s="276"/>
      <c r="H768" s="275"/>
      <c r="I768" s="275"/>
      <c r="J768" s="275"/>
      <c r="K768" s="275"/>
      <c r="L768" s="275"/>
      <c r="M768" s="275"/>
      <c r="N768" s="275"/>
    </row>
    <row r="769" spans="1:14">
      <c r="A769" s="274"/>
      <c r="B769" s="275"/>
      <c r="C769" s="276"/>
      <c r="D769" s="276"/>
      <c r="E769" s="276"/>
      <c r="F769" s="276"/>
      <c r="G769" s="276"/>
      <c r="H769" s="275"/>
      <c r="I769" s="275"/>
      <c r="J769" s="275"/>
      <c r="K769" s="275"/>
      <c r="L769" s="275"/>
      <c r="M769" s="275"/>
      <c r="N769" s="275"/>
    </row>
    <row r="770" spans="1:14">
      <c r="A770" s="274"/>
      <c r="B770" s="275"/>
      <c r="C770" s="276"/>
      <c r="D770" s="276"/>
      <c r="E770" s="276"/>
      <c r="F770" s="276"/>
      <c r="G770" s="276"/>
      <c r="H770" s="275"/>
      <c r="I770" s="275"/>
      <c r="J770" s="275"/>
      <c r="K770" s="275"/>
      <c r="L770" s="275"/>
      <c r="M770" s="275"/>
      <c r="N770" s="275"/>
    </row>
    <row r="771" spans="1:14">
      <c r="A771" s="274"/>
      <c r="B771" s="275"/>
      <c r="C771" s="276"/>
      <c r="D771" s="276"/>
      <c r="E771" s="276"/>
      <c r="F771" s="276"/>
      <c r="G771" s="276"/>
      <c r="H771" s="275"/>
      <c r="I771" s="275"/>
      <c r="J771" s="275"/>
      <c r="K771" s="275"/>
      <c r="L771" s="275"/>
      <c r="M771" s="275"/>
      <c r="N771" s="275"/>
    </row>
    <row r="772" spans="1:14">
      <c r="A772" s="274"/>
      <c r="B772" s="275"/>
      <c r="C772" s="276"/>
      <c r="D772" s="276"/>
      <c r="E772" s="276"/>
      <c r="F772" s="276"/>
      <c r="G772" s="276"/>
      <c r="H772" s="275"/>
      <c r="I772" s="275"/>
      <c r="J772" s="275"/>
      <c r="K772" s="275"/>
      <c r="L772" s="275"/>
      <c r="M772" s="275"/>
      <c r="N772" s="275"/>
    </row>
    <row r="773" spans="1:14">
      <c r="A773" s="274"/>
      <c r="B773" s="275"/>
      <c r="C773" s="276"/>
      <c r="D773" s="276"/>
      <c r="E773" s="276"/>
      <c r="F773" s="276"/>
      <c r="G773" s="276"/>
      <c r="H773" s="275"/>
      <c r="I773" s="275"/>
      <c r="J773" s="275"/>
      <c r="K773" s="275"/>
      <c r="L773" s="275"/>
      <c r="M773" s="275"/>
      <c r="N773" s="275"/>
    </row>
    <row r="774" spans="1:14">
      <c r="A774" s="274"/>
      <c r="B774" s="275"/>
      <c r="C774" s="276"/>
      <c r="D774" s="276"/>
      <c r="E774" s="276"/>
      <c r="F774" s="276"/>
      <c r="G774" s="276"/>
      <c r="H774" s="275"/>
      <c r="I774" s="275"/>
      <c r="J774" s="275"/>
      <c r="K774" s="275"/>
      <c r="L774" s="275"/>
      <c r="M774" s="275"/>
      <c r="N774" s="275"/>
    </row>
    <row r="775" spans="1:14">
      <c r="A775" s="274"/>
      <c r="B775" s="275"/>
      <c r="C775" s="276"/>
      <c r="D775" s="276"/>
      <c r="E775" s="276"/>
      <c r="F775" s="276"/>
      <c r="G775" s="276"/>
      <c r="H775" s="275"/>
      <c r="I775" s="275"/>
      <c r="J775" s="275"/>
      <c r="K775" s="275"/>
      <c r="L775" s="275"/>
      <c r="M775" s="275"/>
      <c r="N775" s="275"/>
    </row>
    <row r="776" spans="1:14">
      <c r="A776" s="274"/>
      <c r="B776" s="275"/>
      <c r="C776" s="276"/>
      <c r="D776" s="276"/>
      <c r="E776" s="276"/>
      <c r="F776" s="276"/>
      <c r="G776" s="276"/>
      <c r="H776" s="275"/>
      <c r="I776" s="275"/>
      <c r="J776" s="275"/>
      <c r="K776" s="275"/>
      <c r="L776" s="275"/>
      <c r="M776" s="275"/>
      <c r="N776" s="275"/>
    </row>
    <row r="777" spans="1:14">
      <c r="A777" s="274"/>
      <c r="B777" s="275"/>
      <c r="C777" s="276"/>
      <c r="D777" s="276"/>
      <c r="E777" s="276"/>
      <c r="F777" s="276"/>
      <c r="G777" s="276"/>
      <c r="H777" s="275"/>
      <c r="I777" s="275"/>
      <c r="J777" s="275"/>
      <c r="K777" s="275"/>
      <c r="L777" s="275"/>
      <c r="M777" s="275"/>
      <c r="N777" s="275"/>
    </row>
    <row r="778" spans="1:14">
      <c r="A778" s="274"/>
      <c r="B778" s="275"/>
      <c r="C778" s="276"/>
      <c r="D778" s="276"/>
      <c r="E778" s="276"/>
      <c r="F778" s="276"/>
      <c r="G778" s="276"/>
      <c r="H778" s="275"/>
      <c r="I778" s="275"/>
      <c r="J778" s="275"/>
      <c r="K778" s="275"/>
      <c r="L778" s="275"/>
      <c r="M778" s="275"/>
      <c r="N778" s="275"/>
    </row>
    <row r="779" spans="1:14">
      <c r="A779" s="274"/>
      <c r="B779" s="275"/>
      <c r="C779" s="276"/>
      <c r="D779" s="276"/>
      <c r="E779" s="276"/>
      <c r="F779" s="276"/>
      <c r="G779" s="276"/>
      <c r="H779" s="275"/>
      <c r="I779" s="275"/>
      <c r="J779" s="275"/>
      <c r="K779" s="275"/>
      <c r="L779" s="275"/>
      <c r="M779" s="275"/>
      <c r="N779" s="275"/>
    </row>
    <row r="780" spans="1:14">
      <c r="A780" s="274"/>
      <c r="B780" s="275"/>
      <c r="C780" s="276"/>
      <c r="D780" s="276"/>
      <c r="E780" s="276"/>
      <c r="F780" s="276"/>
      <c r="G780" s="276"/>
      <c r="H780" s="275"/>
      <c r="I780" s="275"/>
      <c r="J780" s="275"/>
      <c r="K780" s="275"/>
      <c r="L780" s="275"/>
      <c r="M780" s="275"/>
      <c r="N780" s="275"/>
    </row>
    <row r="781" spans="1:14">
      <c r="A781" s="274"/>
      <c r="B781" s="275"/>
      <c r="C781" s="276"/>
      <c r="D781" s="276"/>
      <c r="E781" s="276"/>
      <c r="F781" s="276"/>
      <c r="G781" s="276"/>
      <c r="H781" s="275"/>
      <c r="I781" s="275"/>
      <c r="J781" s="275"/>
      <c r="K781" s="275"/>
      <c r="L781" s="275"/>
      <c r="M781" s="275"/>
      <c r="N781" s="275"/>
    </row>
    <row r="782" spans="1:14">
      <c r="A782" s="274"/>
      <c r="B782" s="275"/>
      <c r="C782" s="276"/>
      <c r="D782" s="276"/>
      <c r="E782" s="276"/>
      <c r="F782" s="276"/>
      <c r="G782" s="276"/>
      <c r="H782" s="275"/>
      <c r="I782" s="275"/>
      <c r="J782" s="275"/>
      <c r="K782" s="275"/>
      <c r="L782" s="275"/>
      <c r="M782" s="275"/>
      <c r="N782" s="275"/>
    </row>
    <row r="783" spans="1:14">
      <c r="A783" s="274"/>
      <c r="B783" s="275"/>
      <c r="C783" s="276"/>
      <c r="D783" s="276"/>
      <c r="E783" s="276"/>
      <c r="F783" s="276"/>
      <c r="G783" s="276"/>
      <c r="H783" s="275"/>
      <c r="I783" s="275"/>
      <c r="J783" s="275"/>
      <c r="K783" s="275"/>
      <c r="L783" s="275"/>
      <c r="M783" s="275"/>
      <c r="N783" s="275"/>
    </row>
    <row r="784" spans="1:14">
      <c r="A784" s="274"/>
      <c r="B784" s="275"/>
      <c r="C784" s="276"/>
      <c r="D784" s="276"/>
      <c r="E784" s="276"/>
      <c r="F784" s="276"/>
      <c r="G784" s="276"/>
      <c r="H784" s="275"/>
      <c r="I784" s="275"/>
      <c r="J784" s="275"/>
      <c r="K784" s="275"/>
      <c r="L784" s="275"/>
      <c r="M784" s="275"/>
      <c r="N784" s="275"/>
    </row>
    <row r="785" spans="1:14">
      <c r="A785" s="274"/>
      <c r="B785" s="275"/>
      <c r="C785" s="276"/>
      <c r="D785" s="276"/>
      <c r="E785" s="276"/>
      <c r="F785" s="276"/>
      <c r="G785" s="276"/>
      <c r="H785" s="275"/>
      <c r="I785" s="275"/>
      <c r="J785" s="275"/>
      <c r="K785" s="275"/>
      <c r="L785" s="275"/>
      <c r="M785" s="275"/>
      <c r="N785" s="275"/>
    </row>
    <row r="786" spans="1:14">
      <c r="A786" s="274"/>
      <c r="B786" s="275"/>
      <c r="C786" s="276"/>
      <c r="D786" s="276"/>
      <c r="E786" s="276"/>
      <c r="F786" s="276"/>
      <c r="G786" s="276"/>
      <c r="H786" s="275"/>
      <c r="I786" s="275"/>
      <c r="J786" s="275"/>
      <c r="K786" s="275"/>
      <c r="L786" s="275"/>
      <c r="M786" s="275"/>
      <c r="N786" s="275"/>
    </row>
    <row r="787" spans="1:14">
      <c r="A787" s="274"/>
      <c r="B787" s="275"/>
      <c r="C787" s="276"/>
      <c r="D787" s="276"/>
      <c r="E787" s="276"/>
      <c r="F787" s="276"/>
      <c r="G787" s="276"/>
      <c r="H787" s="275"/>
      <c r="I787" s="275"/>
      <c r="J787" s="275"/>
      <c r="K787" s="275"/>
      <c r="L787" s="275"/>
      <c r="M787" s="275"/>
      <c r="N787" s="275"/>
    </row>
    <row r="788" spans="1:14">
      <c r="A788" s="274"/>
      <c r="B788" s="275"/>
      <c r="C788" s="276"/>
      <c r="D788" s="276"/>
      <c r="E788" s="276"/>
      <c r="F788" s="276"/>
      <c r="G788" s="276"/>
      <c r="H788" s="275"/>
      <c r="I788" s="275"/>
      <c r="J788" s="275"/>
      <c r="K788" s="275"/>
      <c r="L788" s="275"/>
      <c r="M788" s="275"/>
      <c r="N788" s="275"/>
    </row>
    <row r="789" spans="1:14">
      <c r="A789" s="274"/>
      <c r="B789" s="275"/>
      <c r="C789" s="276"/>
      <c r="D789" s="276"/>
      <c r="E789" s="276"/>
      <c r="F789" s="276"/>
      <c r="G789" s="276"/>
      <c r="H789" s="275"/>
      <c r="I789" s="275"/>
      <c r="J789" s="275"/>
      <c r="K789" s="275"/>
      <c r="L789" s="275"/>
      <c r="M789" s="275"/>
      <c r="N789" s="275"/>
    </row>
    <row r="790" spans="1:14">
      <c r="A790" s="274"/>
      <c r="B790" s="275"/>
      <c r="C790" s="276"/>
      <c r="D790" s="276"/>
      <c r="E790" s="276"/>
      <c r="F790" s="276"/>
      <c r="G790" s="276"/>
      <c r="H790" s="275"/>
      <c r="I790" s="275"/>
      <c r="J790" s="275"/>
      <c r="K790" s="275"/>
      <c r="L790" s="275"/>
      <c r="M790" s="275"/>
      <c r="N790" s="275"/>
    </row>
    <row r="791" spans="1:14">
      <c r="A791" s="274"/>
      <c r="B791" s="275"/>
      <c r="C791" s="276"/>
      <c r="D791" s="276"/>
      <c r="E791" s="276"/>
      <c r="F791" s="276"/>
      <c r="G791" s="276"/>
      <c r="H791" s="275"/>
      <c r="I791" s="275"/>
      <c r="J791" s="275"/>
      <c r="K791" s="275"/>
      <c r="L791" s="275"/>
      <c r="M791" s="275"/>
      <c r="N791" s="275"/>
    </row>
    <row r="792" spans="1:14">
      <c r="A792" s="274"/>
      <c r="B792" s="275"/>
      <c r="C792" s="276"/>
      <c r="D792" s="276"/>
      <c r="E792" s="276"/>
      <c r="F792" s="276"/>
      <c r="G792" s="276"/>
      <c r="H792" s="275"/>
      <c r="I792" s="275"/>
      <c r="J792" s="275"/>
      <c r="K792" s="275"/>
      <c r="L792" s="275"/>
      <c r="M792" s="275"/>
      <c r="N792" s="275"/>
    </row>
    <row r="793" spans="1:14">
      <c r="A793" s="274"/>
      <c r="B793" s="275"/>
      <c r="C793" s="276"/>
      <c r="D793" s="276"/>
      <c r="E793" s="276"/>
      <c r="F793" s="276"/>
      <c r="G793" s="276"/>
      <c r="H793" s="275"/>
      <c r="I793" s="275"/>
      <c r="J793" s="275"/>
      <c r="K793" s="275"/>
      <c r="L793" s="275"/>
      <c r="M793" s="275"/>
      <c r="N793" s="275"/>
    </row>
    <row r="794" spans="1:14">
      <c r="A794" s="274"/>
      <c r="B794" s="275"/>
      <c r="C794" s="276"/>
      <c r="D794" s="276"/>
      <c r="E794" s="276"/>
      <c r="F794" s="276"/>
      <c r="G794" s="276"/>
      <c r="H794" s="275"/>
      <c r="I794" s="275"/>
      <c r="J794" s="275"/>
      <c r="K794" s="275"/>
      <c r="L794" s="275"/>
      <c r="M794" s="275"/>
      <c r="N794" s="275"/>
    </row>
    <row r="795" spans="1:14">
      <c r="A795" s="274"/>
      <c r="B795" s="275"/>
      <c r="C795" s="276"/>
      <c r="D795" s="276"/>
      <c r="E795" s="276"/>
      <c r="F795" s="276"/>
      <c r="G795" s="276"/>
      <c r="H795" s="275"/>
      <c r="I795" s="275"/>
      <c r="J795" s="275"/>
      <c r="K795" s="275"/>
      <c r="L795" s="275"/>
      <c r="M795" s="275"/>
      <c r="N795" s="275"/>
    </row>
    <row r="796" spans="1:14">
      <c r="A796" s="274"/>
      <c r="B796" s="275"/>
      <c r="C796" s="276"/>
      <c r="D796" s="276"/>
      <c r="E796" s="276"/>
      <c r="F796" s="276"/>
      <c r="G796" s="276"/>
      <c r="H796" s="275"/>
      <c r="I796" s="275"/>
      <c r="J796" s="275"/>
      <c r="K796" s="275"/>
      <c r="L796" s="275"/>
      <c r="M796" s="275"/>
      <c r="N796" s="275"/>
    </row>
    <row r="797" spans="1:14">
      <c r="A797" s="274"/>
      <c r="B797" s="275"/>
      <c r="C797" s="276"/>
      <c r="D797" s="276"/>
      <c r="E797" s="276"/>
      <c r="F797" s="276"/>
      <c r="G797" s="276"/>
      <c r="H797" s="275"/>
      <c r="I797" s="275"/>
      <c r="J797" s="275"/>
      <c r="K797" s="275"/>
      <c r="L797" s="275"/>
      <c r="M797" s="275"/>
      <c r="N797" s="275"/>
    </row>
    <row r="798" spans="1:14">
      <c r="A798" s="274"/>
      <c r="B798" s="275"/>
      <c r="C798" s="276"/>
      <c r="D798" s="276"/>
      <c r="E798" s="276"/>
      <c r="F798" s="276"/>
      <c r="G798" s="276"/>
      <c r="H798" s="275"/>
      <c r="I798" s="275"/>
      <c r="J798" s="275"/>
      <c r="K798" s="275"/>
      <c r="L798" s="275"/>
      <c r="M798" s="275"/>
      <c r="N798" s="275"/>
    </row>
    <row r="799" spans="1:14">
      <c r="A799" s="274"/>
      <c r="B799" s="275"/>
      <c r="C799" s="276"/>
      <c r="D799" s="276"/>
      <c r="E799" s="276"/>
      <c r="F799" s="276"/>
      <c r="G799" s="276"/>
      <c r="H799" s="275"/>
      <c r="I799" s="275"/>
      <c r="J799" s="275"/>
      <c r="K799" s="275"/>
      <c r="L799" s="275"/>
      <c r="M799" s="275"/>
      <c r="N799" s="275"/>
    </row>
    <row r="800" spans="1:14">
      <c r="A800" s="274"/>
      <c r="B800" s="275"/>
      <c r="C800" s="276"/>
      <c r="D800" s="276"/>
      <c r="E800" s="276"/>
      <c r="F800" s="276"/>
      <c r="G800" s="276"/>
      <c r="H800" s="275"/>
      <c r="I800" s="275"/>
      <c r="J800" s="275"/>
      <c r="K800" s="275"/>
      <c r="L800" s="275"/>
      <c r="M800" s="275"/>
      <c r="N800" s="275"/>
    </row>
    <row r="801" spans="1:14">
      <c r="A801" s="274"/>
      <c r="B801" s="275"/>
      <c r="C801" s="276"/>
      <c r="D801" s="276"/>
      <c r="E801" s="276"/>
      <c r="F801" s="276"/>
      <c r="G801" s="276"/>
      <c r="H801" s="275"/>
      <c r="I801" s="275"/>
      <c r="J801" s="275"/>
      <c r="K801" s="275"/>
      <c r="L801" s="275"/>
      <c r="M801" s="275"/>
      <c r="N801" s="275"/>
    </row>
    <row r="802" spans="1:14">
      <c r="A802" s="274"/>
      <c r="B802" s="275"/>
      <c r="C802" s="276"/>
      <c r="D802" s="276"/>
      <c r="E802" s="276"/>
      <c r="F802" s="276"/>
      <c r="G802" s="276"/>
      <c r="H802" s="275"/>
      <c r="I802" s="275"/>
      <c r="J802" s="275"/>
      <c r="K802" s="275"/>
      <c r="L802" s="275"/>
      <c r="M802" s="275"/>
      <c r="N802" s="275"/>
    </row>
    <row r="803" spans="1:14">
      <c r="A803" s="274"/>
      <c r="B803" s="275"/>
      <c r="C803" s="276"/>
      <c r="D803" s="276"/>
      <c r="E803" s="276"/>
      <c r="F803" s="276"/>
      <c r="G803" s="276"/>
      <c r="H803" s="275"/>
      <c r="I803" s="275"/>
      <c r="J803" s="275"/>
      <c r="K803" s="275"/>
      <c r="L803" s="275"/>
      <c r="M803" s="275"/>
      <c r="N803" s="275"/>
    </row>
    <row r="804" spans="1:14">
      <c r="A804" s="274"/>
      <c r="B804" s="275"/>
      <c r="C804" s="276"/>
      <c r="D804" s="276"/>
      <c r="E804" s="276"/>
      <c r="F804" s="276"/>
      <c r="G804" s="276"/>
      <c r="H804" s="275"/>
      <c r="I804" s="275"/>
      <c r="J804" s="275"/>
      <c r="K804" s="275"/>
      <c r="L804" s="275"/>
      <c r="M804" s="275"/>
      <c r="N804" s="275"/>
    </row>
    <row r="805" spans="1:14">
      <c r="A805" s="274"/>
      <c r="B805" s="275"/>
      <c r="C805" s="276"/>
      <c r="D805" s="276"/>
      <c r="E805" s="276"/>
      <c r="F805" s="276"/>
      <c r="G805" s="276"/>
      <c r="H805" s="275"/>
      <c r="I805" s="275"/>
      <c r="J805" s="275"/>
      <c r="K805" s="275"/>
      <c r="L805" s="275"/>
      <c r="M805" s="275"/>
      <c r="N805" s="275"/>
    </row>
    <row r="806" spans="1:14">
      <c r="A806" s="274"/>
      <c r="B806" s="275"/>
      <c r="C806" s="276"/>
      <c r="D806" s="276"/>
      <c r="E806" s="276"/>
      <c r="F806" s="276"/>
      <c r="G806" s="276"/>
      <c r="H806" s="275"/>
      <c r="I806" s="275"/>
      <c r="J806" s="275"/>
      <c r="K806" s="275"/>
      <c r="L806" s="275"/>
      <c r="M806" s="275"/>
      <c r="N806" s="275"/>
    </row>
    <row r="807" spans="1:14">
      <c r="A807" s="274"/>
      <c r="B807" s="275"/>
      <c r="C807" s="276"/>
      <c r="D807" s="276"/>
      <c r="E807" s="276"/>
      <c r="F807" s="276"/>
      <c r="G807" s="276"/>
      <c r="H807" s="275"/>
      <c r="I807" s="275"/>
      <c r="J807" s="275"/>
      <c r="K807" s="275"/>
      <c r="L807" s="275"/>
      <c r="M807" s="275"/>
      <c r="N807" s="275"/>
    </row>
    <row r="808" spans="1:14">
      <c r="A808" s="274"/>
      <c r="B808" s="275"/>
      <c r="C808" s="276"/>
      <c r="D808" s="276"/>
      <c r="E808" s="276"/>
      <c r="F808" s="276"/>
      <c r="G808" s="276"/>
      <c r="H808" s="275"/>
      <c r="I808" s="275"/>
      <c r="J808" s="275"/>
      <c r="K808" s="275"/>
      <c r="L808" s="275"/>
      <c r="M808" s="275"/>
      <c r="N808" s="275"/>
    </row>
    <row r="809" spans="1:14">
      <c r="A809" s="274"/>
      <c r="B809" s="275"/>
      <c r="C809" s="276"/>
      <c r="D809" s="276"/>
      <c r="E809" s="276"/>
      <c r="F809" s="276"/>
      <c r="G809" s="276"/>
      <c r="H809" s="275"/>
      <c r="I809" s="275"/>
      <c r="J809" s="275"/>
      <c r="K809" s="275"/>
      <c r="L809" s="275"/>
      <c r="M809" s="275"/>
      <c r="N809" s="275"/>
    </row>
    <row r="810" spans="1:14">
      <c r="A810" s="274"/>
      <c r="B810" s="275"/>
      <c r="C810" s="276"/>
      <c r="D810" s="276"/>
      <c r="E810" s="276"/>
      <c r="F810" s="276"/>
      <c r="G810" s="276"/>
      <c r="H810" s="275"/>
      <c r="I810" s="275"/>
      <c r="J810" s="275"/>
      <c r="K810" s="275"/>
      <c r="L810" s="275"/>
      <c r="M810" s="275"/>
      <c r="N810" s="275"/>
    </row>
    <row r="811" spans="1:14">
      <c r="A811" s="274"/>
      <c r="B811" s="275"/>
      <c r="C811" s="276"/>
      <c r="D811" s="276"/>
      <c r="E811" s="276"/>
      <c r="F811" s="276"/>
      <c r="G811" s="276"/>
      <c r="H811" s="275"/>
      <c r="I811" s="275"/>
      <c r="J811" s="275"/>
      <c r="K811" s="275"/>
      <c r="L811" s="275"/>
      <c r="M811" s="275"/>
      <c r="N811" s="275"/>
    </row>
    <row r="812" spans="1:14">
      <c r="A812" s="274"/>
      <c r="B812" s="275"/>
      <c r="C812" s="276"/>
      <c r="D812" s="276"/>
      <c r="E812" s="276"/>
      <c r="F812" s="276"/>
      <c r="G812" s="276"/>
      <c r="H812" s="275"/>
      <c r="I812" s="275"/>
      <c r="J812" s="275"/>
      <c r="K812" s="275"/>
      <c r="L812" s="275"/>
      <c r="M812" s="275"/>
      <c r="N812" s="275"/>
    </row>
    <row r="813" spans="1:14">
      <c r="A813" s="274"/>
      <c r="B813" s="275"/>
      <c r="C813" s="276"/>
      <c r="D813" s="276"/>
      <c r="E813" s="276"/>
      <c r="F813" s="276"/>
      <c r="G813" s="276"/>
      <c r="H813" s="275"/>
      <c r="I813" s="275"/>
      <c r="J813" s="275"/>
      <c r="K813" s="275"/>
      <c r="L813" s="275"/>
      <c r="M813" s="275"/>
      <c r="N813" s="275"/>
    </row>
    <row r="814" spans="1:14">
      <c r="A814" s="274"/>
      <c r="B814" s="275"/>
      <c r="C814" s="276"/>
      <c r="D814" s="276"/>
      <c r="E814" s="276"/>
      <c r="F814" s="276"/>
      <c r="G814" s="276"/>
      <c r="H814" s="275"/>
      <c r="I814" s="275"/>
      <c r="J814" s="275"/>
      <c r="K814" s="275"/>
      <c r="L814" s="275"/>
      <c r="M814" s="275"/>
      <c r="N814" s="275"/>
    </row>
    <row r="815" spans="1:14">
      <c r="A815" s="274"/>
      <c r="B815" s="275"/>
      <c r="C815" s="276"/>
      <c r="D815" s="276"/>
      <c r="E815" s="276"/>
      <c r="F815" s="276"/>
      <c r="G815" s="276"/>
      <c r="H815" s="275"/>
      <c r="I815" s="275"/>
      <c r="J815" s="275"/>
      <c r="K815" s="275"/>
      <c r="L815" s="275"/>
      <c r="M815" s="275"/>
      <c r="N815" s="275"/>
    </row>
    <row r="816" spans="1:14">
      <c r="A816" s="274"/>
      <c r="B816" s="275"/>
      <c r="C816" s="276"/>
      <c r="D816" s="276"/>
      <c r="E816" s="276"/>
      <c r="F816" s="276"/>
      <c r="G816" s="276"/>
      <c r="H816" s="275"/>
      <c r="I816" s="275"/>
      <c r="J816" s="275"/>
      <c r="K816" s="275"/>
      <c r="L816" s="275"/>
      <c r="M816" s="275"/>
      <c r="N816" s="275"/>
    </row>
    <row r="817" spans="1:14">
      <c r="A817" s="274"/>
      <c r="B817" s="275"/>
      <c r="C817" s="276"/>
      <c r="D817" s="276"/>
      <c r="E817" s="276"/>
      <c r="F817" s="276"/>
      <c r="G817" s="276"/>
      <c r="H817" s="275"/>
      <c r="I817" s="275"/>
      <c r="J817" s="275"/>
      <c r="K817" s="275"/>
      <c r="L817" s="275"/>
      <c r="M817" s="275"/>
      <c r="N817" s="275"/>
    </row>
    <row r="818" spans="1:14">
      <c r="A818" s="274"/>
      <c r="B818" s="275"/>
      <c r="C818" s="276"/>
      <c r="D818" s="276"/>
      <c r="E818" s="276"/>
      <c r="F818" s="276"/>
      <c r="G818" s="276"/>
      <c r="H818" s="275"/>
      <c r="I818" s="275"/>
      <c r="J818" s="275"/>
      <c r="K818" s="275"/>
      <c r="L818" s="275"/>
      <c r="M818" s="275"/>
      <c r="N818" s="275"/>
    </row>
    <row r="819" spans="1:14">
      <c r="A819" s="274"/>
      <c r="B819" s="275"/>
      <c r="C819" s="276"/>
      <c r="D819" s="276"/>
      <c r="E819" s="276"/>
      <c r="F819" s="276"/>
      <c r="G819" s="276"/>
      <c r="H819" s="275"/>
      <c r="I819" s="275"/>
      <c r="J819" s="275"/>
      <c r="K819" s="275"/>
      <c r="L819" s="275"/>
      <c r="M819" s="275"/>
      <c r="N819" s="275"/>
    </row>
    <row r="820" spans="1:14">
      <c r="A820" s="274"/>
      <c r="B820" s="275"/>
      <c r="C820" s="276"/>
      <c r="D820" s="276"/>
      <c r="E820" s="276"/>
      <c r="F820" s="276"/>
      <c r="G820" s="276"/>
      <c r="H820" s="275"/>
      <c r="I820" s="275"/>
      <c r="J820" s="275"/>
      <c r="K820" s="275"/>
      <c r="L820" s="275"/>
      <c r="M820" s="275"/>
      <c r="N820" s="275"/>
    </row>
    <row r="821" spans="1:14">
      <c r="A821" s="274"/>
      <c r="B821" s="275"/>
      <c r="C821" s="276"/>
      <c r="D821" s="276"/>
      <c r="E821" s="276"/>
      <c r="F821" s="276"/>
      <c r="G821" s="276"/>
      <c r="H821" s="275"/>
      <c r="I821" s="275"/>
      <c r="J821" s="275"/>
      <c r="K821" s="275"/>
      <c r="L821" s="275"/>
      <c r="M821" s="275"/>
      <c r="N821" s="275"/>
    </row>
    <row r="822" spans="1:14">
      <c r="A822" s="274"/>
      <c r="B822" s="275"/>
      <c r="C822" s="276"/>
      <c r="D822" s="276"/>
      <c r="E822" s="276"/>
      <c r="F822" s="276"/>
      <c r="G822" s="276"/>
      <c r="H822" s="275"/>
      <c r="I822" s="275"/>
      <c r="J822" s="275"/>
      <c r="K822" s="275"/>
      <c r="L822" s="275"/>
      <c r="M822" s="275"/>
      <c r="N822" s="275"/>
    </row>
    <row r="823" spans="1:14">
      <c r="A823" s="274"/>
      <c r="B823" s="275"/>
      <c r="C823" s="276"/>
      <c r="D823" s="276"/>
      <c r="E823" s="276"/>
      <c r="F823" s="276"/>
      <c r="G823" s="276"/>
      <c r="H823" s="275"/>
      <c r="I823" s="275"/>
      <c r="J823" s="275"/>
      <c r="K823" s="275"/>
      <c r="L823" s="275"/>
      <c r="M823" s="275"/>
      <c r="N823" s="275"/>
    </row>
    <row r="824" spans="1:14">
      <c r="A824" s="274"/>
      <c r="B824" s="275"/>
      <c r="C824" s="276"/>
      <c r="D824" s="276"/>
      <c r="E824" s="276"/>
      <c r="F824" s="276"/>
      <c r="G824" s="276"/>
      <c r="H824" s="275"/>
      <c r="I824" s="275"/>
      <c r="J824" s="275"/>
      <c r="K824" s="275"/>
      <c r="L824" s="275"/>
      <c r="M824" s="275"/>
      <c r="N824" s="275"/>
    </row>
    <row r="825" spans="1:14">
      <c r="A825" s="274"/>
      <c r="B825" s="275"/>
      <c r="C825" s="276"/>
      <c r="D825" s="276"/>
      <c r="E825" s="276"/>
      <c r="F825" s="276"/>
      <c r="G825" s="276"/>
      <c r="H825" s="275"/>
      <c r="I825" s="275"/>
      <c r="J825" s="275"/>
      <c r="K825" s="275"/>
      <c r="L825" s="275"/>
      <c r="M825" s="275"/>
      <c r="N825" s="275"/>
    </row>
    <row r="826" spans="1:14">
      <c r="A826" s="274"/>
      <c r="B826" s="275"/>
      <c r="C826" s="276"/>
      <c r="D826" s="276"/>
      <c r="E826" s="276"/>
      <c r="F826" s="277"/>
      <c r="G826" s="276"/>
      <c r="H826" s="275"/>
      <c r="I826" s="275"/>
      <c r="J826" s="275"/>
      <c r="K826" s="275"/>
      <c r="L826" s="275"/>
      <c r="M826" s="275"/>
      <c r="N826" s="275"/>
    </row>
    <row r="827" spans="1:14">
      <c r="A827" s="274"/>
      <c r="B827" s="275"/>
      <c r="C827" s="276"/>
      <c r="D827" s="276"/>
      <c r="E827" s="276"/>
      <c r="F827" s="276"/>
      <c r="G827" s="276"/>
      <c r="H827" s="275"/>
      <c r="I827" s="275"/>
      <c r="J827" s="275"/>
      <c r="K827" s="275"/>
      <c r="L827" s="275"/>
      <c r="M827" s="275"/>
      <c r="N827" s="275"/>
    </row>
    <row r="828" spans="1:14">
      <c r="A828" s="274"/>
      <c r="B828" s="275"/>
      <c r="C828" s="276"/>
      <c r="D828" s="276"/>
      <c r="E828" s="276"/>
      <c r="F828" s="276"/>
      <c r="G828" s="276"/>
      <c r="H828" s="275"/>
      <c r="I828" s="275"/>
      <c r="J828" s="275"/>
      <c r="K828" s="275"/>
      <c r="L828" s="275"/>
      <c r="M828" s="275"/>
      <c r="N828" s="275"/>
    </row>
    <row r="829" spans="1:14">
      <c r="A829" s="274"/>
      <c r="B829" s="275"/>
      <c r="C829" s="276"/>
      <c r="D829" s="276"/>
      <c r="E829" s="276"/>
      <c r="F829" s="276"/>
      <c r="G829" s="276"/>
      <c r="H829" s="275"/>
      <c r="I829" s="275"/>
      <c r="J829" s="275"/>
      <c r="K829" s="275"/>
      <c r="L829" s="275"/>
      <c r="M829" s="275"/>
      <c r="N829" s="275"/>
    </row>
    <row r="830" spans="1:14">
      <c r="A830" s="274"/>
      <c r="B830" s="275"/>
      <c r="C830" s="276"/>
      <c r="D830" s="276"/>
      <c r="E830" s="276"/>
      <c r="F830" s="276"/>
      <c r="G830" s="276"/>
      <c r="H830" s="275"/>
      <c r="I830" s="275"/>
      <c r="J830" s="275"/>
      <c r="K830" s="275"/>
      <c r="L830" s="275"/>
      <c r="M830" s="275"/>
      <c r="N830" s="275"/>
    </row>
    <row r="831" spans="1:14">
      <c r="A831" s="274"/>
      <c r="B831" s="275"/>
      <c r="C831" s="276"/>
      <c r="D831" s="276"/>
      <c r="E831" s="276"/>
      <c r="F831" s="276"/>
      <c r="G831" s="276"/>
      <c r="H831" s="275"/>
      <c r="I831" s="275"/>
      <c r="J831" s="275"/>
      <c r="K831" s="275"/>
      <c r="L831" s="275"/>
      <c r="M831" s="275"/>
      <c r="N831" s="275"/>
    </row>
    <row r="832" spans="1:14">
      <c r="A832" s="274"/>
      <c r="B832" s="275"/>
      <c r="C832" s="276"/>
      <c r="D832" s="276"/>
      <c r="E832" s="276"/>
      <c r="F832" s="276"/>
      <c r="G832" s="276"/>
      <c r="H832" s="275"/>
      <c r="I832" s="275"/>
      <c r="J832" s="275"/>
      <c r="K832" s="275"/>
      <c r="L832" s="275"/>
      <c r="M832" s="275"/>
      <c r="N832" s="275"/>
    </row>
    <row r="833" spans="1:14">
      <c r="A833" s="274"/>
      <c r="B833" s="275"/>
      <c r="C833" s="276"/>
      <c r="D833" s="276"/>
      <c r="E833" s="276"/>
      <c r="F833" s="276"/>
      <c r="G833" s="276"/>
      <c r="H833" s="275"/>
      <c r="I833" s="275"/>
      <c r="J833" s="275"/>
      <c r="K833" s="275"/>
      <c r="L833" s="275"/>
      <c r="M833" s="275"/>
      <c r="N833" s="275"/>
    </row>
    <row r="834" spans="1:14">
      <c r="A834" s="274"/>
      <c r="B834" s="275"/>
      <c r="C834" s="276"/>
      <c r="D834" s="276"/>
      <c r="E834" s="276"/>
      <c r="F834" s="276"/>
      <c r="G834" s="276"/>
      <c r="H834" s="275"/>
      <c r="I834" s="275"/>
      <c r="J834" s="275"/>
      <c r="K834" s="275"/>
      <c r="L834" s="275"/>
      <c r="M834" s="275"/>
      <c r="N834" s="275"/>
    </row>
    <row r="835" spans="1:14">
      <c r="A835" s="274"/>
      <c r="B835" s="275"/>
      <c r="C835" s="276"/>
      <c r="D835" s="276"/>
      <c r="E835" s="276"/>
      <c r="F835" s="276"/>
      <c r="G835" s="276"/>
      <c r="H835" s="275"/>
      <c r="I835" s="275"/>
      <c r="J835" s="275"/>
      <c r="K835" s="275"/>
      <c r="L835" s="275"/>
      <c r="M835" s="275"/>
      <c r="N835" s="275"/>
    </row>
    <row r="836" spans="1:14">
      <c r="A836" s="274"/>
      <c r="B836" s="275"/>
      <c r="C836" s="276"/>
      <c r="D836" s="276"/>
      <c r="E836" s="276"/>
      <c r="F836" s="276"/>
      <c r="G836" s="276"/>
      <c r="H836" s="275"/>
      <c r="I836" s="275"/>
      <c r="J836" s="275"/>
      <c r="K836" s="275"/>
      <c r="L836" s="275"/>
      <c r="M836" s="275"/>
      <c r="N836" s="275"/>
    </row>
    <row r="837" spans="1:14">
      <c r="A837" s="274"/>
      <c r="B837" s="275"/>
      <c r="C837" s="276"/>
      <c r="D837" s="276"/>
      <c r="E837" s="276"/>
      <c r="F837" s="276"/>
      <c r="G837" s="276"/>
      <c r="H837" s="275"/>
      <c r="I837" s="275"/>
      <c r="J837" s="275"/>
      <c r="K837" s="275"/>
      <c r="L837" s="275"/>
      <c r="M837" s="275"/>
      <c r="N837" s="275"/>
    </row>
    <row r="838" spans="1:14">
      <c r="A838" s="274"/>
      <c r="B838" s="275"/>
      <c r="C838" s="276"/>
      <c r="D838" s="276"/>
      <c r="E838" s="276"/>
      <c r="F838" s="276"/>
      <c r="G838" s="276"/>
      <c r="H838" s="275"/>
      <c r="I838" s="275"/>
      <c r="J838" s="275"/>
      <c r="K838" s="275"/>
      <c r="L838" s="275"/>
      <c r="M838" s="275"/>
      <c r="N838" s="275"/>
    </row>
    <row r="839" spans="1:14">
      <c r="A839" s="274"/>
      <c r="B839" s="275"/>
      <c r="C839" s="276"/>
      <c r="D839" s="276"/>
      <c r="E839" s="276"/>
      <c r="F839" s="276"/>
      <c r="G839" s="276"/>
      <c r="H839" s="275"/>
      <c r="I839" s="275"/>
      <c r="J839" s="275"/>
      <c r="K839" s="275"/>
      <c r="L839" s="275"/>
      <c r="M839" s="275"/>
      <c r="N839" s="275"/>
    </row>
    <row r="840" spans="1:14">
      <c r="A840" s="274"/>
      <c r="B840" s="275"/>
      <c r="C840" s="276"/>
      <c r="D840" s="276"/>
      <c r="E840" s="276"/>
      <c r="F840" s="276"/>
      <c r="G840" s="276"/>
      <c r="H840" s="275"/>
      <c r="I840" s="275"/>
      <c r="J840" s="275"/>
      <c r="K840" s="275"/>
      <c r="L840" s="275"/>
      <c r="M840" s="275"/>
      <c r="N840" s="275"/>
    </row>
    <row r="841" spans="1:14">
      <c r="A841" s="274"/>
      <c r="B841" s="275"/>
      <c r="C841" s="276"/>
      <c r="D841" s="276"/>
      <c r="E841" s="276"/>
      <c r="F841" s="276"/>
      <c r="G841" s="276"/>
      <c r="H841" s="275"/>
      <c r="I841" s="275"/>
      <c r="J841" s="275"/>
      <c r="K841" s="275"/>
      <c r="L841" s="275"/>
      <c r="M841" s="275"/>
      <c r="N841" s="275"/>
    </row>
    <row r="842" spans="1:14">
      <c r="A842" s="274"/>
      <c r="B842" s="275"/>
      <c r="C842" s="276"/>
      <c r="D842" s="276"/>
      <c r="E842" s="276"/>
      <c r="F842" s="276"/>
      <c r="G842" s="276"/>
      <c r="H842" s="275"/>
      <c r="I842" s="275"/>
      <c r="J842" s="275"/>
      <c r="K842" s="275"/>
      <c r="L842" s="275"/>
      <c r="M842" s="275"/>
      <c r="N842" s="275"/>
    </row>
    <row r="843" spans="1:14">
      <c r="A843" s="274"/>
      <c r="B843" s="275"/>
      <c r="C843" s="276"/>
      <c r="D843" s="276"/>
      <c r="E843" s="276"/>
      <c r="F843" s="276"/>
      <c r="G843" s="276"/>
      <c r="H843" s="275"/>
      <c r="I843" s="275"/>
      <c r="J843" s="275"/>
      <c r="K843" s="275"/>
      <c r="L843" s="275"/>
      <c r="M843" s="275"/>
      <c r="N843" s="275"/>
    </row>
    <row r="844" spans="1:14">
      <c r="A844" s="274"/>
      <c r="B844" s="275"/>
      <c r="C844" s="276"/>
      <c r="D844" s="276"/>
      <c r="E844" s="276"/>
      <c r="F844" s="276"/>
      <c r="G844" s="276"/>
      <c r="H844" s="275"/>
      <c r="I844" s="275"/>
      <c r="J844" s="275"/>
      <c r="K844" s="275"/>
      <c r="L844" s="275"/>
      <c r="M844" s="275"/>
      <c r="N844" s="275"/>
    </row>
    <row r="845" spans="1:14">
      <c r="A845" s="274"/>
      <c r="B845" s="275"/>
      <c r="C845" s="276"/>
      <c r="D845" s="276"/>
      <c r="E845" s="276"/>
      <c r="F845" s="276"/>
      <c r="G845" s="276"/>
      <c r="H845" s="275"/>
      <c r="I845" s="275"/>
      <c r="J845" s="275"/>
      <c r="K845" s="275"/>
      <c r="L845" s="275"/>
      <c r="M845" s="275"/>
      <c r="N845" s="275"/>
    </row>
    <row r="846" spans="1:14">
      <c r="A846" s="274"/>
      <c r="B846" s="275"/>
      <c r="C846" s="276"/>
      <c r="D846" s="276"/>
      <c r="E846" s="276"/>
      <c r="F846" s="276"/>
      <c r="G846" s="276"/>
      <c r="H846" s="275"/>
      <c r="I846" s="275"/>
      <c r="J846" s="275"/>
      <c r="K846" s="275"/>
      <c r="L846" s="275"/>
      <c r="M846" s="275"/>
      <c r="N846" s="275"/>
    </row>
    <row r="847" spans="1:14">
      <c r="A847" s="274"/>
      <c r="B847" s="275"/>
      <c r="C847" s="276"/>
      <c r="D847" s="276"/>
      <c r="E847" s="276"/>
      <c r="F847" s="276"/>
      <c r="G847" s="276"/>
      <c r="H847" s="275"/>
      <c r="I847" s="275"/>
      <c r="J847" s="275"/>
      <c r="K847" s="275"/>
      <c r="L847" s="275"/>
      <c r="M847" s="275"/>
      <c r="N847" s="275"/>
    </row>
    <row r="848" spans="1:14">
      <c r="A848" s="274"/>
      <c r="B848" s="275"/>
      <c r="C848" s="276"/>
      <c r="D848" s="276"/>
      <c r="E848" s="276"/>
      <c r="F848" s="276"/>
      <c r="G848" s="276"/>
      <c r="H848" s="275"/>
      <c r="I848" s="275"/>
      <c r="J848" s="275"/>
      <c r="K848" s="275"/>
      <c r="L848" s="275"/>
      <c r="M848" s="275"/>
      <c r="N848" s="275"/>
    </row>
    <row r="849" spans="1:14">
      <c r="A849" s="274"/>
      <c r="B849" s="275"/>
      <c r="C849" s="276"/>
      <c r="D849" s="276"/>
      <c r="E849" s="276"/>
      <c r="F849" s="276"/>
      <c r="G849" s="276"/>
      <c r="H849" s="275"/>
      <c r="I849" s="275"/>
      <c r="J849" s="275"/>
      <c r="K849" s="275"/>
      <c r="L849" s="275"/>
      <c r="M849" s="275"/>
      <c r="N849" s="275"/>
    </row>
    <row r="850" spans="1:14">
      <c r="A850" s="274"/>
      <c r="B850" s="275"/>
      <c r="C850" s="276"/>
      <c r="D850" s="276"/>
      <c r="E850" s="276"/>
      <c r="F850" s="276"/>
      <c r="G850" s="276"/>
      <c r="H850" s="275"/>
      <c r="I850" s="275"/>
      <c r="J850" s="275"/>
      <c r="K850" s="275"/>
      <c r="L850" s="275"/>
      <c r="M850" s="275"/>
      <c r="N850" s="275"/>
    </row>
    <row r="851" spans="1:14">
      <c r="A851" s="274"/>
      <c r="B851" s="275"/>
      <c r="C851" s="276"/>
      <c r="D851" s="276"/>
      <c r="E851" s="276"/>
      <c r="F851" s="276"/>
      <c r="G851" s="276"/>
      <c r="H851" s="275"/>
      <c r="I851" s="275"/>
      <c r="J851" s="275"/>
      <c r="K851" s="275"/>
      <c r="L851" s="275"/>
      <c r="M851" s="275"/>
      <c r="N851" s="275"/>
    </row>
    <row r="852" spans="1:14">
      <c r="A852" s="274"/>
      <c r="B852" s="275"/>
      <c r="C852" s="276"/>
      <c r="D852" s="276"/>
      <c r="E852" s="276"/>
      <c r="F852" s="276"/>
      <c r="G852" s="276"/>
      <c r="H852" s="275"/>
      <c r="I852" s="275"/>
      <c r="J852" s="275"/>
      <c r="K852" s="275"/>
      <c r="L852" s="275"/>
      <c r="M852" s="275"/>
      <c r="N852" s="275"/>
    </row>
    <row r="853" spans="1:14">
      <c r="A853" s="274"/>
      <c r="B853" s="275"/>
      <c r="C853" s="276"/>
      <c r="D853" s="276"/>
      <c r="E853" s="276"/>
      <c r="F853" s="276"/>
      <c r="G853" s="276"/>
      <c r="H853" s="275"/>
      <c r="I853" s="275"/>
      <c r="J853" s="275"/>
      <c r="K853" s="275"/>
      <c r="L853" s="275"/>
      <c r="M853" s="275"/>
      <c r="N853" s="275"/>
    </row>
    <row r="854" spans="1:14">
      <c r="A854" s="274"/>
      <c r="B854" s="275"/>
      <c r="C854" s="276"/>
      <c r="D854" s="276"/>
      <c r="E854" s="276"/>
      <c r="F854" s="277"/>
      <c r="G854" s="276"/>
      <c r="H854" s="275"/>
      <c r="I854" s="275"/>
      <c r="J854" s="275"/>
      <c r="K854" s="275"/>
      <c r="L854" s="275"/>
      <c r="M854" s="275"/>
      <c r="N854" s="275"/>
    </row>
    <row r="855" spans="1:14">
      <c r="A855" s="274"/>
      <c r="B855" s="275"/>
      <c r="C855" s="276"/>
      <c r="D855" s="276"/>
      <c r="E855" s="276"/>
      <c r="F855" s="276"/>
      <c r="G855" s="276"/>
      <c r="H855" s="275"/>
      <c r="I855" s="275"/>
      <c r="J855" s="275"/>
      <c r="K855" s="275"/>
      <c r="L855" s="275"/>
      <c r="M855" s="275"/>
      <c r="N855" s="275"/>
    </row>
    <row r="856" spans="1:14">
      <c r="A856" s="274"/>
      <c r="B856" s="275"/>
      <c r="C856" s="276"/>
      <c r="D856" s="276"/>
      <c r="E856" s="276"/>
      <c r="F856" s="276"/>
      <c r="G856" s="276"/>
      <c r="H856" s="275"/>
      <c r="I856" s="275"/>
      <c r="J856" s="275"/>
      <c r="K856" s="275"/>
      <c r="L856" s="275"/>
      <c r="M856" s="275"/>
      <c r="N856" s="275"/>
    </row>
    <row r="857" spans="1:14">
      <c r="A857" s="274"/>
      <c r="B857" s="275"/>
      <c r="C857" s="276"/>
      <c r="D857" s="276"/>
      <c r="E857" s="276"/>
      <c r="F857" s="276"/>
      <c r="G857" s="276"/>
      <c r="H857" s="275"/>
      <c r="I857" s="275"/>
      <c r="J857" s="275"/>
      <c r="K857" s="275"/>
      <c r="L857" s="275"/>
      <c r="M857" s="275"/>
      <c r="N857" s="275"/>
    </row>
    <row r="858" spans="1:14">
      <c r="A858" s="274"/>
      <c r="B858" s="275"/>
      <c r="C858" s="276"/>
      <c r="D858" s="276"/>
      <c r="E858" s="276"/>
      <c r="F858" s="276"/>
      <c r="G858" s="276"/>
      <c r="H858" s="275"/>
      <c r="I858" s="275"/>
      <c r="J858" s="275"/>
      <c r="K858" s="275"/>
      <c r="L858" s="275"/>
      <c r="M858" s="275"/>
      <c r="N858" s="275"/>
    </row>
    <row r="859" spans="1:14">
      <c r="A859" s="274"/>
      <c r="B859" s="275"/>
      <c r="C859" s="276"/>
      <c r="D859" s="276"/>
      <c r="E859" s="276"/>
      <c r="F859" s="276"/>
      <c r="G859" s="276"/>
      <c r="H859" s="275"/>
      <c r="I859" s="275"/>
      <c r="J859" s="275"/>
      <c r="K859" s="275"/>
      <c r="L859" s="275"/>
      <c r="M859" s="275"/>
      <c r="N859" s="275"/>
    </row>
    <row r="860" spans="1:14">
      <c r="A860" s="274"/>
      <c r="B860" s="275"/>
      <c r="C860" s="276"/>
      <c r="D860" s="276"/>
      <c r="E860" s="276"/>
      <c r="F860" s="276"/>
      <c r="G860" s="276"/>
      <c r="H860" s="275"/>
      <c r="I860" s="275"/>
      <c r="J860" s="275"/>
      <c r="K860" s="275"/>
      <c r="L860" s="275"/>
      <c r="M860" s="275"/>
      <c r="N860" s="275"/>
    </row>
    <row r="861" spans="1:14">
      <c r="A861" s="274"/>
      <c r="B861" s="275"/>
      <c r="C861" s="276"/>
      <c r="D861" s="276"/>
      <c r="E861" s="276"/>
      <c r="F861" s="276"/>
      <c r="G861" s="276"/>
      <c r="H861" s="275"/>
      <c r="I861" s="275"/>
      <c r="J861" s="275"/>
      <c r="K861" s="275"/>
      <c r="L861" s="275"/>
      <c r="M861" s="275"/>
      <c r="N861" s="275"/>
    </row>
    <row r="862" spans="1:14">
      <c r="A862" s="274"/>
      <c r="B862" s="275"/>
      <c r="C862" s="276"/>
      <c r="D862" s="276"/>
      <c r="E862" s="276"/>
      <c r="F862" s="276"/>
      <c r="G862" s="276"/>
      <c r="H862" s="275"/>
      <c r="I862" s="275"/>
      <c r="J862" s="275"/>
      <c r="K862" s="275"/>
      <c r="L862" s="275"/>
      <c r="M862" s="275"/>
      <c r="N862" s="275"/>
    </row>
    <row r="863" spans="1:14">
      <c r="A863" s="274"/>
      <c r="B863" s="275"/>
      <c r="C863" s="276"/>
      <c r="D863" s="276"/>
      <c r="E863" s="276"/>
      <c r="F863" s="276"/>
      <c r="G863" s="276"/>
      <c r="H863" s="275"/>
      <c r="I863" s="275"/>
      <c r="J863" s="275"/>
      <c r="K863" s="275"/>
      <c r="L863" s="275"/>
      <c r="M863" s="275"/>
      <c r="N863" s="275"/>
    </row>
    <row r="864" spans="1:14">
      <c r="A864" s="274"/>
      <c r="B864" s="275"/>
      <c r="C864" s="276"/>
      <c r="D864" s="276"/>
      <c r="E864" s="276"/>
      <c r="F864" s="276"/>
      <c r="G864" s="276"/>
      <c r="H864" s="275"/>
      <c r="I864" s="275"/>
      <c r="J864" s="275"/>
      <c r="K864" s="275"/>
      <c r="L864" s="275"/>
      <c r="M864" s="275"/>
      <c r="N864" s="275"/>
    </row>
    <row r="865" spans="1:14">
      <c r="A865" s="274"/>
      <c r="B865" s="275"/>
      <c r="C865" s="276"/>
      <c r="D865" s="276"/>
      <c r="E865" s="276"/>
      <c r="F865" s="276"/>
      <c r="G865" s="276"/>
      <c r="H865" s="275"/>
      <c r="I865" s="275"/>
      <c r="J865" s="275"/>
      <c r="K865" s="275"/>
      <c r="L865" s="275"/>
      <c r="M865" s="275"/>
      <c r="N865" s="275"/>
    </row>
    <row r="866" spans="1:14">
      <c r="A866" s="274"/>
      <c r="B866" s="275"/>
      <c r="C866" s="276"/>
      <c r="D866" s="276"/>
      <c r="E866" s="276"/>
      <c r="F866" s="276"/>
      <c r="G866" s="276"/>
      <c r="H866" s="275"/>
      <c r="I866" s="275"/>
      <c r="J866" s="275"/>
      <c r="K866" s="275"/>
      <c r="L866" s="275"/>
      <c r="M866" s="275"/>
      <c r="N866" s="275"/>
    </row>
    <row r="867" spans="1:14">
      <c r="A867" s="274"/>
      <c r="B867" s="275"/>
      <c r="C867" s="276"/>
      <c r="D867" s="276"/>
      <c r="E867" s="276"/>
      <c r="F867" s="276"/>
      <c r="G867" s="276"/>
      <c r="H867" s="275"/>
      <c r="I867" s="275"/>
      <c r="J867" s="275"/>
      <c r="K867" s="275"/>
      <c r="L867" s="275"/>
      <c r="M867" s="275"/>
      <c r="N867" s="275"/>
    </row>
    <row r="868" spans="1:14">
      <c r="A868" s="274"/>
      <c r="B868" s="275"/>
      <c r="C868" s="276"/>
      <c r="D868" s="276"/>
      <c r="E868" s="276"/>
      <c r="F868" s="276"/>
      <c r="G868" s="276"/>
      <c r="H868" s="275"/>
      <c r="I868" s="275"/>
      <c r="J868" s="275"/>
      <c r="K868" s="275"/>
      <c r="L868" s="275"/>
      <c r="M868" s="275"/>
      <c r="N868" s="275"/>
    </row>
    <row r="869" spans="1:14">
      <c r="A869" s="274"/>
      <c r="B869" s="275"/>
      <c r="C869" s="276"/>
      <c r="D869" s="276"/>
      <c r="E869" s="276"/>
      <c r="F869" s="276"/>
      <c r="G869" s="276"/>
      <c r="H869" s="275"/>
      <c r="I869" s="275"/>
      <c r="J869" s="275"/>
      <c r="K869" s="275"/>
      <c r="L869" s="275"/>
      <c r="M869" s="275"/>
      <c r="N869" s="275"/>
    </row>
    <row r="870" spans="1:14">
      <c r="A870" s="274"/>
      <c r="B870" s="275"/>
      <c r="C870" s="276"/>
      <c r="D870" s="276"/>
      <c r="E870" s="276"/>
      <c r="F870" s="276"/>
      <c r="G870" s="276"/>
      <c r="H870" s="275"/>
      <c r="I870" s="275"/>
      <c r="J870" s="275"/>
      <c r="K870" s="275"/>
      <c r="L870" s="275"/>
      <c r="M870" s="275"/>
      <c r="N870" s="275"/>
    </row>
    <row r="871" spans="1:14">
      <c r="A871" s="274"/>
      <c r="B871" s="275"/>
      <c r="C871" s="276"/>
      <c r="D871" s="276"/>
      <c r="E871" s="276"/>
      <c r="F871" s="276"/>
      <c r="G871" s="276"/>
      <c r="H871" s="275"/>
      <c r="I871" s="275"/>
      <c r="J871" s="275"/>
      <c r="K871" s="275"/>
      <c r="L871" s="275"/>
      <c r="M871" s="275"/>
      <c r="N871" s="275"/>
    </row>
    <row r="872" spans="1:14">
      <c r="A872" s="274"/>
      <c r="B872" s="275"/>
      <c r="C872" s="276"/>
      <c r="D872" s="276"/>
      <c r="E872" s="276"/>
      <c r="F872" s="276"/>
      <c r="G872" s="276"/>
      <c r="H872" s="275"/>
      <c r="I872" s="275"/>
      <c r="J872" s="275"/>
      <c r="K872" s="275"/>
      <c r="L872" s="275"/>
      <c r="M872" s="275"/>
      <c r="N872" s="275"/>
    </row>
    <row r="873" spans="1:14">
      <c r="A873" s="274"/>
      <c r="B873" s="275"/>
      <c r="C873" s="276"/>
      <c r="D873" s="276"/>
      <c r="E873" s="276"/>
      <c r="F873" s="276"/>
      <c r="G873" s="276"/>
      <c r="H873" s="275"/>
      <c r="I873" s="275"/>
      <c r="J873" s="275"/>
      <c r="K873" s="275"/>
      <c r="L873" s="275"/>
      <c r="M873" s="275"/>
      <c r="N873" s="275"/>
    </row>
    <row r="874" spans="1:14">
      <c r="A874" s="274"/>
      <c r="B874" s="275"/>
      <c r="C874" s="276"/>
      <c r="D874" s="276"/>
      <c r="E874" s="276"/>
      <c r="F874" s="276"/>
      <c r="G874" s="276"/>
      <c r="H874" s="275"/>
      <c r="I874" s="275"/>
      <c r="J874" s="275"/>
      <c r="K874" s="275"/>
      <c r="L874" s="275"/>
      <c r="M874" s="275"/>
      <c r="N874" s="275"/>
    </row>
    <row r="875" spans="1:14">
      <c r="A875" s="274"/>
      <c r="B875" s="275"/>
      <c r="C875" s="276"/>
      <c r="D875" s="276"/>
      <c r="E875" s="276"/>
      <c r="F875" s="277"/>
      <c r="G875" s="276"/>
      <c r="H875" s="275"/>
      <c r="I875" s="275"/>
      <c r="J875" s="275"/>
      <c r="K875" s="275"/>
      <c r="L875" s="275"/>
      <c r="M875" s="275"/>
      <c r="N875" s="275"/>
    </row>
    <row r="876" spans="1:14">
      <c r="A876" s="274"/>
      <c r="B876" s="275"/>
      <c r="C876" s="276"/>
      <c r="D876" s="276"/>
      <c r="E876" s="276"/>
      <c r="F876" s="263"/>
      <c r="G876" s="276"/>
      <c r="H876" s="275"/>
      <c r="I876" s="275"/>
      <c r="J876" s="275"/>
      <c r="K876" s="275"/>
      <c r="L876" s="275"/>
      <c r="M876" s="275"/>
      <c r="N876" s="275"/>
    </row>
    <row r="877" spans="1:14">
      <c r="A877" s="274"/>
      <c r="B877" s="275"/>
      <c r="C877" s="276"/>
      <c r="D877" s="276"/>
      <c r="E877" s="276"/>
      <c r="F877" s="263"/>
      <c r="G877" s="276"/>
      <c r="H877" s="275"/>
      <c r="I877" s="275"/>
      <c r="J877" s="275"/>
      <c r="K877" s="275"/>
      <c r="L877" s="275"/>
      <c r="M877" s="275"/>
      <c r="N877" s="275"/>
    </row>
    <row r="878" spans="1:14">
      <c r="A878" s="274"/>
      <c r="B878" s="275"/>
      <c r="C878" s="276"/>
      <c r="D878" s="276"/>
      <c r="E878" s="276"/>
      <c r="F878" s="277"/>
      <c r="G878" s="276"/>
      <c r="H878" s="275"/>
      <c r="I878" s="275"/>
      <c r="J878" s="275"/>
      <c r="K878" s="275"/>
      <c r="L878" s="275"/>
      <c r="M878" s="275"/>
      <c r="N878" s="275"/>
    </row>
    <row r="879" spans="1:14">
      <c r="A879" s="274"/>
      <c r="B879" s="275"/>
      <c r="C879" s="276"/>
      <c r="D879" s="276"/>
      <c r="E879" s="276"/>
      <c r="F879" s="276"/>
      <c r="G879" s="276"/>
      <c r="H879" s="275"/>
      <c r="I879" s="275"/>
      <c r="J879" s="275"/>
      <c r="K879" s="275"/>
      <c r="L879" s="275"/>
      <c r="M879" s="275"/>
      <c r="N879" s="275"/>
    </row>
    <row r="880" spans="1:14">
      <c r="A880" s="274"/>
      <c r="B880" s="275"/>
      <c r="C880" s="276"/>
      <c r="D880" s="276"/>
      <c r="E880" s="276"/>
      <c r="F880" s="276"/>
      <c r="G880" s="276"/>
      <c r="H880" s="275"/>
      <c r="I880" s="275"/>
      <c r="J880" s="275"/>
      <c r="K880" s="275"/>
      <c r="L880" s="275"/>
      <c r="M880" s="275"/>
      <c r="N880" s="275"/>
    </row>
    <row r="881" spans="1:14">
      <c r="A881" s="274"/>
      <c r="B881" s="275"/>
      <c r="C881" s="276"/>
      <c r="D881" s="276"/>
      <c r="E881" s="276"/>
      <c r="F881" s="276"/>
      <c r="G881" s="276"/>
      <c r="H881" s="275"/>
      <c r="I881" s="275"/>
      <c r="J881" s="275"/>
      <c r="K881" s="275"/>
      <c r="L881" s="275"/>
      <c r="M881" s="275"/>
      <c r="N881" s="275"/>
    </row>
    <row r="882" spans="1:14">
      <c r="A882" s="274"/>
      <c r="B882" s="275"/>
      <c r="C882" s="276"/>
      <c r="D882" s="276"/>
      <c r="E882" s="276"/>
      <c r="F882" s="276"/>
      <c r="G882" s="276"/>
      <c r="H882" s="275"/>
      <c r="I882" s="275"/>
      <c r="J882" s="275"/>
      <c r="K882" s="275"/>
      <c r="L882" s="275"/>
      <c r="M882" s="275"/>
      <c r="N882" s="275"/>
    </row>
    <row r="883" spans="1:14">
      <c r="A883" s="274"/>
      <c r="B883" s="275"/>
      <c r="C883" s="276"/>
      <c r="D883" s="276"/>
      <c r="E883" s="276"/>
      <c r="F883" s="276"/>
      <c r="G883" s="276"/>
      <c r="H883" s="275"/>
      <c r="I883" s="275"/>
      <c r="J883" s="275"/>
      <c r="K883" s="275"/>
      <c r="L883" s="275"/>
      <c r="M883" s="275"/>
      <c r="N883" s="275"/>
    </row>
    <row r="884" spans="1:14">
      <c r="A884" s="274"/>
      <c r="B884" s="275"/>
      <c r="C884" s="276"/>
      <c r="D884" s="276"/>
      <c r="E884" s="276"/>
      <c r="F884" s="276"/>
      <c r="G884" s="276"/>
      <c r="H884" s="275"/>
      <c r="I884" s="275"/>
      <c r="J884" s="275"/>
      <c r="K884" s="275"/>
      <c r="L884" s="275"/>
      <c r="M884" s="275"/>
      <c r="N884" s="275"/>
    </row>
    <row r="885" spans="1:14">
      <c r="A885" s="274"/>
      <c r="B885" s="275"/>
      <c r="C885" s="276"/>
      <c r="D885" s="276"/>
      <c r="E885" s="276"/>
      <c r="F885" s="276"/>
      <c r="G885" s="276"/>
      <c r="H885" s="275"/>
      <c r="I885" s="275"/>
      <c r="J885" s="275"/>
      <c r="K885" s="275"/>
      <c r="L885" s="275"/>
      <c r="M885" s="275"/>
      <c r="N885" s="275"/>
    </row>
    <row r="886" spans="1:14">
      <c r="A886" s="274"/>
      <c r="B886" s="275"/>
      <c r="C886" s="276"/>
      <c r="D886" s="276"/>
      <c r="E886" s="276"/>
      <c r="F886" s="276"/>
      <c r="G886" s="276"/>
      <c r="H886" s="275"/>
      <c r="I886" s="275"/>
      <c r="J886" s="275"/>
      <c r="K886" s="275"/>
      <c r="L886" s="275"/>
      <c r="M886" s="275"/>
      <c r="N886" s="275"/>
    </row>
    <row r="887" spans="1:14">
      <c r="A887" s="274"/>
      <c r="B887" s="275"/>
      <c r="C887" s="276"/>
      <c r="D887" s="276"/>
      <c r="E887" s="276"/>
      <c r="F887" s="276"/>
      <c r="G887" s="276"/>
      <c r="H887" s="275"/>
      <c r="I887" s="275"/>
      <c r="J887" s="275"/>
      <c r="K887" s="275"/>
      <c r="L887" s="275"/>
      <c r="M887" s="275"/>
      <c r="N887" s="275"/>
    </row>
    <row r="888" spans="1:14">
      <c r="A888" s="274"/>
      <c r="B888" s="275"/>
      <c r="C888" s="276"/>
      <c r="D888" s="276"/>
      <c r="E888" s="276"/>
      <c r="F888" s="276"/>
      <c r="G888" s="276"/>
      <c r="H888" s="275"/>
      <c r="I888" s="275"/>
      <c r="J888" s="275"/>
      <c r="K888" s="275"/>
      <c r="L888" s="275"/>
      <c r="M888" s="275"/>
      <c r="N888" s="275"/>
    </row>
    <row r="889" spans="1:14">
      <c r="A889" s="274"/>
      <c r="B889" s="275"/>
      <c r="C889" s="276"/>
      <c r="D889" s="276"/>
      <c r="E889" s="276"/>
      <c r="F889" s="276"/>
      <c r="G889" s="276"/>
      <c r="H889" s="275"/>
      <c r="I889" s="275"/>
      <c r="J889" s="275"/>
      <c r="K889" s="275"/>
      <c r="L889" s="275"/>
      <c r="M889" s="275"/>
      <c r="N889" s="275"/>
    </row>
    <row r="890" spans="1:14">
      <c r="A890" s="274"/>
      <c r="B890" s="275"/>
      <c r="C890" s="276"/>
      <c r="D890" s="276"/>
      <c r="E890" s="276"/>
      <c r="F890" s="277"/>
      <c r="G890" s="276"/>
      <c r="H890" s="275"/>
      <c r="I890" s="275"/>
      <c r="J890" s="275"/>
      <c r="K890" s="275"/>
      <c r="L890" s="275"/>
      <c r="M890" s="275"/>
      <c r="N890" s="275"/>
    </row>
    <row r="891" spans="1:14">
      <c r="A891" s="274"/>
      <c r="B891" s="275"/>
      <c r="C891" s="276"/>
      <c r="D891" s="276"/>
      <c r="E891" s="276"/>
      <c r="F891" s="276"/>
      <c r="G891" s="276"/>
      <c r="H891" s="275"/>
      <c r="I891" s="275"/>
      <c r="J891" s="275"/>
      <c r="K891" s="275"/>
      <c r="L891" s="275"/>
      <c r="M891" s="275"/>
      <c r="N891" s="275"/>
    </row>
    <row r="892" spans="1:14">
      <c r="A892" s="274"/>
      <c r="B892" s="275"/>
      <c r="C892" s="276"/>
      <c r="D892" s="276"/>
      <c r="E892" s="276"/>
      <c r="F892" s="276"/>
      <c r="G892" s="276"/>
      <c r="H892" s="275"/>
      <c r="I892" s="275"/>
      <c r="J892" s="275"/>
      <c r="K892" s="275"/>
      <c r="L892" s="275"/>
      <c r="M892" s="275"/>
      <c r="N892" s="275"/>
    </row>
    <row r="893" spans="1:14">
      <c r="A893" s="274"/>
      <c r="B893" s="275"/>
      <c r="C893" s="276"/>
      <c r="D893" s="276"/>
      <c r="E893" s="276"/>
      <c r="F893" s="276"/>
      <c r="G893" s="276"/>
      <c r="H893" s="275"/>
      <c r="I893" s="275"/>
      <c r="J893" s="275"/>
      <c r="K893" s="275"/>
      <c r="L893" s="275"/>
      <c r="M893" s="275"/>
      <c r="N893" s="275"/>
    </row>
    <row r="894" spans="1:14">
      <c r="A894" s="274"/>
      <c r="B894" s="275"/>
      <c r="C894" s="276"/>
      <c r="D894" s="276"/>
      <c r="E894" s="276"/>
      <c r="F894" s="276"/>
      <c r="G894" s="276"/>
      <c r="H894" s="275"/>
      <c r="I894" s="275"/>
      <c r="J894" s="275"/>
      <c r="K894" s="275"/>
      <c r="L894" s="275"/>
      <c r="M894" s="275"/>
      <c r="N894" s="275"/>
    </row>
    <row r="895" spans="1:14">
      <c r="A895" s="274"/>
      <c r="B895" s="275"/>
      <c r="C895" s="276"/>
      <c r="D895" s="276"/>
      <c r="E895" s="276"/>
      <c r="F895" s="276"/>
      <c r="G895" s="276"/>
      <c r="H895" s="275"/>
      <c r="I895" s="275"/>
      <c r="J895" s="275"/>
      <c r="K895" s="275"/>
      <c r="L895" s="275"/>
      <c r="M895" s="275"/>
      <c r="N895" s="275"/>
    </row>
    <row r="896" spans="1:14">
      <c r="A896" s="274"/>
      <c r="B896" s="275"/>
      <c r="C896" s="276"/>
      <c r="D896" s="276"/>
      <c r="E896" s="276"/>
      <c r="F896" s="276"/>
      <c r="G896" s="276"/>
      <c r="H896" s="275"/>
      <c r="I896" s="275"/>
      <c r="J896" s="275"/>
      <c r="K896" s="275"/>
      <c r="L896" s="275"/>
      <c r="M896" s="275"/>
      <c r="N896" s="275"/>
    </row>
    <row r="897" spans="1:14">
      <c r="A897" s="274"/>
      <c r="B897" s="275"/>
      <c r="C897" s="276"/>
      <c r="D897" s="276"/>
      <c r="E897" s="276"/>
      <c r="F897" s="276"/>
      <c r="G897" s="276"/>
      <c r="H897" s="275"/>
      <c r="I897" s="275"/>
      <c r="J897" s="275"/>
      <c r="K897" s="275"/>
      <c r="L897" s="275"/>
      <c r="M897" s="275"/>
      <c r="N897" s="275"/>
    </row>
    <row r="898" spans="1:14">
      <c r="A898" s="274"/>
      <c r="B898" s="275"/>
      <c r="C898" s="276"/>
      <c r="D898" s="276"/>
      <c r="E898" s="276"/>
      <c r="F898" s="276"/>
      <c r="G898" s="276"/>
      <c r="H898" s="275"/>
      <c r="I898" s="275"/>
      <c r="J898" s="275"/>
      <c r="K898" s="275"/>
      <c r="L898" s="275"/>
      <c r="M898" s="275"/>
      <c r="N898" s="275"/>
    </row>
    <row r="899" spans="1:14">
      <c r="A899" s="274"/>
      <c r="B899" s="275"/>
      <c r="C899" s="276"/>
      <c r="D899" s="276"/>
      <c r="E899" s="276"/>
      <c r="F899" s="276"/>
      <c r="G899" s="276"/>
      <c r="H899" s="275"/>
      <c r="I899" s="275"/>
      <c r="J899" s="275"/>
      <c r="K899" s="275"/>
      <c r="L899" s="275"/>
      <c r="M899" s="275"/>
      <c r="N899" s="275"/>
    </row>
    <row r="900" spans="1:14">
      <c r="A900" s="274"/>
      <c r="B900" s="275"/>
      <c r="C900" s="276"/>
      <c r="D900" s="276"/>
      <c r="E900" s="276"/>
      <c r="F900" s="276"/>
      <c r="G900" s="276"/>
      <c r="H900" s="275"/>
      <c r="I900" s="275"/>
      <c r="J900" s="275"/>
      <c r="K900" s="275"/>
      <c r="L900" s="275"/>
      <c r="M900" s="275"/>
      <c r="N900" s="275"/>
    </row>
    <row r="901" spans="1:14">
      <c r="A901" s="274"/>
      <c r="B901" s="275"/>
      <c r="C901" s="276"/>
      <c r="D901" s="276"/>
      <c r="E901" s="276"/>
      <c r="F901" s="276"/>
      <c r="G901" s="276"/>
      <c r="H901" s="275"/>
      <c r="I901" s="275"/>
      <c r="J901" s="275"/>
      <c r="K901" s="275"/>
      <c r="L901" s="275"/>
      <c r="M901" s="275"/>
      <c r="N901" s="275"/>
    </row>
    <row r="902" spans="1:14">
      <c r="A902" s="274"/>
      <c r="B902" s="275"/>
      <c r="C902" s="276"/>
      <c r="D902" s="276"/>
      <c r="E902" s="276"/>
      <c r="F902" s="276"/>
      <c r="G902" s="276"/>
      <c r="H902" s="275"/>
      <c r="I902" s="275"/>
      <c r="J902" s="275"/>
      <c r="K902" s="275"/>
      <c r="L902" s="275"/>
      <c r="M902" s="275"/>
      <c r="N902" s="275"/>
    </row>
    <row r="903" spans="1:14">
      <c r="A903" s="274"/>
      <c r="B903" s="275"/>
      <c r="C903" s="276"/>
      <c r="D903" s="276"/>
      <c r="E903" s="276"/>
      <c r="F903" s="276"/>
      <c r="G903" s="276"/>
      <c r="H903" s="275"/>
      <c r="I903" s="275"/>
      <c r="J903" s="275"/>
      <c r="K903" s="275"/>
      <c r="L903" s="275"/>
      <c r="M903" s="275"/>
      <c r="N903" s="275"/>
    </row>
    <row r="904" spans="1:14">
      <c r="A904" s="274"/>
      <c r="B904" s="275"/>
      <c r="C904" s="276"/>
      <c r="D904" s="276"/>
      <c r="E904" s="276"/>
      <c r="F904" s="276"/>
      <c r="G904" s="276"/>
      <c r="H904" s="275"/>
      <c r="I904" s="275"/>
      <c r="J904" s="275"/>
      <c r="K904" s="275"/>
      <c r="L904" s="275"/>
      <c r="M904" s="275"/>
      <c r="N904" s="275"/>
    </row>
    <row r="905" spans="1:14">
      <c r="A905" s="274"/>
      <c r="B905" s="275"/>
      <c r="C905" s="276"/>
      <c r="D905" s="276"/>
      <c r="E905" s="276"/>
      <c r="F905" s="276"/>
      <c r="G905" s="276"/>
      <c r="H905" s="275"/>
      <c r="I905" s="275"/>
      <c r="J905" s="275"/>
      <c r="K905" s="275"/>
      <c r="L905" s="275"/>
      <c r="M905" s="275"/>
      <c r="N905" s="275"/>
    </row>
    <row r="906" spans="1:14">
      <c r="A906" s="274"/>
      <c r="B906" s="275"/>
      <c r="C906" s="276"/>
      <c r="D906" s="276"/>
      <c r="E906" s="276"/>
      <c r="F906" s="276"/>
      <c r="G906" s="276"/>
      <c r="H906" s="275"/>
      <c r="I906" s="275"/>
      <c r="J906" s="275"/>
      <c r="K906" s="275"/>
      <c r="L906" s="275"/>
      <c r="M906" s="275"/>
      <c r="N906" s="275"/>
    </row>
    <row r="907" spans="1:14">
      <c r="A907" s="274"/>
      <c r="B907" s="275"/>
      <c r="C907" s="276"/>
      <c r="D907" s="276"/>
      <c r="E907" s="276"/>
      <c r="F907" s="276"/>
      <c r="G907" s="276"/>
      <c r="H907" s="275"/>
      <c r="I907" s="275"/>
      <c r="J907" s="275"/>
      <c r="K907" s="275"/>
      <c r="L907" s="275"/>
      <c r="M907" s="275"/>
      <c r="N907" s="275"/>
    </row>
    <row r="908" spans="1:14">
      <c r="A908" s="274"/>
      <c r="B908" s="275"/>
      <c r="C908" s="276"/>
      <c r="D908" s="276"/>
      <c r="E908" s="276"/>
      <c r="F908" s="277"/>
      <c r="G908" s="276"/>
      <c r="H908" s="275"/>
      <c r="I908" s="275"/>
      <c r="J908" s="275"/>
      <c r="K908" s="275"/>
      <c r="L908" s="275"/>
      <c r="M908" s="275"/>
      <c r="N908" s="275"/>
    </row>
    <row r="909" spans="1:14">
      <c r="A909" s="274"/>
      <c r="B909" s="275"/>
      <c r="C909" s="276"/>
      <c r="D909" s="276"/>
      <c r="E909" s="276"/>
      <c r="F909" s="263"/>
      <c r="G909" s="276"/>
      <c r="H909" s="275"/>
      <c r="I909" s="275"/>
      <c r="J909" s="275"/>
      <c r="K909" s="275"/>
      <c r="L909" s="275"/>
      <c r="M909" s="275"/>
      <c r="N909" s="275"/>
    </row>
    <row r="910" spans="1:14">
      <c r="A910" s="274"/>
      <c r="B910" s="275"/>
      <c r="C910" s="276"/>
      <c r="D910" s="276"/>
      <c r="E910" s="276"/>
      <c r="F910" s="277"/>
      <c r="G910" s="276"/>
      <c r="H910" s="275"/>
      <c r="I910" s="275"/>
      <c r="J910" s="275"/>
      <c r="K910" s="275"/>
      <c r="L910" s="275"/>
      <c r="M910" s="275"/>
      <c r="N910" s="275"/>
    </row>
    <row r="911" spans="1:14">
      <c r="A911" s="274"/>
      <c r="B911" s="275"/>
      <c r="C911" s="276"/>
      <c r="D911" s="276"/>
      <c r="E911" s="276"/>
      <c r="F911" s="263"/>
      <c r="G911" s="276"/>
      <c r="H911" s="275"/>
      <c r="I911" s="275"/>
      <c r="J911" s="275"/>
      <c r="K911" s="275"/>
      <c r="L911" s="275"/>
      <c r="M911" s="275"/>
      <c r="N911" s="275"/>
    </row>
    <row r="912" spans="1:14">
      <c r="A912" s="274"/>
      <c r="B912" s="275"/>
      <c r="C912" s="276"/>
      <c r="D912" s="276"/>
      <c r="E912" s="276"/>
      <c r="F912" s="277"/>
      <c r="G912" s="276"/>
      <c r="H912" s="275"/>
      <c r="I912" s="275"/>
      <c r="J912" s="275"/>
      <c r="K912" s="275"/>
      <c r="L912" s="275"/>
      <c r="M912" s="275"/>
      <c r="N912" s="275"/>
    </row>
    <row r="913" spans="1:14">
      <c r="A913" s="274"/>
      <c r="B913" s="275"/>
      <c r="C913" s="276"/>
      <c r="D913" s="276"/>
      <c r="E913" s="276"/>
      <c r="F913" s="277"/>
      <c r="G913" s="276"/>
      <c r="H913" s="275"/>
      <c r="I913" s="275"/>
      <c r="J913" s="275"/>
      <c r="K913" s="275"/>
      <c r="L913" s="275"/>
      <c r="M913" s="275"/>
      <c r="N913" s="275"/>
    </row>
    <row r="914" spans="1:14">
      <c r="A914" s="274"/>
      <c r="B914" s="275"/>
      <c r="C914" s="276"/>
      <c r="D914" s="276"/>
      <c r="E914" s="276"/>
      <c r="F914" s="277"/>
      <c r="G914" s="276"/>
      <c r="H914" s="275"/>
      <c r="I914" s="275"/>
      <c r="J914" s="275"/>
      <c r="K914" s="275"/>
      <c r="L914" s="275"/>
      <c r="M914" s="275"/>
      <c r="N914" s="275"/>
    </row>
    <row r="915" spans="1:14">
      <c r="A915" s="274"/>
      <c r="B915" s="275"/>
      <c r="C915" s="276"/>
      <c r="D915" s="276"/>
      <c r="E915" s="276"/>
      <c r="F915" s="263"/>
      <c r="G915" s="276"/>
      <c r="H915" s="275"/>
      <c r="I915" s="275"/>
      <c r="J915" s="275"/>
      <c r="K915" s="275"/>
      <c r="L915" s="275"/>
      <c r="M915" s="275"/>
      <c r="N915" s="275"/>
    </row>
    <row r="916" spans="1:14">
      <c r="A916" s="274"/>
      <c r="B916" s="275"/>
      <c r="C916" s="276"/>
      <c r="D916" s="276"/>
      <c r="E916" s="276"/>
      <c r="F916" s="277"/>
      <c r="G916" s="276"/>
      <c r="H916" s="275"/>
      <c r="I916" s="275"/>
      <c r="J916" s="275"/>
      <c r="K916" s="275"/>
      <c r="L916" s="275"/>
      <c r="M916" s="275"/>
      <c r="N916" s="275"/>
    </row>
    <row r="917" spans="1:14">
      <c r="A917" s="274"/>
      <c r="B917" s="275"/>
      <c r="C917" s="276"/>
      <c r="D917" s="276"/>
      <c r="E917" s="276"/>
      <c r="F917" s="277"/>
      <c r="G917" s="276"/>
      <c r="H917" s="275"/>
      <c r="I917" s="275"/>
      <c r="J917" s="275"/>
      <c r="K917" s="275"/>
      <c r="L917" s="275"/>
      <c r="M917" s="275"/>
      <c r="N917" s="275"/>
    </row>
    <row r="918" spans="1:14">
      <c r="A918" s="274"/>
      <c r="B918" s="275"/>
      <c r="C918" s="276"/>
      <c r="D918" s="276"/>
      <c r="E918" s="276"/>
      <c r="F918" s="277"/>
      <c r="G918" s="276"/>
      <c r="H918" s="275"/>
      <c r="I918" s="275"/>
      <c r="J918" s="275"/>
      <c r="K918" s="275"/>
      <c r="L918" s="275"/>
      <c r="M918" s="275"/>
      <c r="N918" s="275"/>
    </row>
    <row r="919" spans="1:14">
      <c r="A919" s="274"/>
      <c r="B919" s="275"/>
      <c r="C919" s="276"/>
      <c r="D919" s="276"/>
      <c r="E919" s="276"/>
      <c r="F919" s="277"/>
      <c r="G919" s="276"/>
      <c r="H919" s="275"/>
      <c r="I919" s="275"/>
      <c r="J919" s="275"/>
      <c r="K919" s="275"/>
      <c r="L919" s="275"/>
      <c r="M919" s="275"/>
      <c r="N919" s="275"/>
    </row>
    <row r="920" spans="1:14">
      <c r="A920" s="274"/>
      <c r="B920" s="275"/>
      <c r="C920" s="276"/>
      <c r="D920" s="276"/>
      <c r="E920" s="276"/>
      <c r="F920" s="277"/>
      <c r="G920" s="276"/>
      <c r="H920" s="275"/>
      <c r="I920" s="275"/>
      <c r="J920" s="275"/>
      <c r="K920" s="275"/>
      <c r="L920" s="275"/>
      <c r="M920" s="275"/>
      <c r="N920" s="275"/>
    </row>
    <row r="921" spans="1:14">
      <c r="A921" s="274"/>
      <c r="B921" s="275"/>
      <c r="C921" s="276"/>
      <c r="D921" s="276"/>
      <c r="E921" s="276"/>
      <c r="F921" s="277"/>
      <c r="G921" s="276"/>
      <c r="H921" s="275"/>
      <c r="I921" s="275"/>
      <c r="J921" s="275"/>
      <c r="K921" s="275"/>
      <c r="L921" s="275"/>
      <c r="M921" s="275"/>
      <c r="N921" s="275"/>
    </row>
    <row r="922" spans="1:14">
      <c r="A922" s="274"/>
      <c r="B922" s="275"/>
      <c r="C922" s="276"/>
      <c r="D922" s="276"/>
      <c r="E922" s="276"/>
      <c r="F922" s="277"/>
      <c r="G922" s="276"/>
      <c r="H922" s="275"/>
      <c r="I922" s="275"/>
      <c r="J922" s="275"/>
      <c r="K922" s="275"/>
      <c r="L922" s="275"/>
      <c r="M922" s="275"/>
      <c r="N922" s="275"/>
    </row>
    <row r="923" spans="1:14">
      <c r="A923" s="274"/>
      <c r="B923" s="275"/>
      <c r="C923" s="276"/>
      <c r="D923" s="276"/>
      <c r="E923" s="276"/>
      <c r="F923" s="276"/>
      <c r="G923" s="276"/>
      <c r="H923" s="275"/>
      <c r="I923" s="275"/>
      <c r="J923" s="275"/>
      <c r="K923" s="275"/>
      <c r="L923" s="275"/>
      <c r="M923" s="275"/>
      <c r="N923" s="275"/>
    </row>
    <row r="924" spans="1:14">
      <c r="A924" s="274"/>
      <c r="B924" s="275"/>
      <c r="C924" s="276"/>
      <c r="D924" s="276"/>
      <c r="E924" s="276"/>
      <c r="F924" s="276"/>
      <c r="G924" s="276"/>
      <c r="H924" s="275"/>
      <c r="I924" s="275"/>
      <c r="J924" s="275"/>
      <c r="K924" s="275"/>
      <c r="L924" s="275"/>
      <c r="M924" s="275"/>
      <c r="N924" s="275"/>
    </row>
    <row r="925" spans="1:14">
      <c r="A925" s="274"/>
      <c r="B925" s="275"/>
      <c r="C925" s="276"/>
      <c r="D925" s="276"/>
      <c r="E925" s="276"/>
      <c r="F925" s="276"/>
      <c r="G925" s="276"/>
      <c r="H925" s="275"/>
      <c r="I925" s="275"/>
      <c r="J925" s="275"/>
      <c r="K925" s="275"/>
      <c r="L925" s="275"/>
      <c r="M925" s="275"/>
      <c r="N925" s="275"/>
    </row>
    <row r="926" spans="1:14">
      <c r="A926" s="274"/>
      <c r="B926" s="275"/>
      <c r="C926" s="276"/>
      <c r="D926" s="276"/>
      <c r="E926" s="276"/>
      <c r="F926" s="276"/>
      <c r="G926" s="276"/>
      <c r="H926" s="275"/>
      <c r="I926" s="275"/>
      <c r="J926" s="275"/>
      <c r="K926" s="275"/>
      <c r="L926" s="275"/>
      <c r="M926" s="275"/>
      <c r="N926" s="275"/>
    </row>
    <row r="927" spans="1:14">
      <c r="A927" s="274"/>
      <c r="B927" s="275"/>
      <c r="C927" s="276"/>
      <c r="D927" s="276"/>
      <c r="E927" s="276"/>
      <c r="F927" s="277"/>
      <c r="G927" s="276"/>
      <c r="H927" s="275"/>
      <c r="I927" s="275"/>
      <c r="J927" s="275"/>
      <c r="K927" s="275"/>
      <c r="L927" s="275"/>
      <c r="M927" s="275"/>
      <c r="N927" s="275"/>
    </row>
    <row r="928" spans="1:14">
      <c r="A928" s="274"/>
      <c r="B928" s="275"/>
      <c r="C928" s="276"/>
      <c r="D928" s="276"/>
      <c r="E928" s="276"/>
      <c r="F928" s="276"/>
      <c r="G928" s="276"/>
      <c r="H928" s="275"/>
      <c r="I928" s="275"/>
      <c r="J928" s="275"/>
      <c r="K928" s="275"/>
      <c r="L928" s="275"/>
      <c r="M928" s="275"/>
      <c r="N928" s="275"/>
    </row>
    <row r="929" spans="1:14">
      <c r="A929" s="274"/>
      <c r="B929" s="275"/>
      <c r="C929" s="276"/>
      <c r="D929" s="276"/>
      <c r="E929" s="276"/>
      <c r="F929" s="276"/>
      <c r="G929" s="276"/>
      <c r="H929" s="275"/>
      <c r="I929" s="275"/>
      <c r="J929" s="275"/>
      <c r="K929" s="275"/>
      <c r="L929" s="275"/>
      <c r="M929" s="275"/>
      <c r="N929" s="275"/>
    </row>
    <row r="930" spans="1:14">
      <c r="A930" s="274"/>
      <c r="B930" s="275"/>
      <c r="C930" s="276"/>
      <c r="D930" s="276"/>
      <c r="E930" s="276"/>
      <c r="F930" s="277"/>
      <c r="G930" s="276"/>
      <c r="H930" s="275"/>
      <c r="I930" s="275"/>
      <c r="J930" s="275"/>
      <c r="K930" s="275"/>
      <c r="L930" s="275"/>
      <c r="M930" s="275"/>
      <c r="N930" s="275"/>
    </row>
    <row r="931" spans="1:14">
      <c r="A931" s="274"/>
      <c r="B931" s="275"/>
      <c r="C931" s="276"/>
      <c r="D931" s="276"/>
      <c r="E931" s="276"/>
      <c r="F931" s="277"/>
      <c r="G931" s="276"/>
      <c r="H931" s="275"/>
      <c r="I931" s="275"/>
      <c r="J931" s="275"/>
      <c r="K931" s="275"/>
      <c r="L931" s="275"/>
      <c r="M931" s="275"/>
      <c r="N931" s="275"/>
    </row>
    <row r="932" spans="1:14">
      <c r="A932" s="274"/>
      <c r="B932" s="275"/>
      <c r="C932" s="276"/>
      <c r="D932" s="276"/>
      <c r="E932" s="276"/>
      <c r="F932" s="263"/>
      <c r="G932" s="276"/>
      <c r="H932" s="275"/>
      <c r="I932" s="275"/>
      <c r="J932" s="275"/>
      <c r="K932" s="275"/>
      <c r="L932" s="275"/>
      <c r="M932" s="275"/>
      <c r="N932" s="275"/>
    </row>
    <row r="933" spans="1:14">
      <c r="A933" s="274"/>
      <c r="B933" s="275"/>
      <c r="C933" s="276"/>
      <c r="D933" s="276"/>
      <c r="E933" s="276"/>
      <c r="F933" s="277"/>
      <c r="G933" s="276"/>
      <c r="H933" s="275"/>
      <c r="I933" s="275"/>
      <c r="J933" s="275"/>
      <c r="K933" s="275"/>
      <c r="L933" s="275"/>
      <c r="M933" s="275"/>
      <c r="N933" s="275"/>
    </row>
    <row r="934" spans="1:14">
      <c r="A934" s="274"/>
      <c r="B934" s="275"/>
      <c r="C934" s="276"/>
      <c r="D934" s="276"/>
      <c r="E934" s="276"/>
      <c r="F934" s="277"/>
      <c r="G934" s="276"/>
      <c r="H934" s="275"/>
      <c r="I934" s="275"/>
      <c r="J934" s="275"/>
      <c r="K934" s="275"/>
      <c r="L934" s="275"/>
      <c r="M934" s="275"/>
      <c r="N934" s="275"/>
    </row>
    <row r="935" spans="1:14">
      <c r="A935" s="274"/>
      <c r="B935" s="275"/>
      <c r="C935" s="276"/>
      <c r="D935" s="276"/>
      <c r="E935" s="276"/>
      <c r="F935" s="263"/>
      <c r="G935" s="276"/>
      <c r="H935" s="275"/>
      <c r="I935" s="275"/>
      <c r="J935" s="275"/>
      <c r="K935" s="275"/>
      <c r="L935" s="275"/>
      <c r="M935" s="275"/>
      <c r="N935" s="275"/>
    </row>
    <row r="936" spans="1:14">
      <c r="A936" s="274"/>
      <c r="B936" s="275"/>
      <c r="C936" s="276"/>
      <c r="D936" s="276"/>
      <c r="E936" s="276"/>
      <c r="F936" s="263"/>
      <c r="G936" s="276"/>
      <c r="H936" s="275"/>
      <c r="I936" s="275"/>
      <c r="J936" s="275"/>
      <c r="K936" s="275"/>
      <c r="L936" s="275"/>
      <c r="M936" s="275"/>
      <c r="N936" s="275"/>
    </row>
    <row r="937" spans="1:14">
      <c r="A937" s="274"/>
      <c r="B937" s="275"/>
      <c r="C937" s="276"/>
      <c r="D937" s="276"/>
      <c r="E937" s="276"/>
      <c r="F937" s="263"/>
      <c r="G937" s="276"/>
      <c r="H937" s="275"/>
      <c r="I937" s="275"/>
      <c r="J937" s="275"/>
      <c r="K937" s="275"/>
      <c r="L937" s="275"/>
      <c r="M937" s="275"/>
      <c r="N937" s="275"/>
    </row>
    <row r="938" spans="1:14">
      <c r="A938" s="274"/>
      <c r="B938" s="275"/>
      <c r="C938" s="276"/>
      <c r="D938" s="276"/>
      <c r="E938" s="276"/>
      <c r="F938" s="263"/>
      <c r="G938" s="276"/>
      <c r="H938" s="275"/>
      <c r="I938" s="275"/>
      <c r="J938" s="275"/>
      <c r="K938" s="275"/>
      <c r="L938" s="275"/>
      <c r="M938" s="275"/>
      <c r="N938" s="275"/>
    </row>
    <row r="939" spans="1:14">
      <c r="A939" s="274"/>
      <c r="B939" s="275"/>
      <c r="C939" s="276"/>
      <c r="D939" s="276"/>
      <c r="E939" s="276"/>
      <c r="F939" s="277"/>
      <c r="G939" s="276"/>
      <c r="H939" s="275"/>
      <c r="I939" s="275"/>
      <c r="J939" s="275"/>
      <c r="K939" s="275"/>
      <c r="L939" s="275"/>
      <c r="M939" s="275"/>
      <c r="N939" s="275"/>
    </row>
    <row r="940" spans="1:14">
      <c r="A940" s="274"/>
      <c r="B940" s="275"/>
      <c r="C940" s="276"/>
      <c r="D940" s="276"/>
      <c r="E940" s="276"/>
      <c r="F940" s="277"/>
      <c r="G940" s="276"/>
      <c r="H940" s="275"/>
      <c r="I940" s="275"/>
      <c r="J940" s="275"/>
      <c r="K940" s="275"/>
      <c r="L940" s="275"/>
      <c r="M940" s="275"/>
      <c r="N940" s="275"/>
    </row>
    <row r="941" spans="1:14">
      <c r="A941" s="274"/>
      <c r="B941" s="275"/>
      <c r="C941" s="276"/>
      <c r="D941" s="276"/>
      <c r="E941" s="276"/>
      <c r="F941" s="263"/>
      <c r="G941" s="276"/>
      <c r="H941" s="275"/>
      <c r="I941" s="275"/>
      <c r="J941" s="275"/>
      <c r="K941" s="275"/>
      <c r="L941" s="275"/>
      <c r="M941" s="275"/>
      <c r="N941" s="275"/>
    </row>
    <row r="942" spans="1:14">
      <c r="A942" s="274"/>
      <c r="B942" s="275"/>
      <c r="C942" s="276"/>
      <c r="D942" s="276"/>
      <c r="E942" s="276"/>
      <c r="F942" s="277"/>
      <c r="G942" s="276"/>
      <c r="H942" s="275"/>
      <c r="I942" s="275"/>
      <c r="J942" s="275"/>
      <c r="K942" s="275"/>
      <c r="L942" s="275"/>
      <c r="M942" s="275"/>
      <c r="N942" s="275"/>
    </row>
    <row r="943" spans="1:14">
      <c r="A943" s="274"/>
      <c r="B943" s="275"/>
      <c r="C943" s="276"/>
      <c r="D943" s="276"/>
      <c r="E943" s="276"/>
      <c r="F943" s="276"/>
      <c r="G943" s="276"/>
      <c r="H943" s="275"/>
      <c r="I943" s="275"/>
      <c r="J943" s="275"/>
      <c r="K943" s="275"/>
      <c r="L943" s="275"/>
      <c r="M943" s="275"/>
      <c r="N943" s="275"/>
    </row>
    <row r="944" spans="1:14">
      <c r="A944" s="274"/>
      <c r="B944" s="275"/>
      <c r="C944" s="276"/>
      <c r="D944" s="276"/>
      <c r="E944" s="276"/>
      <c r="F944" s="276"/>
      <c r="G944" s="276"/>
      <c r="H944" s="275"/>
      <c r="I944" s="275"/>
      <c r="J944" s="275"/>
      <c r="K944" s="275"/>
      <c r="L944" s="275"/>
      <c r="M944" s="275"/>
      <c r="N944" s="275"/>
    </row>
    <row r="945" spans="1:14">
      <c r="A945" s="274"/>
      <c r="B945" s="275"/>
      <c r="C945" s="276"/>
      <c r="D945" s="276"/>
      <c r="E945" s="276"/>
      <c r="F945" s="276"/>
      <c r="G945" s="276"/>
      <c r="H945" s="275"/>
      <c r="I945" s="275"/>
      <c r="J945" s="275"/>
      <c r="K945" s="275"/>
      <c r="L945" s="275"/>
      <c r="M945" s="275"/>
      <c r="N945" s="275"/>
    </row>
    <row r="946" spans="1:14">
      <c r="A946" s="274"/>
      <c r="B946" s="275"/>
      <c r="C946" s="276"/>
      <c r="D946" s="276"/>
      <c r="E946" s="276"/>
      <c r="F946" s="276"/>
      <c r="G946" s="276"/>
      <c r="H946" s="275"/>
      <c r="I946" s="275"/>
      <c r="J946" s="275"/>
      <c r="K946" s="275"/>
      <c r="L946" s="275"/>
      <c r="M946" s="275"/>
      <c r="N946" s="275"/>
    </row>
    <row r="947" spans="1:14">
      <c r="A947" s="274"/>
      <c r="B947" s="275"/>
      <c r="C947" s="276"/>
      <c r="D947" s="276"/>
      <c r="E947" s="276"/>
      <c r="F947" s="276"/>
      <c r="G947" s="276"/>
      <c r="H947" s="275"/>
      <c r="I947" s="275"/>
      <c r="J947" s="275"/>
      <c r="K947" s="275"/>
      <c r="L947" s="275"/>
      <c r="M947" s="275"/>
      <c r="N947" s="275"/>
    </row>
    <row r="948" spans="1:14">
      <c r="A948" s="274"/>
      <c r="B948" s="275"/>
      <c r="C948" s="276"/>
      <c r="D948" s="276"/>
      <c r="E948" s="263"/>
      <c r="F948" s="277"/>
      <c r="G948" s="276"/>
      <c r="H948" s="275"/>
      <c r="I948" s="275"/>
      <c r="J948" s="275"/>
      <c r="K948" s="275"/>
      <c r="L948" s="275"/>
      <c r="M948" s="275"/>
      <c r="N948" s="275"/>
    </row>
    <row r="949" spans="1:14">
      <c r="A949" s="274"/>
      <c r="B949" s="275"/>
      <c r="C949" s="276"/>
      <c r="D949" s="276"/>
      <c r="E949" s="263"/>
      <c r="F949" s="263"/>
      <c r="G949" s="276"/>
      <c r="H949" s="275"/>
      <c r="I949" s="275"/>
      <c r="J949" s="275"/>
      <c r="K949" s="275"/>
      <c r="L949" s="275"/>
      <c r="M949" s="275"/>
      <c r="N949" s="275"/>
    </row>
    <row r="950" spans="1:14">
      <c r="A950" s="274"/>
      <c r="B950" s="275"/>
      <c r="C950" s="276"/>
      <c r="D950" s="276"/>
      <c r="E950" s="263"/>
      <c r="F950" s="263"/>
      <c r="G950" s="276"/>
      <c r="H950" s="275"/>
      <c r="I950" s="275"/>
      <c r="J950" s="275"/>
      <c r="K950" s="275"/>
      <c r="L950" s="275"/>
      <c r="M950" s="275"/>
      <c r="N950" s="275"/>
    </row>
    <row r="951" spans="1:14">
      <c r="A951" s="274"/>
      <c r="B951" s="275"/>
      <c r="C951" s="276"/>
      <c r="D951" s="276"/>
      <c r="E951" s="263"/>
      <c r="F951" s="263"/>
      <c r="G951" s="276"/>
      <c r="H951" s="275"/>
      <c r="I951" s="275"/>
      <c r="J951" s="275"/>
      <c r="K951" s="275"/>
      <c r="L951" s="275"/>
      <c r="M951" s="275"/>
      <c r="N951" s="275"/>
    </row>
    <row r="952" spans="1:14">
      <c r="A952" s="274"/>
      <c r="B952" s="275"/>
      <c r="C952" s="276"/>
      <c r="D952" s="276"/>
      <c r="E952" s="263"/>
      <c r="F952" s="263"/>
      <c r="G952" s="276"/>
      <c r="H952" s="275"/>
      <c r="I952" s="275"/>
      <c r="J952" s="275"/>
      <c r="K952" s="275"/>
      <c r="L952" s="275"/>
      <c r="M952" s="275"/>
      <c r="N952" s="275"/>
    </row>
    <row r="953" spans="1:14">
      <c r="A953" s="274"/>
      <c r="B953" s="275"/>
      <c r="C953" s="276"/>
      <c r="D953" s="276"/>
      <c r="E953" s="263"/>
      <c r="F953" s="263"/>
      <c r="G953" s="276"/>
      <c r="H953" s="275"/>
      <c r="I953" s="275"/>
      <c r="J953" s="275"/>
      <c r="K953" s="275"/>
      <c r="L953" s="275"/>
      <c r="M953" s="275"/>
      <c r="N953" s="275"/>
    </row>
    <row r="954" spans="1:14">
      <c r="A954" s="274"/>
      <c r="B954" s="275"/>
      <c r="C954" s="276"/>
      <c r="D954" s="276"/>
      <c r="E954" s="263"/>
      <c r="F954" s="277"/>
      <c r="G954" s="276"/>
      <c r="H954" s="275"/>
      <c r="I954" s="275"/>
      <c r="J954" s="275"/>
      <c r="K954" s="275"/>
      <c r="L954" s="275"/>
      <c r="M954" s="275"/>
      <c r="N954" s="275"/>
    </row>
    <row r="955" spans="1:14">
      <c r="A955" s="274"/>
      <c r="B955" s="275"/>
      <c r="C955" s="276"/>
      <c r="D955" s="276"/>
      <c r="E955" s="263"/>
      <c r="F955" s="263"/>
      <c r="G955" s="276"/>
      <c r="H955" s="275"/>
      <c r="I955" s="275"/>
      <c r="J955" s="275"/>
      <c r="K955" s="275"/>
      <c r="L955" s="275"/>
      <c r="M955" s="275"/>
      <c r="N955" s="275"/>
    </row>
    <row r="956" spans="1:14">
      <c r="A956" s="274"/>
      <c r="B956" s="275"/>
      <c r="C956" s="276"/>
      <c r="D956" s="276"/>
      <c r="E956" s="263"/>
      <c r="F956" s="263"/>
      <c r="G956" s="276"/>
      <c r="H956" s="275"/>
      <c r="I956" s="275"/>
      <c r="J956" s="275"/>
      <c r="K956" s="275"/>
      <c r="L956" s="275"/>
      <c r="M956" s="275"/>
      <c r="N956" s="275"/>
    </row>
    <row r="957" spans="1:14">
      <c r="A957" s="274"/>
      <c r="B957" s="275"/>
      <c r="C957" s="276"/>
      <c r="D957" s="276"/>
      <c r="E957" s="263"/>
      <c r="F957" s="263"/>
      <c r="G957" s="276"/>
      <c r="H957" s="275"/>
      <c r="I957" s="275"/>
      <c r="J957" s="275"/>
      <c r="K957" s="275"/>
      <c r="L957" s="275"/>
      <c r="M957" s="275"/>
      <c r="N957" s="275"/>
    </row>
    <row r="958" spans="1:14">
      <c r="A958" s="274"/>
      <c r="B958" s="275"/>
      <c r="C958" s="276"/>
      <c r="D958" s="276"/>
      <c r="E958" s="263"/>
      <c r="F958" s="263"/>
      <c r="G958" s="276"/>
      <c r="H958" s="275"/>
      <c r="I958" s="275"/>
      <c r="J958" s="275"/>
      <c r="K958" s="275"/>
      <c r="L958" s="275"/>
      <c r="M958" s="275"/>
      <c r="N958" s="275"/>
    </row>
    <row r="959" spans="1:14">
      <c r="A959" s="274"/>
      <c r="B959" s="275"/>
      <c r="C959" s="276"/>
      <c r="D959" s="276"/>
      <c r="E959" s="263"/>
      <c r="F959" s="263"/>
      <c r="G959" s="276"/>
      <c r="H959" s="275"/>
      <c r="I959" s="275"/>
      <c r="J959" s="275"/>
      <c r="K959" s="275"/>
      <c r="L959" s="275"/>
      <c r="M959" s="275"/>
      <c r="N959" s="275"/>
    </row>
    <row r="960" spans="1:14">
      <c r="A960" s="274"/>
      <c r="B960" s="275"/>
      <c r="C960" s="276"/>
      <c r="D960" s="276"/>
      <c r="E960" s="263"/>
      <c r="F960" s="263"/>
      <c r="G960" s="276"/>
      <c r="H960" s="275"/>
      <c r="I960" s="275"/>
      <c r="J960" s="275"/>
      <c r="K960" s="275"/>
      <c r="L960" s="275"/>
      <c r="M960" s="275"/>
      <c r="N960" s="275"/>
    </row>
    <row r="961" spans="1:14">
      <c r="A961" s="274"/>
      <c r="B961" s="275"/>
      <c r="C961" s="276"/>
      <c r="D961" s="276"/>
      <c r="E961" s="263"/>
      <c r="F961" s="263"/>
      <c r="G961" s="276"/>
      <c r="H961" s="275"/>
      <c r="I961" s="275"/>
      <c r="J961" s="275"/>
      <c r="K961" s="275"/>
      <c r="L961" s="275"/>
      <c r="M961" s="275"/>
      <c r="N961" s="275"/>
    </row>
    <row r="962" spans="1:14">
      <c r="A962" s="274"/>
      <c r="B962" s="275"/>
      <c r="C962" s="276"/>
      <c r="D962" s="276"/>
      <c r="E962" s="263"/>
      <c r="F962" s="277"/>
      <c r="G962" s="276"/>
      <c r="H962" s="275"/>
      <c r="I962" s="275"/>
      <c r="J962" s="275"/>
      <c r="K962" s="275"/>
      <c r="L962" s="275"/>
      <c r="M962" s="275"/>
      <c r="N962" s="275"/>
    </row>
    <row r="963" spans="1:14">
      <c r="A963" s="274"/>
      <c r="B963" s="275"/>
      <c r="C963" s="276"/>
      <c r="D963" s="276"/>
      <c r="E963" s="263"/>
      <c r="F963" s="263"/>
      <c r="G963" s="276"/>
      <c r="H963" s="275"/>
      <c r="I963" s="275"/>
      <c r="J963" s="275"/>
      <c r="K963" s="275"/>
      <c r="L963" s="275"/>
      <c r="M963" s="275"/>
      <c r="N963" s="275"/>
    </row>
    <row r="964" spans="1:14">
      <c r="A964" s="274"/>
      <c r="B964" s="275"/>
      <c r="C964" s="276"/>
      <c r="D964" s="276"/>
      <c r="E964" s="263"/>
      <c r="F964" s="263"/>
      <c r="G964" s="276"/>
      <c r="H964" s="275"/>
      <c r="I964" s="275"/>
      <c r="J964" s="275"/>
      <c r="K964" s="275"/>
      <c r="L964" s="275"/>
      <c r="M964" s="275"/>
      <c r="N964" s="275"/>
    </row>
    <row r="965" spans="1:14">
      <c r="A965" s="274"/>
      <c r="B965" s="275"/>
      <c r="C965" s="276"/>
      <c r="D965" s="276"/>
      <c r="E965" s="263"/>
      <c r="F965" s="277"/>
      <c r="G965" s="276"/>
      <c r="H965" s="275"/>
      <c r="I965" s="275"/>
      <c r="J965" s="275"/>
      <c r="K965" s="275"/>
      <c r="L965" s="275"/>
      <c r="M965" s="275"/>
      <c r="N965" s="275"/>
    </row>
    <row r="966" spans="1:14">
      <c r="A966" s="274"/>
      <c r="B966" s="275"/>
      <c r="C966" s="276"/>
      <c r="D966" s="276"/>
      <c r="E966" s="263"/>
      <c r="F966" s="263"/>
      <c r="G966" s="276"/>
      <c r="H966" s="275"/>
      <c r="I966" s="275"/>
      <c r="J966" s="275"/>
      <c r="K966" s="275"/>
      <c r="L966" s="275"/>
      <c r="M966" s="275"/>
      <c r="N966" s="275"/>
    </row>
    <row r="967" spans="1:14">
      <c r="A967" s="274"/>
      <c r="B967" s="275"/>
      <c r="C967" s="276"/>
      <c r="D967" s="276"/>
      <c r="E967" s="263"/>
      <c r="F967" s="263"/>
      <c r="G967" s="276"/>
      <c r="H967" s="275"/>
      <c r="I967" s="275"/>
      <c r="J967" s="275"/>
      <c r="K967" s="275"/>
      <c r="L967" s="275"/>
      <c r="M967" s="275"/>
      <c r="N967" s="275"/>
    </row>
    <row r="968" spans="1:14">
      <c r="A968" s="274"/>
      <c r="B968" s="275"/>
      <c r="C968" s="276"/>
      <c r="D968" s="276"/>
      <c r="E968" s="277"/>
      <c r="F968" s="277"/>
      <c r="G968" s="276"/>
      <c r="H968" s="275"/>
      <c r="I968" s="275"/>
      <c r="J968" s="275"/>
      <c r="K968" s="275"/>
      <c r="L968" s="275"/>
      <c r="M968" s="275"/>
      <c r="N968" s="275"/>
    </row>
    <row r="969" spans="1:14">
      <c r="A969" s="274"/>
      <c r="B969" s="275"/>
      <c r="C969" s="276"/>
      <c r="D969" s="276"/>
      <c r="E969" s="263"/>
      <c r="F969" s="263"/>
      <c r="G969" s="276"/>
      <c r="H969" s="275"/>
      <c r="I969" s="275"/>
      <c r="J969" s="275"/>
      <c r="K969" s="275"/>
      <c r="L969" s="275"/>
      <c r="M969" s="275"/>
      <c r="N969" s="275"/>
    </row>
    <row r="970" spans="1:14">
      <c r="A970" s="274"/>
      <c r="B970" s="275"/>
      <c r="C970" s="276"/>
      <c r="D970" s="276"/>
      <c r="E970" s="263"/>
      <c r="F970" s="263"/>
      <c r="G970" s="276"/>
      <c r="H970" s="275"/>
      <c r="I970" s="275"/>
      <c r="J970" s="275"/>
      <c r="K970" s="275"/>
      <c r="L970" s="275"/>
      <c r="M970" s="275"/>
      <c r="N970" s="275"/>
    </row>
    <row r="971" spans="1:14">
      <c r="A971" s="274"/>
      <c r="B971" s="275"/>
      <c r="C971" s="276"/>
      <c r="D971" s="276"/>
      <c r="E971" s="277"/>
      <c r="F971" s="277"/>
      <c r="G971" s="276"/>
      <c r="H971" s="275"/>
      <c r="I971" s="275"/>
      <c r="J971" s="275"/>
      <c r="K971" s="275"/>
      <c r="L971" s="275"/>
      <c r="M971" s="275"/>
      <c r="N971" s="275"/>
    </row>
    <row r="972" spans="1:14">
      <c r="A972" s="274"/>
      <c r="B972" s="275"/>
      <c r="C972" s="276"/>
      <c r="D972" s="276"/>
      <c r="E972" s="277"/>
      <c r="F972" s="277"/>
      <c r="G972" s="276"/>
      <c r="H972" s="275"/>
      <c r="I972" s="275"/>
      <c r="J972" s="275"/>
      <c r="K972" s="275"/>
      <c r="L972" s="275"/>
      <c r="M972" s="275"/>
      <c r="N972" s="275"/>
    </row>
    <row r="973" spans="1:14">
      <c r="A973" s="274"/>
      <c r="B973" s="275"/>
      <c r="C973" s="276"/>
      <c r="D973" s="276"/>
      <c r="E973" s="263"/>
      <c r="F973" s="263"/>
      <c r="G973" s="276"/>
      <c r="H973" s="275"/>
      <c r="I973" s="275"/>
      <c r="J973" s="275"/>
      <c r="K973" s="275"/>
      <c r="L973" s="275"/>
      <c r="M973" s="275"/>
      <c r="N973" s="275"/>
    </row>
    <row r="974" spans="1:14">
      <c r="A974" s="274"/>
      <c r="B974" s="275"/>
      <c r="C974" s="276"/>
      <c r="D974" s="276"/>
      <c r="E974" s="277"/>
      <c r="F974" s="277"/>
      <c r="G974" s="276"/>
      <c r="H974" s="275"/>
      <c r="I974" s="275"/>
      <c r="J974" s="275"/>
      <c r="K974" s="275"/>
      <c r="L974" s="275"/>
      <c r="M974" s="275"/>
      <c r="N974" s="275"/>
    </row>
    <row r="975" spans="1:14">
      <c r="A975" s="274"/>
      <c r="B975" s="275"/>
      <c r="C975" s="276"/>
      <c r="D975" s="276"/>
      <c r="E975" s="277"/>
      <c r="F975" s="277"/>
      <c r="G975" s="276"/>
      <c r="H975" s="275"/>
      <c r="I975" s="275"/>
      <c r="J975" s="275"/>
      <c r="K975" s="275"/>
      <c r="L975" s="275"/>
      <c r="M975" s="275"/>
      <c r="N975" s="275"/>
    </row>
    <row r="976" spans="1:14">
      <c r="A976" s="274"/>
      <c r="B976" s="275"/>
      <c r="C976" s="276"/>
      <c r="D976" s="276"/>
      <c r="E976" s="263"/>
      <c r="F976" s="263"/>
      <c r="G976" s="276"/>
      <c r="H976" s="275"/>
      <c r="I976" s="275"/>
      <c r="J976" s="275"/>
      <c r="K976" s="275"/>
      <c r="L976" s="275"/>
      <c r="M976" s="275"/>
      <c r="N976" s="275"/>
    </row>
    <row r="977" spans="1:14">
      <c r="A977" s="274"/>
      <c r="B977" s="275"/>
      <c r="C977" s="276"/>
      <c r="D977" s="276"/>
      <c r="E977" s="263"/>
      <c r="F977" s="263"/>
      <c r="G977" s="276"/>
      <c r="H977" s="275"/>
      <c r="I977" s="275"/>
      <c r="J977" s="275"/>
      <c r="K977" s="275"/>
      <c r="L977" s="275"/>
      <c r="M977" s="275"/>
      <c r="N977" s="275"/>
    </row>
    <row r="978" spans="1:14">
      <c r="A978" s="274"/>
      <c r="B978" s="275"/>
      <c r="C978" s="276"/>
      <c r="D978" s="276"/>
      <c r="E978" s="263"/>
      <c r="F978" s="263"/>
      <c r="G978" s="276"/>
      <c r="H978" s="275"/>
      <c r="I978" s="275"/>
      <c r="J978" s="275"/>
      <c r="K978" s="275"/>
      <c r="L978" s="275"/>
      <c r="M978" s="275"/>
      <c r="N978" s="275"/>
    </row>
    <row r="979" spans="1:14">
      <c r="A979" s="274"/>
      <c r="B979" s="275"/>
      <c r="C979" s="276"/>
      <c r="D979" s="276"/>
      <c r="E979" s="277"/>
      <c r="F979" s="277"/>
      <c r="G979" s="276"/>
      <c r="H979" s="275"/>
      <c r="I979" s="275"/>
      <c r="J979" s="275"/>
      <c r="K979" s="275"/>
      <c r="L979" s="275"/>
      <c r="M979" s="275"/>
      <c r="N979" s="275"/>
    </row>
    <row r="980" spans="1:14">
      <c r="A980" s="274"/>
      <c r="B980" s="275"/>
      <c r="C980" s="276"/>
      <c r="D980" s="276"/>
      <c r="E980" s="263"/>
      <c r="F980" s="263"/>
      <c r="G980" s="276"/>
      <c r="H980" s="275"/>
      <c r="I980" s="275"/>
      <c r="J980" s="275"/>
      <c r="K980" s="275"/>
      <c r="L980" s="275"/>
      <c r="M980" s="275"/>
      <c r="N980" s="275"/>
    </row>
    <row r="981" spans="1:14">
      <c r="A981" s="274"/>
      <c r="B981" s="275"/>
      <c r="C981" s="276"/>
      <c r="D981" s="276"/>
      <c r="E981" s="263"/>
      <c r="F981" s="263"/>
      <c r="G981" s="276"/>
      <c r="H981" s="275"/>
      <c r="I981" s="275"/>
      <c r="J981" s="275"/>
      <c r="K981" s="275"/>
      <c r="L981" s="275"/>
      <c r="M981" s="275"/>
      <c r="N981" s="275"/>
    </row>
    <row r="982" spans="1:14">
      <c r="A982" s="274"/>
      <c r="B982" s="275"/>
      <c r="C982" s="276"/>
      <c r="D982" s="276"/>
      <c r="E982" s="277"/>
      <c r="F982" s="277"/>
      <c r="G982" s="276"/>
      <c r="H982" s="275"/>
      <c r="I982" s="275"/>
      <c r="J982" s="275"/>
      <c r="K982" s="275"/>
      <c r="L982" s="275"/>
      <c r="M982" s="275"/>
      <c r="N982" s="275"/>
    </row>
    <row r="983" spans="1:14">
      <c r="A983" s="274"/>
      <c r="B983" s="275"/>
      <c r="C983" s="276"/>
      <c r="D983" s="276"/>
      <c r="E983" s="263"/>
      <c r="F983" s="263"/>
      <c r="G983" s="276"/>
      <c r="H983" s="275"/>
      <c r="I983" s="275"/>
      <c r="J983" s="275"/>
      <c r="K983" s="275"/>
      <c r="L983" s="275"/>
      <c r="M983" s="275"/>
      <c r="N983" s="275"/>
    </row>
    <row r="984" spans="1:14">
      <c r="A984" s="274"/>
      <c r="B984" s="275"/>
      <c r="C984" s="276"/>
      <c r="D984" s="276"/>
      <c r="E984" s="263"/>
      <c r="F984" s="263"/>
      <c r="G984" s="276"/>
      <c r="H984" s="275"/>
      <c r="I984" s="275"/>
      <c r="J984" s="275"/>
      <c r="K984" s="275"/>
      <c r="L984" s="275"/>
      <c r="M984" s="275"/>
      <c r="N984" s="275"/>
    </row>
    <row r="985" spans="1:14">
      <c r="A985" s="274"/>
      <c r="B985" s="275"/>
      <c r="C985" s="276"/>
      <c r="D985" s="276"/>
      <c r="E985" s="263"/>
      <c r="F985" s="263"/>
      <c r="G985" s="276"/>
      <c r="H985" s="275"/>
      <c r="I985" s="275"/>
      <c r="J985" s="275"/>
      <c r="K985" s="275"/>
      <c r="L985" s="275"/>
      <c r="M985" s="275"/>
      <c r="N985" s="275"/>
    </row>
    <row r="986" spans="1:14">
      <c r="A986" s="274"/>
      <c r="B986" s="275"/>
      <c r="C986" s="276"/>
      <c r="D986" s="276"/>
      <c r="E986" s="263"/>
      <c r="F986" s="263"/>
      <c r="G986" s="276"/>
      <c r="H986" s="275"/>
      <c r="I986" s="275"/>
      <c r="J986" s="275"/>
      <c r="K986" s="275"/>
      <c r="L986" s="275"/>
      <c r="M986" s="275"/>
      <c r="N986" s="275"/>
    </row>
    <row r="987" spans="1:14">
      <c r="A987" s="274"/>
      <c r="B987" s="275"/>
      <c r="C987" s="276"/>
      <c r="D987" s="276"/>
      <c r="E987" s="263"/>
      <c r="F987" s="263"/>
      <c r="G987" s="276"/>
      <c r="H987" s="275"/>
      <c r="I987" s="275"/>
      <c r="J987" s="275"/>
      <c r="K987" s="275"/>
      <c r="L987" s="275"/>
      <c r="M987" s="275"/>
      <c r="N987" s="275"/>
    </row>
    <row r="988" spans="1:14">
      <c r="A988" s="260"/>
      <c r="B988" s="263"/>
      <c r="C988" s="276"/>
      <c r="D988" s="276"/>
      <c r="E988" s="263"/>
      <c r="F988" s="263"/>
      <c r="G988" s="276"/>
      <c r="H988" s="275"/>
      <c r="I988" s="275"/>
      <c r="J988" s="275"/>
      <c r="K988" s="275"/>
      <c r="L988" s="275"/>
      <c r="M988" s="275"/>
      <c r="N988" s="275"/>
    </row>
    <row r="989" spans="1:14">
      <c r="A989" s="260"/>
      <c r="B989" s="263"/>
      <c r="C989" s="276"/>
      <c r="D989" s="276"/>
      <c r="E989" s="263"/>
      <c r="F989" s="263"/>
      <c r="G989" s="276"/>
      <c r="H989" s="275"/>
      <c r="I989" s="275"/>
      <c r="J989" s="275"/>
      <c r="K989" s="275"/>
      <c r="L989" s="275"/>
      <c r="M989" s="275"/>
      <c r="N989" s="275"/>
    </row>
    <row r="990" spans="1:14">
      <c r="A990" s="260"/>
      <c r="B990" s="263"/>
      <c r="C990" s="276"/>
      <c r="D990" s="276"/>
      <c r="E990" s="263"/>
      <c r="F990" s="263"/>
      <c r="G990" s="276"/>
      <c r="H990" s="275"/>
      <c r="I990" s="275"/>
      <c r="J990" s="275"/>
      <c r="K990" s="275"/>
      <c r="L990" s="275"/>
      <c r="M990" s="275"/>
      <c r="N990" s="275"/>
    </row>
    <row r="991" spans="1:14">
      <c r="A991" s="260"/>
      <c r="B991" s="263"/>
      <c r="C991" s="276"/>
      <c r="D991" s="276"/>
      <c r="E991" s="263"/>
      <c r="F991" s="263"/>
      <c r="G991" s="276"/>
      <c r="H991" s="275"/>
      <c r="I991" s="275"/>
      <c r="J991" s="275"/>
      <c r="K991" s="275"/>
      <c r="L991" s="275"/>
      <c r="M991" s="275"/>
      <c r="N991" s="275"/>
    </row>
    <row r="992" spans="1:14">
      <c r="A992" s="260"/>
      <c r="B992" s="263"/>
      <c r="C992" s="276"/>
      <c r="D992" s="276"/>
      <c r="E992" s="263"/>
      <c r="F992" s="263"/>
      <c r="G992" s="276"/>
      <c r="H992" s="275"/>
      <c r="I992" s="275"/>
      <c r="J992" s="275"/>
      <c r="K992" s="275"/>
      <c r="L992" s="275"/>
      <c r="M992" s="275"/>
      <c r="N992" s="275"/>
    </row>
    <row r="993" spans="1:14">
      <c r="A993" s="260"/>
      <c r="B993" s="263"/>
      <c r="C993" s="276"/>
      <c r="D993" s="276"/>
      <c r="E993" s="263"/>
      <c r="F993" s="263"/>
      <c r="G993" s="276"/>
      <c r="H993" s="275"/>
      <c r="I993" s="275"/>
      <c r="J993" s="275"/>
      <c r="K993" s="275"/>
      <c r="L993" s="275"/>
      <c r="M993" s="275"/>
      <c r="N993" s="275"/>
    </row>
    <row r="994" spans="1:14">
      <c r="A994" s="260"/>
      <c r="B994" s="263"/>
      <c r="C994" s="276"/>
      <c r="D994" s="276"/>
      <c r="E994" s="277"/>
      <c r="F994" s="277"/>
      <c r="G994" s="276"/>
      <c r="H994" s="275"/>
      <c r="I994" s="275"/>
      <c r="J994" s="275"/>
      <c r="K994" s="275"/>
      <c r="L994" s="275"/>
      <c r="M994" s="275"/>
      <c r="N994" s="275"/>
    </row>
    <row r="995" spans="1:14">
      <c r="A995" s="260"/>
      <c r="B995" s="263"/>
      <c r="C995" s="276"/>
      <c r="D995" s="276"/>
      <c r="E995" s="277"/>
      <c r="F995" s="277"/>
      <c r="G995" s="276"/>
      <c r="H995" s="275"/>
      <c r="I995" s="275"/>
      <c r="J995" s="275"/>
      <c r="K995" s="275"/>
      <c r="L995" s="275"/>
      <c r="M995" s="275"/>
      <c r="N995" s="275"/>
    </row>
    <row r="996" spans="1:14">
      <c r="A996" s="260"/>
      <c r="B996" s="262"/>
      <c r="C996" s="278"/>
      <c r="D996" s="278"/>
      <c r="E996" s="278"/>
      <c r="F996" s="278"/>
      <c r="G996" s="278"/>
      <c r="H996" s="275"/>
      <c r="I996" s="275"/>
      <c r="J996" s="275"/>
      <c r="K996" s="275"/>
      <c r="L996" s="275"/>
      <c r="M996" s="275"/>
      <c r="N996" s="275"/>
    </row>
  </sheetData>
  <autoFilter ref="A4:R441"/>
  <mergeCells count="4">
    <mergeCell ref="E3:F3"/>
    <mergeCell ref="G3:H3"/>
    <mergeCell ref="I3:J3"/>
    <mergeCell ref="K3:L3"/>
  </mergeCells>
  <hyperlinks>
    <hyperlink ref="E1" location="INDEX!A1" display="Index"/>
  </hyperlinks>
  <pageMargins left="0.75" right="0.75" top="1" bottom="1" header="0.5" footer="0.5"/>
  <pageSetup orientation="landscape" verticalDpi="1200" r:id="rId1"/>
  <headerFooter alignWithMargins="0"/>
  <ignoredErrors>
    <ignoredError sqref="K344" formula="1"/>
  </ignoredError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2:M193"/>
  <sheetViews>
    <sheetView topLeftCell="A133" workbookViewId="0">
      <selection activeCell="G194" sqref="G194"/>
    </sheetView>
  </sheetViews>
  <sheetFormatPr defaultColWidth="11.42578125" defaultRowHeight="12.75"/>
  <cols>
    <col min="1" max="2" width="11.42578125" style="572"/>
    <col min="3" max="3" width="18.140625" style="572" customWidth="1"/>
    <col min="4" max="4" width="11.42578125" style="572"/>
    <col min="5" max="5" width="40.28515625" style="572" customWidth="1"/>
    <col min="6" max="6" width="11.42578125" style="572"/>
    <col min="7" max="7" width="12" style="615" bestFit="1" customWidth="1"/>
    <col min="8" max="8" width="13.42578125" style="572" customWidth="1"/>
    <col min="9" max="16384" width="11.42578125" style="572"/>
  </cols>
  <sheetData>
    <row r="2" spans="1:13" ht="15.75">
      <c r="A2" s="613" t="s">
        <v>1047</v>
      </c>
      <c r="B2" s="614"/>
      <c r="C2" s="614"/>
    </row>
    <row r="4" spans="1:13">
      <c r="G4" s="616" t="s">
        <v>1050</v>
      </c>
    </row>
    <row r="5" spans="1:13">
      <c r="A5" s="573"/>
      <c r="B5" s="617" t="s">
        <v>553</v>
      </c>
      <c r="D5" s="573"/>
    </row>
    <row r="7" spans="1:13">
      <c r="D7" s="618"/>
    </row>
    <row r="8" spans="1:13">
      <c r="A8" s="619">
        <v>4988</v>
      </c>
      <c r="B8" s="620" t="s">
        <v>1051</v>
      </c>
      <c r="C8" s="620" t="s">
        <v>1052</v>
      </c>
      <c r="D8" s="621">
        <v>41061</v>
      </c>
      <c r="E8" s="620" t="s">
        <v>1053</v>
      </c>
      <c r="F8" s="622" t="s">
        <v>1054</v>
      </c>
      <c r="G8" s="623">
        <v>583200</v>
      </c>
      <c r="I8" s="624"/>
      <c r="K8" s="625"/>
    </row>
    <row r="9" spans="1:13">
      <c r="A9" s="619">
        <v>383</v>
      </c>
      <c r="B9" s="620" t="s">
        <v>1055</v>
      </c>
      <c r="C9" s="620" t="s">
        <v>1056</v>
      </c>
      <c r="D9" s="621">
        <v>40912</v>
      </c>
      <c r="E9" s="620" t="s">
        <v>1057</v>
      </c>
      <c r="F9" s="622" t="s">
        <v>1058</v>
      </c>
      <c r="G9" s="623">
        <v>20160</v>
      </c>
      <c r="I9" s="624"/>
      <c r="K9" s="625"/>
      <c r="L9" s="626" t="s">
        <v>1059</v>
      </c>
      <c r="M9" s="625">
        <v>159</v>
      </c>
    </row>
    <row r="10" spans="1:13">
      <c r="A10" s="619">
        <v>1196</v>
      </c>
      <c r="B10" s="620" t="s">
        <v>1055</v>
      </c>
      <c r="C10" s="620" t="s">
        <v>1060</v>
      </c>
      <c r="D10" s="621">
        <v>40941</v>
      </c>
      <c r="E10" s="620" t="s">
        <v>1061</v>
      </c>
      <c r="F10" s="622" t="s">
        <v>1058</v>
      </c>
      <c r="G10" s="623">
        <v>20160</v>
      </c>
      <c r="I10" s="624"/>
      <c r="K10" s="625"/>
    </row>
    <row r="11" spans="1:13">
      <c r="A11" s="619">
        <v>2097</v>
      </c>
      <c r="B11" s="620" t="s">
        <v>1055</v>
      </c>
      <c r="C11" s="620" t="s">
        <v>1062</v>
      </c>
      <c r="D11" s="621">
        <v>40970</v>
      </c>
      <c r="E11" s="620" t="s">
        <v>1063</v>
      </c>
      <c r="F11" s="622" t="s">
        <v>1058</v>
      </c>
      <c r="G11" s="623">
        <v>20160</v>
      </c>
      <c r="I11" s="624"/>
      <c r="K11" s="625"/>
    </row>
    <row r="12" spans="1:13">
      <c r="A12" s="619">
        <v>8939</v>
      </c>
      <c r="B12" s="620" t="s">
        <v>1055</v>
      </c>
      <c r="C12" s="620" t="s">
        <v>1064</v>
      </c>
      <c r="D12" s="621">
        <v>41156</v>
      </c>
      <c r="E12" s="620" t="s">
        <v>1065</v>
      </c>
      <c r="F12" s="622" t="s">
        <v>1058</v>
      </c>
      <c r="G12" s="623">
        <v>20160</v>
      </c>
      <c r="I12" s="624"/>
      <c r="K12" s="625"/>
    </row>
    <row r="13" spans="1:13">
      <c r="A13" s="619">
        <v>3104</v>
      </c>
      <c r="B13" s="620" t="s">
        <v>1055</v>
      </c>
      <c r="C13" s="620" t="s">
        <v>1066</v>
      </c>
      <c r="D13" s="621">
        <v>41002</v>
      </c>
      <c r="E13" s="620" t="s">
        <v>1067</v>
      </c>
      <c r="F13" s="622" t="s">
        <v>1058</v>
      </c>
      <c r="G13" s="623">
        <v>20160</v>
      </c>
      <c r="I13" s="624"/>
      <c r="K13" s="625"/>
    </row>
    <row r="14" spans="1:13">
      <c r="A14" s="619">
        <v>4141</v>
      </c>
      <c r="B14" s="620" t="s">
        <v>1055</v>
      </c>
      <c r="C14" s="620" t="s">
        <v>1068</v>
      </c>
      <c r="D14" s="621">
        <v>41031</v>
      </c>
      <c r="E14" s="620" t="s">
        <v>1069</v>
      </c>
      <c r="F14" s="622" t="s">
        <v>1058</v>
      </c>
      <c r="G14" s="623">
        <v>20160</v>
      </c>
      <c r="I14" s="624"/>
      <c r="K14" s="625"/>
    </row>
    <row r="15" spans="1:13">
      <c r="A15" s="619">
        <v>5457</v>
      </c>
      <c r="B15" s="620" t="s">
        <v>1055</v>
      </c>
      <c r="C15" s="620" t="s">
        <v>1070</v>
      </c>
      <c r="D15" s="621">
        <v>41064</v>
      </c>
      <c r="E15" s="620" t="s">
        <v>1071</v>
      </c>
      <c r="F15" s="622" t="s">
        <v>1058</v>
      </c>
      <c r="G15" s="623">
        <v>20160</v>
      </c>
      <c r="I15" s="624"/>
      <c r="K15" s="625"/>
    </row>
    <row r="16" spans="1:13">
      <c r="A16" s="619">
        <v>6184</v>
      </c>
      <c r="B16" s="620" t="s">
        <v>1055</v>
      </c>
      <c r="C16" s="620" t="s">
        <v>1072</v>
      </c>
      <c r="D16" s="621">
        <v>41094</v>
      </c>
      <c r="E16" s="620" t="s">
        <v>1073</v>
      </c>
      <c r="F16" s="622" t="s">
        <v>1058</v>
      </c>
      <c r="G16" s="623">
        <v>20160</v>
      </c>
      <c r="I16" s="624"/>
      <c r="K16" s="625"/>
    </row>
    <row r="17" spans="1:11">
      <c r="A17" s="619">
        <v>6973</v>
      </c>
      <c r="B17" s="620" t="s">
        <v>1055</v>
      </c>
      <c r="C17" s="620" t="s">
        <v>1074</v>
      </c>
      <c r="D17" s="621">
        <v>41123</v>
      </c>
      <c r="E17" s="620" t="s">
        <v>1075</v>
      </c>
      <c r="F17" s="622" t="s">
        <v>1058</v>
      </c>
      <c r="G17" s="623">
        <v>20160</v>
      </c>
      <c r="I17" s="624"/>
      <c r="K17" s="625"/>
    </row>
    <row r="18" spans="1:11">
      <c r="A18" s="619">
        <v>11702</v>
      </c>
      <c r="B18" s="620" t="s">
        <v>1055</v>
      </c>
      <c r="C18" s="620" t="s">
        <v>1076</v>
      </c>
      <c r="D18" s="621">
        <v>41215</v>
      </c>
      <c r="E18" s="620" t="s">
        <v>1077</v>
      </c>
      <c r="F18" s="622" t="s">
        <v>1058</v>
      </c>
      <c r="G18" s="623">
        <v>20160</v>
      </c>
      <c r="I18" s="624"/>
      <c r="K18" s="625"/>
    </row>
    <row r="19" spans="1:11">
      <c r="A19" s="619">
        <v>12796</v>
      </c>
      <c r="B19" s="620" t="s">
        <v>1055</v>
      </c>
      <c r="C19" s="620" t="s">
        <v>1078</v>
      </c>
      <c r="D19" s="621">
        <v>41247</v>
      </c>
      <c r="E19" s="620" t="s">
        <v>1079</v>
      </c>
      <c r="F19" s="622" t="s">
        <v>1058</v>
      </c>
      <c r="G19" s="623">
        <v>20160</v>
      </c>
      <c r="I19" s="624"/>
      <c r="K19" s="625"/>
    </row>
    <row r="20" spans="1:11">
      <c r="F20" s="627" t="s">
        <v>1080</v>
      </c>
      <c r="G20" s="628">
        <v>804960</v>
      </c>
      <c r="I20" s="624"/>
    </row>
    <row r="22" spans="1:11">
      <c r="A22" s="573"/>
      <c r="B22" s="617" t="s">
        <v>441</v>
      </c>
      <c r="D22" s="573"/>
    </row>
    <row r="24" spans="1:11">
      <c r="D24" s="618"/>
    </row>
    <row r="25" spans="1:11">
      <c r="A25" s="619">
        <v>140</v>
      </c>
      <c r="B25" s="620" t="s">
        <v>1051</v>
      </c>
      <c r="C25" s="620" t="s">
        <v>1081</v>
      </c>
      <c r="D25" s="621">
        <v>40918</v>
      </c>
      <c r="E25" s="620" t="s">
        <v>1082</v>
      </c>
      <c r="F25" s="622" t="s">
        <v>1054</v>
      </c>
      <c r="G25" s="623">
        <v>112000</v>
      </c>
      <c r="I25" s="624"/>
      <c r="K25" s="625"/>
    </row>
    <row r="26" spans="1:11">
      <c r="A26" s="619">
        <v>188</v>
      </c>
      <c r="B26" s="620" t="s">
        <v>1051</v>
      </c>
      <c r="C26" s="620" t="s">
        <v>1083</v>
      </c>
      <c r="D26" s="621">
        <v>40935</v>
      </c>
      <c r="E26" s="620" t="s">
        <v>1084</v>
      </c>
      <c r="F26" s="622" t="s">
        <v>1054</v>
      </c>
      <c r="G26" s="623">
        <v>4504045</v>
      </c>
      <c r="I26" s="624"/>
      <c r="K26" s="625"/>
    </row>
    <row r="27" spans="1:11">
      <c r="A27" s="619">
        <v>199</v>
      </c>
      <c r="B27" s="620" t="s">
        <v>1051</v>
      </c>
      <c r="C27" s="620" t="s">
        <v>1085</v>
      </c>
      <c r="D27" s="621">
        <v>40939</v>
      </c>
      <c r="E27" s="620" t="s">
        <v>1086</v>
      </c>
      <c r="F27" s="622" t="s">
        <v>1054</v>
      </c>
      <c r="G27" s="623">
        <v>190000</v>
      </c>
      <c r="I27" s="624"/>
      <c r="K27" s="625"/>
    </row>
    <row r="28" spans="1:11">
      <c r="A28" s="619">
        <v>978</v>
      </c>
      <c r="B28" s="620" t="s">
        <v>1051</v>
      </c>
      <c r="C28" s="620" t="s">
        <v>1087</v>
      </c>
      <c r="D28" s="621">
        <v>40952</v>
      </c>
      <c r="E28" s="620" t="s">
        <v>1088</v>
      </c>
      <c r="F28" s="622" t="s">
        <v>1054</v>
      </c>
      <c r="G28" s="623">
        <v>2473.7617</v>
      </c>
      <c r="I28" s="624"/>
      <c r="K28" s="625"/>
    </row>
    <row r="29" spans="1:11">
      <c r="A29" s="619">
        <v>1424</v>
      </c>
      <c r="B29" s="620" t="s">
        <v>1055</v>
      </c>
      <c r="C29" s="620" t="s">
        <v>1089</v>
      </c>
      <c r="D29" s="621">
        <v>40954</v>
      </c>
      <c r="E29" s="620" t="s">
        <v>1090</v>
      </c>
      <c r="F29" s="622" t="s">
        <v>1091</v>
      </c>
      <c r="G29" s="623">
        <v>3200</v>
      </c>
      <c r="I29" s="624"/>
      <c r="K29" s="625"/>
    </row>
    <row r="30" spans="1:11">
      <c r="A30" s="619">
        <v>1028</v>
      </c>
      <c r="B30" s="620" t="s">
        <v>1051</v>
      </c>
      <c r="C30" s="620" t="s">
        <v>1092</v>
      </c>
      <c r="D30" s="621">
        <v>40961</v>
      </c>
      <c r="E30" s="620" t="s">
        <v>1093</v>
      </c>
      <c r="F30" s="622" t="s">
        <v>1054</v>
      </c>
      <c r="G30" s="623">
        <v>42311.11</v>
      </c>
      <c r="I30" s="624"/>
      <c r="K30" s="625"/>
    </row>
    <row r="31" spans="1:11">
      <c r="A31" s="619">
        <v>1561</v>
      </c>
      <c r="B31" s="620" t="s">
        <v>1055</v>
      </c>
      <c r="C31" s="620" t="s">
        <v>1094</v>
      </c>
      <c r="D31" s="621">
        <v>40962</v>
      </c>
      <c r="E31" s="620" t="s">
        <v>1095</v>
      </c>
      <c r="F31" s="622" t="s">
        <v>1096</v>
      </c>
      <c r="G31" s="623">
        <v>34899.342900000003</v>
      </c>
      <c r="I31" s="624"/>
      <c r="K31" s="625"/>
    </row>
    <row r="32" spans="1:11">
      <c r="A32" s="619">
        <v>1711</v>
      </c>
      <c r="B32" s="620" t="s">
        <v>1097</v>
      </c>
      <c r="C32" s="620" t="s">
        <v>1098</v>
      </c>
      <c r="D32" s="621">
        <v>40968</v>
      </c>
      <c r="E32" s="620" t="s">
        <v>1099</v>
      </c>
      <c r="G32" s="701">
        <v>40528</v>
      </c>
      <c r="I32" s="624"/>
      <c r="K32" s="625"/>
    </row>
    <row r="33" spans="1:11">
      <c r="A33" s="619">
        <v>1778</v>
      </c>
      <c r="B33" s="620" t="s">
        <v>1051</v>
      </c>
      <c r="C33" s="620" t="s">
        <v>1100</v>
      </c>
      <c r="D33" s="621">
        <v>40969</v>
      </c>
      <c r="E33" s="620" t="s">
        <v>1101</v>
      </c>
      <c r="F33" s="622" t="s">
        <v>1054</v>
      </c>
      <c r="G33" s="623">
        <v>19440.422399999999</v>
      </c>
      <c r="I33" s="624"/>
      <c r="K33" s="625"/>
    </row>
    <row r="34" spans="1:11">
      <c r="A34" s="619">
        <v>1845</v>
      </c>
      <c r="B34" s="620" t="s">
        <v>1051</v>
      </c>
      <c r="C34" s="620" t="s">
        <v>1102</v>
      </c>
      <c r="D34" s="621">
        <v>40981</v>
      </c>
      <c r="E34" s="620" t="s">
        <v>1103</v>
      </c>
      <c r="F34" s="622" t="s">
        <v>1054</v>
      </c>
      <c r="G34" s="623">
        <v>14000</v>
      </c>
      <c r="I34" s="624"/>
      <c r="K34" s="625"/>
    </row>
    <row r="35" spans="1:11">
      <c r="A35" s="619">
        <v>2725</v>
      </c>
      <c r="B35" s="620" t="s">
        <v>1051</v>
      </c>
      <c r="C35" s="620" t="s">
        <v>1104</v>
      </c>
      <c r="D35" s="621">
        <v>41005</v>
      </c>
      <c r="E35" s="620" t="s">
        <v>1105</v>
      </c>
      <c r="F35" s="622" t="s">
        <v>1054</v>
      </c>
      <c r="G35" s="623">
        <v>70000</v>
      </c>
      <c r="I35" s="624"/>
      <c r="K35" s="625"/>
    </row>
    <row r="36" spans="1:11">
      <c r="A36" s="619">
        <v>3511</v>
      </c>
      <c r="B36" s="620" t="s">
        <v>1097</v>
      </c>
      <c r="C36" s="620" t="s">
        <v>1106</v>
      </c>
      <c r="D36" s="621">
        <v>41029</v>
      </c>
      <c r="E36" s="620" t="s">
        <v>1107</v>
      </c>
      <c r="G36" s="701">
        <v>40527.9</v>
      </c>
      <c r="I36" s="624"/>
      <c r="K36" s="625"/>
    </row>
    <row r="37" spans="1:11">
      <c r="A37" s="619">
        <v>3781</v>
      </c>
      <c r="B37" s="620" t="s">
        <v>1051</v>
      </c>
      <c r="C37" s="620" t="s">
        <v>1108</v>
      </c>
      <c r="D37" s="621">
        <v>41030</v>
      </c>
      <c r="E37" s="620" t="s">
        <v>1109</v>
      </c>
      <c r="F37" s="622" t="s">
        <v>1054</v>
      </c>
      <c r="G37" s="623">
        <v>50050</v>
      </c>
      <c r="I37" s="624"/>
      <c r="K37" s="625"/>
    </row>
    <row r="38" spans="1:11">
      <c r="A38" s="619">
        <v>4068</v>
      </c>
      <c r="B38" s="620" t="s">
        <v>1055</v>
      </c>
      <c r="C38" s="620" t="s">
        <v>1110</v>
      </c>
      <c r="D38" s="621">
        <v>41036</v>
      </c>
      <c r="E38" s="620" t="s">
        <v>1111</v>
      </c>
      <c r="F38" s="622" t="s">
        <v>1112</v>
      </c>
      <c r="G38" s="623">
        <v>250</v>
      </c>
      <c r="I38" s="624"/>
      <c r="K38" s="625"/>
    </row>
    <row r="39" spans="1:11">
      <c r="A39" s="619">
        <v>4076</v>
      </c>
      <c r="B39" s="620" t="s">
        <v>1055</v>
      </c>
      <c r="C39" s="620" t="s">
        <v>1113</v>
      </c>
      <c r="D39" s="621">
        <v>41039</v>
      </c>
      <c r="E39" s="620" t="s">
        <v>1114</v>
      </c>
      <c r="F39" s="622" t="s">
        <v>1112</v>
      </c>
      <c r="G39" s="623">
        <v>2560</v>
      </c>
      <c r="I39" s="624"/>
      <c r="K39" s="625"/>
    </row>
    <row r="40" spans="1:11">
      <c r="A40" s="619">
        <v>4081</v>
      </c>
      <c r="B40" s="620" t="s">
        <v>1055</v>
      </c>
      <c r="C40" s="620" t="s">
        <v>1115</v>
      </c>
      <c r="D40" s="621">
        <v>41040</v>
      </c>
      <c r="E40" s="620" t="s">
        <v>1116</v>
      </c>
      <c r="F40" s="622" t="s">
        <v>1112</v>
      </c>
      <c r="G40" s="623">
        <v>120</v>
      </c>
      <c r="I40" s="624"/>
      <c r="K40" s="625"/>
    </row>
    <row r="41" spans="1:11">
      <c r="A41" s="619">
        <v>4084</v>
      </c>
      <c r="B41" s="620" t="s">
        <v>1055</v>
      </c>
      <c r="C41" s="620" t="s">
        <v>1117</v>
      </c>
      <c r="D41" s="621">
        <v>41043</v>
      </c>
      <c r="E41" s="620" t="s">
        <v>1118</v>
      </c>
      <c r="F41" s="622" t="s">
        <v>1112</v>
      </c>
      <c r="G41" s="623">
        <v>2370</v>
      </c>
      <c r="I41" s="624"/>
      <c r="K41" s="625"/>
    </row>
    <row r="42" spans="1:11">
      <c r="A42" s="619">
        <v>4085</v>
      </c>
      <c r="B42" s="620" t="s">
        <v>1055</v>
      </c>
      <c r="C42" s="620" t="s">
        <v>1119</v>
      </c>
      <c r="D42" s="621">
        <v>41043</v>
      </c>
      <c r="E42" s="620" t="s">
        <v>1120</v>
      </c>
      <c r="F42" s="622" t="s">
        <v>1112</v>
      </c>
      <c r="G42" s="623">
        <v>960</v>
      </c>
      <c r="I42" s="624"/>
      <c r="K42" s="625"/>
    </row>
    <row r="43" spans="1:11">
      <c r="A43" s="619">
        <v>4102</v>
      </c>
      <c r="B43" s="620" t="s">
        <v>1055</v>
      </c>
      <c r="C43" s="620" t="s">
        <v>1121</v>
      </c>
      <c r="D43" s="621">
        <v>41050</v>
      </c>
      <c r="E43" s="620" t="s">
        <v>1122</v>
      </c>
      <c r="F43" s="622" t="s">
        <v>1112</v>
      </c>
      <c r="G43" s="623">
        <v>1950</v>
      </c>
      <c r="I43" s="624"/>
      <c r="K43" s="625"/>
    </row>
    <row r="44" spans="1:11">
      <c r="A44" s="619">
        <v>4114</v>
      </c>
      <c r="B44" s="620" t="s">
        <v>1055</v>
      </c>
      <c r="C44" s="620" t="s">
        <v>1123</v>
      </c>
      <c r="D44" s="621">
        <v>41053</v>
      </c>
      <c r="E44" s="620" t="s">
        <v>1124</v>
      </c>
      <c r="F44" s="622" t="s">
        <v>1112</v>
      </c>
      <c r="G44" s="623">
        <v>1480</v>
      </c>
      <c r="I44" s="624"/>
      <c r="K44" s="625"/>
    </row>
    <row r="45" spans="1:11">
      <c r="A45" s="619">
        <v>4119</v>
      </c>
      <c r="B45" s="620" t="s">
        <v>1055</v>
      </c>
      <c r="C45" s="620" t="s">
        <v>1125</v>
      </c>
      <c r="D45" s="621">
        <v>41057</v>
      </c>
      <c r="E45" s="620" t="s">
        <v>1126</v>
      </c>
      <c r="F45" s="622" t="s">
        <v>1112</v>
      </c>
      <c r="G45" s="623">
        <v>1600</v>
      </c>
      <c r="I45" s="624"/>
      <c r="K45" s="625"/>
    </row>
    <row r="46" spans="1:11">
      <c r="A46" s="619">
        <v>4682</v>
      </c>
      <c r="B46" s="620" t="s">
        <v>1097</v>
      </c>
      <c r="C46" s="620" t="s">
        <v>1127</v>
      </c>
      <c r="D46" s="621">
        <v>41060</v>
      </c>
      <c r="E46" s="620" t="s">
        <v>1128</v>
      </c>
      <c r="G46" s="623">
        <v>457623</v>
      </c>
      <c r="I46" s="624"/>
      <c r="K46" s="625"/>
    </row>
    <row r="47" spans="1:11">
      <c r="A47" s="619">
        <v>5007</v>
      </c>
      <c r="B47" s="620" t="s">
        <v>1051</v>
      </c>
      <c r="C47" s="620" t="s">
        <v>1129</v>
      </c>
      <c r="D47" s="621">
        <v>41061</v>
      </c>
      <c r="E47" s="620" t="s">
        <v>1130</v>
      </c>
      <c r="F47" s="622" t="s">
        <v>1054</v>
      </c>
      <c r="G47" s="623">
        <v>90000</v>
      </c>
      <c r="I47" s="624"/>
      <c r="K47" s="625"/>
    </row>
    <row r="48" spans="1:11">
      <c r="A48" s="619">
        <v>5146</v>
      </c>
      <c r="B48" s="620" t="s">
        <v>1051</v>
      </c>
      <c r="C48" s="620" t="s">
        <v>1131</v>
      </c>
      <c r="D48" s="621">
        <v>41061</v>
      </c>
      <c r="E48" s="620" t="s">
        <v>1132</v>
      </c>
      <c r="F48" s="622" t="s">
        <v>1054</v>
      </c>
      <c r="G48" s="623">
        <v>472.90600000000001</v>
      </c>
      <c r="I48" s="624"/>
      <c r="K48" s="625"/>
    </row>
    <row r="49" spans="1:11">
      <c r="A49" s="619">
        <v>4925</v>
      </c>
      <c r="B49" s="620" t="s">
        <v>1051</v>
      </c>
      <c r="C49" s="620" t="s">
        <v>1133</v>
      </c>
      <c r="D49" s="621">
        <v>41076</v>
      </c>
      <c r="E49" s="620" t="s">
        <v>1134</v>
      </c>
      <c r="F49" s="622" t="s">
        <v>1054</v>
      </c>
      <c r="G49" s="623">
        <v>4000</v>
      </c>
      <c r="I49" s="624"/>
      <c r="K49" s="625"/>
    </row>
    <row r="50" spans="1:11">
      <c r="A50" s="619">
        <v>4975</v>
      </c>
      <c r="B50" s="620" t="s">
        <v>1051</v>
      </c>
      <c r="C50" s="620" t="s">
        <v>1135</v>
      </c>
      <c r="D50" s="621">
        <v>41090</v>
      </c>
      <c r="E50" s="620" t="s">
        <v>1136</v>
      </c>
      <c r="F50" s="622" t="s">
        <v>1054</v>
      </c>
      <c r="G50" s="623">
        <v>2165737.5</v>
      </c>
      <c r="I50" s="624"/>
      <c r="K50" s="625"/>
    </row>
    <row r="51" spans="1:11">
      <c r="A51" s="619">
        <v>5766</v>
      </c>
      <c r="B51" s="620" t="s">
        <v>1137</v>
      </c>
      <c r="C51" s="620" t="s">
        <v>1138</v>
      </c>
      <c r="D51" s="621">
        <v>41090</v>
      </c>
      <c r="E51" s="620" t="s">
        <v>1139</v>
      </c>
      <c r="F51" s="622" t="s">
        <v>1140</v>
      </c>
      <c r="G51" s="623">
        <v>43944</v>
      </c>
      <c r="I51" s="624"/>
      <c r="K51" s="625"/>
    </row>
    <row r="52" spans="1:11">
      <c r="A52" s="619">
        <v>6058</v>
      </c>
      <c r="B52" s="620" t="s">
        <v>1051</v>
      </c>
      <c r="C52" s="620" t="s">
        <v>1141</v>
      </c>
      <c r="D52" s="621">
        <v>41091</v>
      </c>
      <c r="E52" s="620" t="s">
        <v>1142</v>
      </c>
      <c r="F52" s="622" t="s">
        <v>1054</v>
      </c>
      <c r="G52" s="623">
        <v>1960</v>
      </c>
      <c r="I52" s="624"/>
      <c r="K52" s="625"/>
    </row>
    <row r="53" spans="1:11">
      <c r="A53" s="619">
        <v>7262</v>
      </c>
      <c r="B53" s="620" t="s">
        <v>1055</v>
      </c>
      <c r="C53" s="620" t="s">
        <v>1143</v>
      </c>
      <c r="D53" s="621">
        <v>41095</v>
      </c>
      <c r="E53" s="620" t="s">
        <v>1144</v>
      </c>
      <c r="F53" s="622" t="s">
        <v>1112</v>
      </c>
      <c r="G53" s="623">
        <v>200</v>
      </c>
      <c r="I53" s="624"/>
      <c r="K53" s="625"/>
    </row>
    <row r="54" spans="1:11">
      <c r="A54" s="619">
        <v>5866</v>
      </c>
      <c r="B54" s="620" t="s">
        <v>1051</v>
      </c>
      <c r="C54" s="620" t="s">
        <v>1145</v>
      </c>
      <c r="D54" s="621">
        <v>41100</v>
      </c>
      <c r="E54" s="620" t="s">
        <v>1146</v>
      </c>
      <c r="F54" s="622" t="s">
        <v>1054</v>
      </c>
      <c r="G54" s="623">
        <v>17820.400000000001</v>
      </c>
      <c r="I54" s="624"/>
      <c r="K54" s="625"/>
    </row>
    <row r="55" spans="1:11">
      <c r="A55" s="619">
        <v>8635</v>
      </c>
      <c r="B55" s="620" t="s">
        <v>1097</v>
      </c>
      <c r="C55" s="620" t="s">
        <v>1147</v>
      </c>
      <c r="D55" s="621">
        <v>41152</v>
      </c>
      <c r="E55" s="620" t="s">
        <v>1148</v>
      </c>
      <c r="G55" s="701">
        <v>81050.5</v>
      </c>
      <c r="I55" s="624"/>
      <c r="K55" s="625"/>
    </row>
    <row r="56" spans="1:11">
      <c r="A56" s="619">
        <v>8647</v>
      </c>
      <c r="B56" s="620" t="s">
        <v>1097</v>
      </c>
      <c r="C56" s="620" t="s">
        <v>1149</v>
      </c>
      <c r="D56" s="621">
        <v>41152</v>
      </c>
      <c r="E56" s="620" t="s">
        <v>1150</v>
      </c>
      <c r="G56" s="623">
        <v>411444.2</v>
      </c>
      <c r="I56" s="624"/>
      <c r="K56" s="625"/>
    </row>
    <row r="57" spans="1:11">
      <c r="A57" s="619">
        <v>11992</v>
      </c>
      <c r="B57" s="620" t="s">
        <v>1055</v>
      </c>
      <c r="C57" s="620" t="s">
        <v>1151</v>
      </c>
      <c r="D57" s="621">
        <v>41155</v>
      </c>
      <c r="E57" s="620" t="s">
        <v>1152</v>
      </c>
      <c r="F57" s="622" t="s">
        <v>1153</v>
      </c>
      <c r="G57" s="623">
        <v>24011.137900000005</v>
      </c>
      <c r="I57" s="624"/>
      <c r="K57" s="625"/>
    </row>
    <row r="58" spans="1:11">
      <c r="A58" s="619">
        <v>11993</v>
      </c>
      <c r="B58" s="620" t="s">
        <v>1055</v>
      </c>
      <c r="C58" s="620" t="s">
        <v>1154</v>
      </c>
      <c r="D58" s="621">
        <v>41164</v>
      </c>
      <c r="E58" s="620" t="s">
        <v>1155</v>
      </c>
      <c r="F58" s="622" t="s">
        <v>1153</v>
      </c>
      <c r="G58" s="623">
        <v>11515.958399999998</v>
      </c>
      <c r="I58" s="624"/>
      <c r="K58" s="625"/>
    </row>
    <row r="59" spans="1:11">
      <c r="A59" s="619">
        <v>11994</v>
      </c>
      <c r="B59" s="620" t="s">
        <v>1055</v>
      </c>
      <c r="C59" s="620" t="s">
        <v>1156</v>
      </c>
      <c r="D59" s="621">
        <v>41170</v>
      </c>
      <c r="E59" s="620" t="s">
        <v>1157</v>
      </c>
      <c r="F59" s="622" t="s">
        <v>1153</v>
      </c>
      <c r="G59" s="623">
        <v>49844.815700000006</v>
      </c>
      <c r="I59" s="624"/>
      <c r="K59" s="625"/>
    </row>
    <row r="60" spans="1:11">
      <c r="A60" s="619">
        <v>11995</v>
      </c>
      <c r="B60" s="620" t="s">
        <v>1055</v>
      </c>
      <c r="C60" s="620" t="s">
        <v>1158</v>
      </c>
      <c r="D60" s="621">
        <v>41170</v>
      </c>
      <c r="E60" s="620" t="s">
        <v>1159</v>
      </c>
      <c r="F60" s="622" t="s">
        <v>1153</v>
      </c>
      <c r="G60" s="623">
        <v>49844.815700000006</v>
      </c>
      <c r="I60" s="624"/>
      <c r="K60" s="625"/>
    </row>
    <row r="61" spans="1:11">
      <c r="A61" s="619">
        <v>11996</v>
      </c>
      <c r="B61" s="620" t="s">
        <v>1055</v>
      </c>
      <c r="C61" s="620" t="s">
        <v>1160</v>
      </c>
      <c r="D61" s="621">
        <v>41173</v>
      </c>
      <c r="E61" s="620" t="s">
        <v>1161</v>
      </c>
      <c r="F61" s="622" t="s">
        <v>1153</v>
      </c>
      <c r="G61" s="623">
        <v>7411.898000000002</v>
      </c>
      <c r="I61" s="624"/>
      <c r="K61" s="625"/>
    </row>
    <row r="62" spans="1:11">
      <c r="A62" s="619">
        <v>8501</v>
      </c>
      <c r="B62" s="620" t="s">
        <v>1051</v>
      </c>
      <c r="C62" s="620" t="s">
        <v>1162</v>
      </c>
      <c r="D62" s="621">
        <v>41174</v>
      </c>
      <c r="E62" s="620" t="s">
        <v>1163</v>
      </c>
      <c r="F62" s="622" t="s">
        <v>1054</v>
      </c>
      <c r="G62" s="623">
        <v>40007.800000000003</v>
      </c>
      <c r="I62" s="624"/>
      <c r="K62" s="625"/>
    </row>
    <row r="63" spans="1:11">
      <c r="A63" s="619">
        <v>8851</v>
      </c>
      <c r="B63" s="620" t="s">
        <v>1055</v>
      </c>
      <c r="C63" s="620" t="s">
        <v>1164</v>
      </c>
      <c r="D63" s="621">
        <v>41177</v>
      </c>
      <c r="E63" s="620" t="s">
        <v>1165</v>
      </c>
      <c r="F63" s="622" t="s">
        <v>1112</v>
      </c>
      <c r="G63" s="623">
        <v>15980</v>
      </c>
      <c r="I63" s="624"/>
      <c r="K63" s="625"/>
    </row>
    <row r="64" spans="1:11">
      <c r="A64" s="619">
        <v>8718</v>
      </c>
      <c r="B64" s="620" t="s">
        <v>1097</v>
      </c>
      <c r="C64" s="620" t="s">
        <v>1166</v>
      </c>
      <c r="D64" s="621">
        <v>41181</v>
      </c>
      <c r="E64" s="620" t="s">
        <v>1167</v>
      </c>
      <c r="G64" s="623">
        <v>1089664.21</v>
      </c>
      <c r="I64" s="624"/>
      <c r="K64" s="625"/>
    </row>
    <row r="65" spans="1:11">
      <c r="A65" s="619">
        <v>10146</v>
      </c>
      <c r="B65" s="620" t="s">
        <v>1051</v>
      </c>
      <c r="C65" s="620" t="s">
        <v>1168</v>
      </c>
      <c r="D65" s="621">
        <v>41183</v>
      </c>
      <c r="E65" s="620" t="s">
        <v>1169</v>
      </c>
      <c r="F65" s="622" t="s">
        <v>1054</v>
      </c>
      <c r="G65" s="623">
        <v>15950</v>
      </c>
      <c r="I65" s="624"/>
      <c r="K65" s="625"/>
    </row>
    <row r="66" spans="1:11">
      <c r="A66" s="619">
        <v>10256</v>
      </c>
      <c r="B66" s="620" t="s">
        <v>1055</v>
      </c>
      <c r="C66" s="620" t="s">
        <v>1170</v>
      </c>
      <c r="D66" s="621">
        <v>41184</v>
      </c>
      <c r="E66" s="620" t="s">
        <v>1171</v>
      </c>
      <c r="F66" s="622" t="s">
        <v>1058</v>
      </c>
      <c r="G66" s="623">
        <v>20160</v>
      </c>
      <c r="I66" s="624"/>
      <c r="K66" s="625"/>
    </row>
    <row r="67" spans="1:11">
      <c r="A67" s="619">
        <v>10527</v>
      </c>
      <c r="B67" s="620" t="s">
        <v>1055</v>
      </c>
      <c r="C67" s="620" t="s">
        <v>1172</v>
      </c>
      <c r="D67" s="621">
        <v>41191</v>
      </c>
      <c r="E67" s="620" t="s">
        <v>1173</v>
      </c>
      <c r="F67" s="622" t="s">
        <v>1091</v>
      </c>
      <c r="G67" s="623">
        <v>3800</v>
      </c>
      <c r="I67" s="624"/>
      <c r="K67" s="625"/>
    </row>
    <row r="68" spans="1:11">
      <c r="A68" s="619">
        <v>11998</v>
      </c>
      <c r="B68" s="620" t="s">
        <v>1055</v>
      </c>
      <c r="C68" s="620" t="s">
        <v>1174</v>
      </c>
      <c r="D68" s="621">
        <v>41193</v>
      </c>
      <c r="E68" s="620" t="s">
        <v>1175</v>
      </c>
      <c r="F68" s="622" t="s">
        <v>1153</v>
      </c>
      <c r="G68" s="623">
        <v>16682.567999999999</v>
      </c>
      <c r="I68" s="624"/>
      <c r="K68" s="625"/>
    </row>
    <row r="69" spans="1:11">
      <c r="A69" s="619">
        <v>10359</v>
      </c>
      <c r="B69" s="620" t="s">
        <v>1055</v>
      </c>
      <c r="C69" s="620" t="s">
        <v>1176</v>
      </c>
      <c r="D69" s="621">
        <v>41208</v>
      </c>
      <c r="E69" s="620" t="s">
        <v>1177</v>
      </c>
      <c r="F69" s="622" t="s">
        <v>1112</v>
      </c>
      <c r="G69" s="623">
        <v>38960</v>
      </c>
      <c r="I69" s="624"/>
      <c r="K69" s="625"/>
    </row>
    <row r="70" spans="1:11">
      <c r="A70" s="619">
        <v>10860</v>
      </c>
      <c r="B70" s="620" t="s">
        <v>1097</v>
      </c>
      <c r="C70" s="620" t="s">
        <v>1178</v>
      </c>
      <c r="D70" s="621">
        <v>41213</v>
      </c>
      <c r="E70" s="620" t="s">
        <v>1179</v>
      </c>
      <c r="F70" s="622"/>
      <c r="G70" s="701">
        <v>149179.63</v>
      </c>
      <c r="I70" s="624"/>
      <c r="K70" s="625"/>
    </row>
    <row r="71" spans="1:11">
      <c r="A71" s="619">
        <v>11601</v>
      </c>
      <c r="B71" s="620" t="s">
        <v>1055</v>
      </c>
      <c r="C71" s="620" t="s">
        <v>1180</v>
      </c>
      <c r="D71" s="621">
        <v>41232</v>
      </c>
      <c r="E71" s="620" t="s">
        <v>1181</v>
      </c>
      <c r="F71" s="622" t="s">
        <v>1091</v>
      </c>
      <c r="G71" s="623">
        <v>130460</v>
      </c>
      <c r="I71" s="624"/>
      <c r="K71" s="625"/>
    </row>
    <row r="72" spans="1:11">
      <c r="A72" s="619">
        <v>12002</v>
      </c>
      <c r="B72" s="620" t="s">
        <v>1055</v>
      </c>
      <c r="C72" s="620" t="s">
        <v>1182</v>
      </c>
      <c r="D72" s="621">
        <v>41235</v>
      </c>
      <c r="E72" s="620" t="s">
        <v>1183</v>
      </c>
      <c r="F72" s="622" t="s">
        <v>1153</v>
      </c>
      <c r="G72" s="623">
        <v>6679.2736000000023</v>
      </c>
      <c r="I72" s="624"/>
      <c r="K72" s="625"/>
    </row>
    <row r="73" spans="1:11">
      <c r="A73" s="619">
        <v>12452</v>
      </c>
      <c r="B73" s="620" t="s">
        <v>1051</v>
      </c>
      <c r="C73" s="620" t="s">
        <v>1184</v>
      </c>
      <c r="D73" s="621">
        <v>41244</v>
      </c>
      <c r="E73" s="620" t="s">
        <v>1185</v>
      </c>
      <c r="F73" s="622" t="s">
        <v>1054</v>
      </c>
      <c r="G73" s="623">
        <v>320000</v>
      </c>
      <c r="I73" s="624"/>
      <c r="K73" s="625"/>
    </row>
    <row r="74" spans="1:11">
      <c r="A74" s="619">
        <v>13572</v>
      </c>
      <c r="B74" s="620" t="s">
        <v>1051</v>
      </c>
      <c r="C74" s="620" t="s">
        <v>1186</v>
      </c>
      <c r="D74" s="621">
        <v>41262</v>
      </c>
      <c r="E74" s="620" t="s">
        <v>1187</v>
      </c>
      <c r="F74" s="622" t="s">
        <v>1054</v>
      </c>
      <c r="G74" s="623">
        <v>19740</v>
      </c>
      <c r="I74" s="624"/>
      <c r="K74" s="625"/>
    </row>
    <row r="75" spans="1:11">
      <c r="A75" s="619">
        <v>13573</v>
      </c>
      <c r="B75" s="620" t="s">
        <v>1051</v>
      </c>
      <c r="C75" s="620" t="s">
        <v>1188</v>
      </c>
      <c r="D75" s="621">
        <v>41263</v>
      </c>
      <c r="E75" s="620" t="s">
        <v>1189</v>
      </c>
      <c r="F75" s="622" t="s">
        <v>1054</v>
      </c>
      <c r="G75" s="623">
        <v>8500</v>
      </c>
      <c r="I75" s="624"/>
      <c r="K75" s="625"/>
    </row>
    <row r="76" spans="1:11">
      <c r="A76" s="619">
        <v>13574</v>
      </c>
      <c r="B76" s="620" t="s">
        <v>1051</v>
      </c>
      <c r="C76" s="620" t="s">
        <v>1190</v>
      </c>
      <c r="D76" s="621">
        <v>41263</v>
      </c>
      <c r="E76" s="620" t="s">
        <v>1189</v>
      </c>
      <c r="F76" s="622" t="s">
        <v>1054</v>
      </c>
      <c r="G76" s="623">
        <v>13600</v>
      </c>
      <c r="I76" s="624"/>
      <c r="K76" s="625"/>
    </row>
    <row r="77" spans="1:11">
      <c r="A77" s="619">
        <v>13575</v>
      </c>
      <c r="B77" s="620" t="s">
        <v>1051</v>
      </c>
      <c r="C77" s="620" t="s">
        <v>1191</v>
      </c>
      <c r="D77" s="621">
        <v>41263</v>
      </c>
      <c r="E77" s="620" t="s">
        <v>1192</v>
      </c>
      <c r="F77" s="622" t="s">
        <v>1054</v>
      </c>
      <c r="G77" s="623">
        <v>4540</v>
      </c>
      <c r="I77" s="624"/>
      <c r="K77" s="625"/>
    </row>
    <row r="78" spans="1:11">
      <c r="A78" s="619">
        <v>13577</v>
      </c>
      <c r="B78" s="620" t="s">
        <v>1051</v>
      </c>
      <c r="C78" s="620" t="s">
        <v>1193</v>
      </c>
      <c r="D78" s="621">
        <v>41268</v>
      </c>
      <c r="E78" s="620" t="s">
        <v>1194</v>
      </c>
      <c r="F78" s="622" t="s">
        <v>1054</v>
      </c>
      <c r="G78" s="623">
        <v>5683</v>
      </c>
      <c r="I78" s="624"/>
      <c r="K78" s="625"/>
    </row>
    <row r="79" spans="1:11">
      <c r="A79" s="619">
        <v>13148</v>
      </c>
      <c r="B79" s="620" t="s">
        <v>1055</v>
      </c>
      <c r="C79" s="620" t="s">
        <v>1195</v>
      </c>
      <c r="D79" s="621">
        <v>41270</v>
      </c>
      <c r="E79" s="620" t="s">
        <v>1196</v>
      </c>
      <c r="F79" s="622" t="s">
        <v>1197</v>
      </c>
      <c r="G79" s="623">
        <v>2616216.2480000006</v>
      </c>
      <c r="I79" s="624"/>
      <c r="K79" s="625"/>
    </row>
    <row r="80" spans="1:11">
      <c r="A80" s="619">
        <v>12385</v>
      </c>
      <c r="B80" s="620" t="s">
        <v>1051</v>
      </c>
      <c r="C80" s="620" t="s">
        <v>1198</v>
      </c>
      <c r="D80" s="621">
        <v>41274</v>
      </c>
      <c r="E80" s="620" t="s">
        <v>1199</v>
      </c>
      <c r="F80" s="622" t="s">
        <v>1054</v>
      </c>
      <c r="G80" s="623">
        <v>5600000</v>
      </c>
      <c r="I80" s="624"/>
      <c r="K80" s="625"/>
    </row>
    <row r="81" spans="1:11">
      <c r="A81" s="619">
        <v>13585</v>
      </c>
      <c r="B81" s="620" t="s">
        <v>1051</v>
      </c>
      <c r="C81" s="620" t="s">
        <v>1200</v>
      </c>
      <c r="D81" s="621">
        <v>41274</v>
      </c>
      <c r="E81" s="620" t="s">
        <v>1201</v>
      </c>
      <c r="F81" s="622" t="s">
        <v>1054</v>
      </c>
      <c r="G81" s="623">
        <v>3209</v>
      </c>
      <c r="I81" s="624"/>
      <c r="K81" s="625"/>
    </row>
    <row r="82" spans="1:11">
      <c r="A82" s="619">
        <v>13588</v>
      </c>
      <c r="B82" s="620" t="s">
        <v>1051</v>
      </c>
      <c r="C82" s="620" t="s">
        <v>1202</v>
      </c>
      <c r="D82" s="621">
        <v>41274</v>
      </c>
      <c r="E82" s="620" t="s">
        <v>1203</v>
      </c>
      <c r="F82" s="622" t="s">
        <v>1054</v>
      </c>
      <c r="G82" s="623">
        <v>1600</v>
      </c>
      <c r="I82" s="624"/>
      <c r="K82" s="625"/>
    </row>
    <row r="83" spans="1:11">
      <c r="A83" s="619">
        <v>13590</v>
      </c>
      <c r="B83" s="620" t="s">
        <v>1051</v>
      </c>
      <c r="C83" s="620" t="s">
        <v>1204</v>
      </c>
      <c r="D83" s="621">
        <v>41274</v>
      </c>
      <c r="E83" s="620" t="s">
        <v>1205</v>
      </c>
      <c r="F83" s="622" t="s">
        <v>1054</v>
      </c>
      <c r="G83" s="623">
        <v>1992</v>
      </c>
      <c r="I83" s="624"/>
      <c r="K83" s="625"/>
    </row>
    <row r="84" spans="1:11">
      <c r="A84" s="619">
        <v>14000</v>
      </c>
      <c r="B84" s="620" t="s">
        <v>1097</v>
      </c>
      <c r="C84" s="620" t="s">
        <v>1206</v>
      </c>
      <c r="D84" s="621">
        <v>41274</v>
      </c>
      <c r="E84" s="620" t="s">
        <v>1367</v>
      </c>
      <c r="G84" s="623">
        <v>1707834</v>
      </c>
      <c r="I84" s="624"/>
      <c r="K84" s="625"/>
    </row>
    <row r="85" spans="1:11">
      <c r="A85" s="619">
        <v>14005</v>
      </c>
      <c r="B85" s="620" t="s">
        <v>1097</v>
      </c>
      <c r="C85" s="620" t="s">
        <v>1207</v>
      </c>
      <c r="D85" s="621">
        <v>41274</v>
      </c>
      <c r="E85" s="620" t="s">
        <v>1208</v>
      </c>
      <c r="G85" s="701">
        <v>62257.97</v>
      </c>
      <c r="I85" s="624"/>
      <c r="K85" s="625"/>
    </row>
    <row r="86" spans="1:11">
      <c r="A86" s="619">
        <v>14021</v>
      </c>
      <c r="B86" s="620" t="s">
        <v>1097</v>
      </c>
      <c r="C86" s="620" t="s">
        <v>1209</v>
      </c>
      <c r="D86" s="621">
        <v>41274</v>
      </c>
      <c r="E86" s="620" t="s">
        <v>1210</v>
      </c>
      <c r="G86" s="623">
        <v>711519.6</v>
      </c>
      <c r="I86" s="624"/>
      <c r="K86" s="625"/>
    </row>
    <row r="87" spans="1:11">
      <c r="A87" s="619">
        <v>14023</v>
      </c>
      <c r="B87" s="620" t="s">
        <v>1211</v>
      </c>
      <c r="C87" s="620" t="s">
        <v>1212</v>
      </c>
      <c r="D87" s="621">
        <v>41274</v>
      </c>
      <c r="E87" s="620" t="s">
        <v>1213</v>
      </c>
      <c r="F87" s="622" t="s">
        <v>1140</v>
      </c>
      <c r="G87" s="623">
        <v>144696.2022</v>
      </c>
      <c r="I87" s="624"/>
      <c r="K87" s="625"/>
    </row>
    <row r="88" spans="1:11">
      <c r="A88" s="619">
        <v>14042</v>
      </c>
      <c r="B88" s="620" t="s">
        <v>1097</v>
      </c>
      <c r="C88" s="620" t="s">
        <v>1214</v>
      </c>
      <c r="D88" s="621">
        <v>41274</v>
      </c>
      <c r="E88" s="620" t="s">
        <v>1215</v>
      </c>
      <c r="G88" s="623">
        <v>72586.8</v>
      </c>
      <c r="I88" s="624"/>
      <c r="K88" s="625"/>
    </row>
    <row r="89" spans="1:11">
      <c r="A89" s="619">
        <v>14106</v>
      </c>
      <c r="B89" s="620" t="s">
        <v>1097</v>
      </c>
      <c r="C89" s="620" t="s">
        <v>1216</v>
      </c>
      <c r="D89" s="621">
        <v>41274</v>
      </c>
      <c r="E89" s="620" t="s">
        <v>1217</v>
      </c>
      <c r="G89" s="623">
        <v>2380000</v>
      </c>
      <c r="I89" s="624"/>
      <c r="K89" s="625"/>
    </row>
    <row r="90" spans="1:11">
      <c r="F90" s="627" t="s">
        <v>1080</v>
      </c>
      <c r="G90" s="628">
        <v>23753144.970500007</v>
      </c>
      <c r="I90" s="624"/>
    </row>
    <row r="91" spans="1:11">
      <c r="B91" s="617" t="s">
        <v>1048</v>
      </c>
      <c r="F91" s="627"/>
      <c r="G91" s="623"/>
      <c r="I91" s="624"/>
    </row>
    <row r="92" spans="1:11">
      <c r="B92" s="617"/>
      <c r="F92" s="627"/>
      <c r="G92" s="623"/>
      <c r="I92" s="624"/>
    </row>
    <row r="93" spans="1:11">
      <c r="A93" s="619">
        <v>1640</v>
      </c>
      <c r="B93" s="629" t="s">
        <v>1055</v>
      </c>
      <c r="C93" s="629" t="s">
        <v>1218</v>
      </c>
      <c r="D93" s="630">
        <v>40931</v>
      </c>
      <c r="E93" s="629" t="s">
        <v>1219</v>
      </c>
      <c r="F93" s="631" t="s">
        <v>1220</v>
      </c>
      <c r="G93" s="632">
        <v>121162.12599999999</v>
      </c>
      <c r="H93" s="633"/>
      <c r="I93" s="632"/>
      <c r="K93" s="633"/>
    </row>
    <row r="94" spans="1:11">
      <c r="A94" s="619">
        <v>1644</v>
      </c>
      <c r="B94" s="629" t="s">
        <v>1055</v>
      </c>
      <c r="C94" s="629" t="s">
        <v>1221</v>
      </c>
      <c r="D94" s="630">
        <v>40960</v>
      </c>
      <c r="E94" s="629" t="s">
        <v>1222</v>
      </c>
      <c r="F94" s="631" t="s">
        <v>1220</v>
      </c>
      <c r="G94" s="632">
        <v>121583.22300000003</v>
      </c>
      <c r="H94" s="633"/>
      <c r="I94" s="632"/>
      <c r="K94" s="633"/>
    </row>
    <row r="95" spans="1:11">
      <c r="A95" s="619">
        <v>2446</v>
      </c>
      <c r="B95" s="629" t="s">
        <v>1055</v>
      </c>
      <c r="C95" s="629" t="s">
        <v>1223</v>
      </c>
      <c r="D95" s="630">
        <v>40998</v>
      </c>
      <c r="E95" s="629" t="s">
        <v>1224</v>
      </c>
      <c r="F95" s="631" t="s">
        <v>1220</v>
      </c>
      <c r="G95" s="632">
        <v>330220.69600000005</v>
      </c>
      <c r="H95" s="633"/>
      <c r="I95" s="632"/>
      <c r="K95" s="633"/>
    </row>
    <row r="96" spans="1:11">
      <c r="A96" s="619">
        <v>3425</v>
      </c>
      <c r="B96" s="629" t="s">
        <v>1055</v>
      </c>
      <c r="C96" s="629" t="s">
        <v>1225</v>
      </c>
      <c r="D96" s="630">
        <v>41018</v>
      </c>
      <c r="E96" s="629" t="s">
        <v>1226</v>
      </c>
      <c r="F96" s="631" t="s">
        <v>1220</v>
      </c>
      <c r="G96" s="632">
        <v>121264.55499999999</v>
      </c>
      <c r="H96" s="633"/>
      <c r="I96" s="632"/>
      <c r="K96" s="633"/>
    </row>
    <row r="97" spans="1:11">
      <c r="A97" s="619">
        <v>4591</v>
      </c>
      <c r="B97" s="629" t="s">
        <v>1055</v>
      </c>
      <c r="C97" s="629" t="s">
        <v>1227</v>
      </c>
      <c r="D97" s="630">
        <v>41046</v>
      </c>
      <c r="E97" s="629" t="s">
        <v>1228</v>
      </c>
      <c r="F97" s="631" t="s">
        <v>1220</v>
      </c>
      <c r="G97" s="632">
        <v>334091.39769999997</v>
      </c>
      <c r="H97" s="633"/>
      <c r="I97" s="632"/>
      <c r="K97" s="633"/>
    </row>
    <row r="98" spans="1:11">
      <c r="A98" s="619">
        <v>5690</v>
      </c>
      <c r="B98" s="629" t="s">
        <v>1055</v>
      </c>
      <c r="C98" s="629" t="s">
        <v>1229</v>
      </c>
      <c r="D98" s="630">
        <v>41082</v>
      </c>
      <c r="E98" s="629" t="s">
        <v>1368</v>
      </c>
      <c r="F98" s="631" t="s">
        <v>1230</v>
      </c>
      <c r="G98" s="632">
        <v>96872.563999999984</v>
      </c>
      <c r="H98" s="633"/>
      <c r="I98" s="632"/>
      <c r="K98" s="633"/>
    </row>
    <row r="99" spans="1:11">
      <c r="A99" s="619">
        <v>7295</v>
      </c>
      <c r="B99" s="629" t="s">
        <v>1055</v>
      </c>
      <c r="C99" s="629" t="s">
        <v>1221</v>
      </c>
      <c r="D99" s="630">
        <v>41127</v>
      </c>
      <c r="E99" s="629" t="s">
        <v>1231</v>
      </c>
      <c r="F99" s="631" t="s">
        <v>1232</v>
      </c>
      <c r="G99" s="632">
        <v>32199.391199999991</v>
      </c>
      <c r="H99" s="633"/>
      <c r="I99" s="632"/>
      <c r="K99" s="633"/>
    </row>
    <row r="100" spans="1:11">
      <c r="A100" s="619">
        <v>7296</v>
      </c>
      <c r="B100" s="629" t="s">
        <v>1055</v>
      </c>
      <c r="C100" s="629" t="s">
        <v>1233</v>
      </c>
      <c r="D100" s="630">
        <v>41157</v>
      </c>
      <c r="E100" s="629" t="s">
        <v>1234</v>
      </c>
      <c r="F100" s="631" t="s">
        <v>1232</v>
      </c>
      <c r="G100" s="632">
        <v>78948.87</v>
      </c>
      <c r="H100" s="633"/>
      <c r="I100" s="632"/>
      <c r="K100" s="633"/>
    </row>
    <row r="101" spans="1:11">
      <c r="A101" s="619">
        <v>12003</v>
      </c>
      <c r="B101" s="629" t="s">
        <v>1055</v>
      </c>
      <c r="C101" s="629" t="s">
        <v>1235</v>
      </c>
      <c r="D101" s="630">
        <v>41187</v>
      </c>
      <c r="E101" s="629" t="s">
        <v>1236</v>
      </c>
      <c r="F101" s="631" t="s">
        <v>1232</v>
      </c>
      <c r="G101" s="632">
        <v>338897.66399999999</v>
      </c>
      <c r="H101" s="633"/>
      <c r="I101" s="632"/>
      <c r="K101" s="633"/>
    </row>
    <row r="102" spans="1:11">
      <c r="A102" s="619">
        <v>12004</v>
      </c>
      <c r="B102" s="629" t="s">
        <v>1055</v>
      </c>
      <c r="C102" s="629" t="s">
        <v>1223</v>
      </c>
      <c r="D102" s="630">
        <v>41218</v>
      </c>
      <c r="E102" s="629" t="s">
        <v>1237</v>
      </c>
      <c r="F102" s="631" t="s">
        <v>1232</v>
      </c>
      <c r="G102" s="632">
        <v>78360.929999999993</v>
      </c>
      <c r="H102" s="633"/>
      <c r="I102" s="632"/>
      <c r="K102" s="633"/>
    </row>
    <row r="103" spans="1:11">
      <c r="A103" s="619">
        <v>13078</v>
      </c>
      <c r="B103" s="629" t="s">
        <v>1055</v>
      </c>
      <c r="C103" s="629" t="s">
        <v>1238</v>
      </c>
      <c r="D103" s="630">
        <v>41248</v>
      </c>
      <c r="E103" s="629" t="s">
        <v>1239</v>
      </c>
      <c r="F103" s="631" t="s">
        <v>1232</v>
      </c>
      <c r="G103" s="632">
        <v>76582.77</v>
      </c>
      <c r="H103" s="633"/>
      <c r="I103" s="632"/>
      <c r="K103" s="633"/>
    </row>
    <row r="104" spans="1:11">
      <c r="D104" s="633"/>
      <c r="E104" s="633"/>
      <c r="F104" s="634" t="s">
        <v>1080</v>
      </c>
      <c r="G104" s="635">
        <v>1730184.1869000003</v>
      </c>
      <c r="H104" s="633"/>
      <c r="I104" s="635"/>
      <c r="K104" s="632"/>
    </row>
    <row r="107" spans="1:11">
      <c r="A107" s="573"/>
      <c r="B107" s="617" t="s">
        <v>481</v>
      </c>
      <c r="D107" s="573"/>
    </row>
    <row r="109" spans="1:11">
      <c r="D109" s="618"/>
    </row>
    <row r="110" spans="1:11">
      <c r="A110" s="619">
        <v>7212</v>
      </c>
      <c r="B110" s="620" t="s">
        <v>1055</v>
      </c>
      <c r="C110" s="620" t="s">
        <v>1240</v>
      </c>
      <c r="D110" s="621">
        <v>41142</v>
      </c>
      <c r="E110" s="620" t="s">
        <v>1241</v>
      </c>
      <c r="F110" s="622" t="s">
        <v>1242</v>
      </c>
      <c r="G110" s="623">
        <v>2623.2968999999994</v>
      </c>
      <c r="I110" s="624"/>
      <c r="K110" s="625"/>
    </row>
    <row r="111" spans="1:11">
      <c r="A111" s="619">
        <v>11935</v>
      </c>
      <c r="B111" s="620" t="s">
        <v>1055</v>
      </c>
      <c r="C111" s="620" t="s">
        <v>1243</v>
      </c>
      <c r="D111" s="621">
        <v>41234</v>
      </c>
      <c r="E111" s="620" t="s">
        <v>1244</v>
      </c>
      <c r="F111" s="622" t="s">
        <v>1242</v>
      </c>
      <c r="G111" s="623">
        <v>2690.8110000000001</v>
      </c>
      <c r="I111" s="624"/>
      <c r="K111" s="625"/>
    </row>
    <row r="112" spans="1:11">
      <c r="A112" s="619">
        <v>13674</v>
      </c>
      <c r="B112" s="620" t="s">
        <v>1245</v>
      </c>
      <c r="C112" s="620" t="s">
        <v>1246</v>
      </c>
      <c r="D112" s="621">
        <v>41234</v>
      </c>
      <c r="E112" s="620" t="s">
        <v>1247</v>
      </c>
      <c r="F112" s="622" t="s">
        <v>1248</v>
      </c>
      <c r="G112" s="623">
        <v>620</v>
      </c>
      <c r="I112" s="624"/>
      <c r="K112" s="625"/>
    </row>
    <row r="113" spans="1:9">
      <c r="F113" s="627" t="s">
        <v>1080</v>
      </c>
      <c r="G113" s="628">
        <v>5934.1079</v>
      </c>
      <c r="I113" s="624"/>
    </row>
    <row r="114" spans="1:9">
      <c r="B114" s="617" t="s">
        <v>1249</v>
      </c>
      <c r="F114" s="627"/>
      <c r="G114" s="628"/>
      <c r="I114" s="624"/>
    </row>
    <row r="115" spans="1:9">
      <c r="B115" s="636"/>
      <c r="F115" s="627"/>
      <c r="G115" s="628"/>
      <c r="I115" s="624"/>
    </row>
    <row r="116" spans="1:9">
      <c r="A116" s="619">
        <v>304</v>
      </c>
      <c r="B116" s="620" t="s">
        <v>1055</v>
      </c>
      <c r="C116" s="629" t="s">
        <v>1250</v>
      </c>
      <c r="D116" s="630">
        <v>40911</v>
      </c>
      <c r="E116" s="629" t="s">
        <v>1251</v>
      </c>
      <c r="G116" s="623">
        <v>79027.039999999994</v>
      </c>
      <c r="I116" s="624"/>
    </row>
    <row r="117" spans="1:9">
      <c r="A117" s="619">
        <v>1280</v>
      </c>
      <c r="B117" s="620" t="s">
        <v>1055</v>
      </c>
      <c r="C117" s="629" t="s">
        <v>1252</v>
      </c>
      <c r="D117" s="630">
        <v>40940</v>
      </c>
      <c r="E117" s="629" t="s">
        <v>1251</v>
      </c>
      <c r="G117" s="623">
        <v>83628.42</v>
      </c>
      <c r="I117" s="624"/>
    </row>
    <row r="118" spans="1:9">
      <c r="A118" s="619">
        <v>2233</v>
      </c>
      <c r="B118" s="620" t="s">
        <v>1055</v>
      </c>
      <c r="C118" s="629" t="s">
        <v>1253</v>
      </c>
      <c r="D118" s="630">
        <v>40969</v>
      </c>
      <c r="E118" s="629" t="s">
        <v>1251</v>
      </c>
      <c r="G118" s="623">
        <v>75331.12</v>
      </c>
      <c r="I118" s="624"/>
    </row>
    <row r="119" spans="1:9">
      <c r="A119" s="619">
        <v>2972</v>
      </c>
      <c r="B119" s="620" t="s">
        <v>1055</v>
      </c>
      <c r="C119" s="629" t="s">
        <v>1254</v>
      </c>
      <c r="D119" s="630">
        <v>41001</v>
      </c>
      <c r="E119" s="629" t="s">
        <v>1251</v>
      </c>
      <c r="G119" s="623">
        <v>221.76</v>
      </c>
      <c r="I119" s="624"/>
    </row>
    <row r="120" spans="1:9">
      <c r="A120" s="619">
        <v>2975</v>
      </c>
      <c r="B120" s="620" t="s">
        <v>1055</v>
      </c>
      <c r="C120" s="629" t="s">
        <v>1255</v>
      </c>
      <c r="D120" s="630">
        <v>41002</v>
      </c>
      <c r="E120" s="629" t="s">
        <v>1251</v>
      </c>
      <c r="G120" s="623">
        <v>84476.54</v>
      </c>
      <c r="I120" s="624"/>
    </row>
    <row r="121" spans="1:9">
      <c r="A121" s="619">
        <v>4217</v>
      </c>
      <c r="B121" s="620" t="s">
        <v>1055</v>
      </c>
      <c r="C121" s="629" t="s">
        <v>1256</v>
      </c>
      <c r="D121" s="630">
        <v>41031</v>
      </c>
      <c r="E121" s="629" t="s">
        <v>1251</v>
      </c>
      <c r="G121" s="623">
        <v>47698.46</v>
      </c>
      <c r="I121" s="624"/>
    </row>
    <row r="122" spans="1:9">
      <c r="A122" s="619">
        <v>4225</v>
      </c>
      <c r="B122" s="620" t="s">
        <v>1055</v>
      </c>
      <c r="C122" s="629" t="s">
        <v>1257</v>
      </c>
      <c r="D122" s="630">
        <v>41032</v>
      </c>
      <c r="E122" s="629" t="s">
        <v>1251</v>
      </c>
      <c r="G122" s="623">
        <v>34252.129999999997</v>
      </c>
      <c r="I122" s="624"/>
    </row>
    <row r="123" spans="1:9">
      <c r="A123" s="619">
        <v>5189</v>
      </c>
      <c r="B123" s="620" t="s">
        <v>1055</v>
      </c>
      <c r="C123" s="629" t="s">
        <v>1258</v>
      </c>
      <c r="D123" s="630">
        <v>41061</v>
      </c>
      <c r="E123" s="629" t="s">
        <v>1251</v>
      </c>
      <c r="G123" s="623">
        <v>84942.92</v>
      </c>
      <c r="I123" s="624"/>
    </row>
    <row r="124" spans="1:9">
      <c r="A124" s="619">
        <v>6137</v>
      </c>
      <c r="B124" s="620" t="s">
        <v>1055</v>
      </c>
      <c r="C124" s="629" t="s">
        <v>1259</v>
      </c>
      <c r="D124" s="630">
        <v>41092</v>
      </c>
      <c r="E124" s="629" t="s">
        <v>1251</v>
      </c>
      <c r="G124" s="623">
        <v>52665.95</v>
      </c>
      <c r="I124" s="624"/>
    </row>
    <row r="125" spans="1:9">
      <c r="A125" s="619">
        <v>6139</v>
      </c>
      <c r="B125" s="620" t="s">
        <v>1055</v>
      </c>
      <c r="C125" s="629" t="s">
        <v>1260</v>
      </c>
      <c r="D125" s="630">
        <v>41096</v>
      </c>
      <c r="E125" s="629" t="s">
        <v>1251</v>
      </c>
      <c r="G125" s="623">
        <v>23839.49</v>
      </c>
      <c r="I125" s="624"/>
    </row>
    <row r="126" spans="1:9">
      <c r="A126" s="619">
        <v>6162</v>
      </c>
      <c r="B126" s="620" t="s">
        <v>1055</v>
      </c>
      <c r="C126" s="629" t="s">
        <v>1261</v>
      </c>
      <c r="D126" s="630">
        <v>41116</v>
      </c>
      <c r="E126" s="629" t="s">
        <v>1251</v>
      </c>
      <c r="G126" s="623">
        <v>15584</v>
      </c>
      <c r="I126" s="624"/>
    </row>
    <row r="127" spans="1:9">
      <c r="A127" s="619">
        <v>6871</v>
      </c>
      <c r="B127" s="620" t="s">
        <v>1055</v>
      </c>
      <c r="C127" s="629" t="s">
        <v>1262</v>
      </c>
      <c r="D127" s="630">
        <v>41122</v>
      </c>
      <c r="E127" s="629" t="s">
        <v>1251</v>
      </c>
      <c r="G127" s="623">
        <v>73878.09</v>
      </c>
      <c r="I127" s="624"/>
    </row>
    <row r="128" spans="1:9">
      <c r="A128" s="619">
        <v>8924</v>
      </c>
      <c r="B128" s="620" t="s">
        <v>1055</v>
      </c>
      <c r="C128" s="629" t="s">
        <v>1263</v>
      </c>
      <c r="D128" s="630">
        <v>41155</v>
      </c>
      <c r="E128" s="629" t="s">
        <v>1251</v>
      </c>
      <c r="G128" s="623">
        <v>74844.100000000006</v>
      </c>
      <c r="I128" s="624"/>
    </row>
    <row r="129" spans="1:10">
      <c r="A129" s="619">
        <v>10428</v>
      </c>
      <c r="B129" s="620" t="s">
        <v>1055</v>
      </c>
      <c r="C129" s="629" t="s">
        <v>1264</v>
      </c>
      <c r="D129" s="630">
        <v>41183</v>
      </c>
      <c r="E129" s="629" t="s">
        <v>1251</v>
      </c>
      <c r="G129" s="623">
        <v>8840.43</v>
      </c>
      <c r="I129" s="624"/>
    </row>
    <row r="130" spans="1:10">
      <c r="A130" s="619">
        <v>10429</v>
      </c>
      <c r="B130" s="620" t="s">
        <v>1055</v>
      </c>
      <c r="C130" s="629" t="s">
        <v>1265</v>
      </c>
      <c r="D130" s="630">
        <v>41187</v>
      </c>
      <c r="E130" s="629" t="s">
        <v>1251</v>
      </c>
      <c r="G130" s="623">
        <v>72374.12</v>
      </c>
      <c r="I130" s="624"/>
    </row>
    <row r="131" spans="1:10">
      <c r="A131" s="619">
        <v>11848</v>
      </c>
      <c r="B131" s="620" t="s">
        <v>1055</v>
      </c>
      <c r="C131" s="629" t="s">
        <v>1266</v>
      </c>
      <c r="D131" s="630">
        <v>41214</v>
      </c>
      <c r="E131" s="629" t="s">
        <v>1251</v>
      </c>
      <c r="G131" s="623">
        <v>83032.929999999993</v>
      </c>
      <c r="I131" s="624"/>
    </row>
    <row r="132" spans="1:10">
      <c r="A132" s="619">
        <v>11857</v>
      </c>
      <c r="B132" s="620" t="s">
        <v>1055</v>
      </c>
      <c r="C132" s="629" t="s">
        <v>1267</v>
      </c>
      <c r="D132" s="630">
        <v>41246</v>
      </c>
      <c r="E132" s="629" t="s">
        <v>1251</v>
      </c>
      <c r="G132" s="623">
        <v>31721.95</v>
      </c>
      <c r="I132" s="624"/>
    </row>
    <row r="133" spans="1:10">
      <c r="A133" s="619">
        <v>12901</v>
      </c>
      <c r="B133" s="620" t="s">
        <v>1055</v>
      </c>
      <c r="C133" s="629" t="s">
        <v>1268</v>
      </c>
      <c r="D133" s="630">
        <v>41249</v>
      </c>
      <c r="E133" s="629" t="s">
        <v>1251</v>
      </c>
      <c r="G133" s="623">
        <v>6652</v>
      </c>
      <c r="I133" s="624"/>
    </row>
    <row r="134" spans="1:10">
      <c r="A134" s="619">
        <v>12906</v>
      </c>
      <c r="B134" s="620" t="s">
        <v>1055</v>
      </c>
      <c r="C134" s="629" t="s">
        <v>1269</v>
      </c>
      <c r="D134" s="630">
        <v>41253</v>
      </c>
      <c r="E134" s="629" t="s">
        <v>1251</v>
      </c>
      <c r="G134" s="623">
        <v>37200</v>
      </c>
      <c r="I134" s="624"/>
    </row>
    <row r="135" spans="1:10">
      <c r="A135" s="619">
        <v>12909</v>
      </c>
      <c r="B135" s="620" t="s">
        <v>1055</v>
      </c>
      <c r="C135" s="629" t="s">
        <v>1270</v>
      </c>
      <c r="D135" s="630">
        <v>41262</v>
      </c>
      <c r="E135" s="629" t="s">
        <v>1251</v>
      </c>
      <c r="G135" s="623">
        <v>5946.85</v>
      </c>
      <c r="I135" s="624"/>
    </row>
    <row r="136" spans="1:10">
      <c r="F136" s="627" t="s">
        <v>1080</v>
      </c>
      <c r="G136" s="628">
        <f>SUM(G116:G135)</f>
        <v>976158.29999999993</v>
      </c>
      <c r="I136" s="624"/>
    </row>
    <row r="137" spans="1:10">
      <c r="E137" s="637" t="s">
        <v>1271</v>
      </c>
      <c r="F137" s="638"/>
      <c r="G137" s="639"/>
      <c r="H137" s="640"/>
      <c r="I137" s="641"/>
    </row>
    <row r="138" spans="1:10">
      <c r="F138" s="627"/>
      <c r="G138" s="628"/>
      <c r="I138" s="624"/>
    </row>
    <row r="139" spans="1:10">
      <c r="F139" s="627"/>
      <c r="G139" s="628"/>
      <c r="I139" s="624"/>
    </row>
    <row r="141" spans="1:10">
      <c r="A141" s="573"/>
      <c r="B141" s="617" t="s">
        <v>479</v>
      </c>
      <c r="D141" s="633"/>
      <c r="E141" s="636" t="s">
        <v>511</v>
      </c>
      <c r="F141" s="633"/>
      <c r="G141" s="633"/>
      <c r="H141" s="633"/>
      <c r="I141" s="633"/>
      <c r="J141" s="633"/>
    </row>
    <row r="142" spans="1:10">
      <c r="C142" s="633"/>
      <c r="D142" s="633"/>
      <c r="E142" s="633"/>
      <c r="F142" s="633"/>
      <c r="G142" s="633"/>
      <c r="H142" s="633"/>
      <c r="I142" s="633"/>
      <c r="J142" s="633"/>
    </row>
    <row r="143" spans="1:10">
      <c r="B143" s="633"/>
      <c r="C143" s="633"/>
      <c r="D143" s="633"/>
      <c r="E143" s="633"/>
      <c r="F143" s="633"/>
      <c r="G143" s="633"/>
      <c r="H143" s="633"/>
    </row>
    <row r="144" spans="1:10">
      <c r="A144" s="619">
        <v>206</v>
      </c>
      <c r="B144" s="629" t="s">
        <v>1051</v>
      </c>
      <c r="C144" s="629" t="s">
        <v>1272</v>
      </c>
      <c r="D144" s="630">
        <v>40939</v>
      </c>
      <c r="E144" s="629" t="s">
        <v>1273</v>
      </c>
      <c r="F144" s="631" t="s">
        <v>1054</v>
      </c>
      <c r="G144" s="632">
        <v>16588.8</v>
      </c>
      <c r="H144" s="633"/>
    </row>
    <row r="145" spans="1:8">
      <c r="A145" s="619">
        <v>978</v>
      </c>
      <c r="B145" s="629" t="s">
        <v>1051</v>
      </c>
      <c r="C145" s="629" t="s">
        <v>1087</v>
      </c>
      <c r="D145" s="630">
        <v>40952</v>
      </c>
      <c r="E145" s="629" t="s">
        <v>1088</v>
      </c>
      <c r="F145" s="631" t="s">
        <v>1054</v>
      </c>
      <c r="G145" s="632">
        <v>22273.599999999999</v>
      </c>
      <c r="H145" s="633"/>
    </row>
    <row r="146" spans="1:8">
      <c r="A146" s="619">
        <v>1840</v>
      </c>
      <c r="B146" s="629" t="s">
        <v>1051</v>
      </c>
      <c r="C146" s="629" t="s">
        <v>1274</v>
      </c>
      <c r="D146" s="630">
        <v>40979</v>
      </c>
      <c r="E146" s="629" t="s">
        <v>1275</v>
      </c>
      <c r="F146" s="631" t="s">
        <v>1054</v>
      </c>
      <c r="G146" s="632">
        <v>143150</v>
      </c>
      <c r="H146" s="633"/>
    </row>
    <row r="147" spans="1:8">
      <c r="A147" s="619">
        <v>2715</v>
      </c>
      <c r="B147" s="629" t="s">
        <v>1051</v>
      </c>
      <c r="C147" s="629" t="s">
        <v>1276</v>
      </c>
      <c r="D147" s="630">
        <v>41004</v>
      </c>
      <c r="E147" s="629" t="s">
        <v>1277</v>
      </c>
      <c r="F147" s="631" t="s">
        <v>1054</v>
      </c>
      <c r="G147" s="632">
        <v>68541.2</v>
      </c>
      <c r="H147" s="633"/>
    </row>
    <row r="148" spans="1:8">
      <c r="A148" s="619">
        <v>2745</v>
      </c>
      <c r="B148" s="629" t="s">
        <v>1051</v>
      </c>
      <c r="C148" s="629" t="s">
        <v>1278</v>
      </c>
      <c r="D148" s="630">
        <v>41009</v>
      </c>
      <c r="E148" s="629" t="s">
        <v>1279</v>
      </c>
      <c r="F148" s="631" t="s">
        <v>1054</v>
      </c>
      <c r="G148" s="632">
        <v>42400</v>
      </c>
      <c r="H148" s="633"/>
    </row>
    <row r="149" spans="1:8">
      <c r="A149" s="619">
        <v>2746</v>
      </c>
      <c r="B149" s="629" t="s">
        <v>1051</v>
      </c>
      <c r="C149" s="629" t="s">
        <v>1280</v>
      </c>
      <c r="D149" s="630">
        <v>41010</v>
      </c>
      <c r="E149" s="629" t="s">
        <v>1281</v>
      </c>
      <c r="F149" s="631" t="s">
        <v>1054</v>
      </c>
      <c r="G149" s="632">
        <v>42400</v>
      </c>
      <c r="H149" s="633"/>
    </row>
    <row r="150" spans="1:8">
      <c r="A150" s="619">
        <v>2775</v>
      </c>
      <c r="B150" s="629" t="s">
        <v>1051</v>
      </c>
      <c r="C150" s="629" t="s">
        <v>1282</v>
      </c>
      <c r="D150" s="630">
        <v>41016</v>
      </c>
      <c r="E150" s="629" t="s">
        <v>1283</v>
      </c>
      <c r="F150" s="631" t="s">
        <v>1054</v>
      </c>
      <c r="G150" s="632">
        <v>44000</v>
      </c>
      <c r="H150" s="633"/>
    </row>
    <row r="151" spans="1:8">
      <c r="A151" s="619">
        <v>2776</v>
      </c>
      <c r="B151" s="629" t="s">
        <v>1051</v>
      </c>
      <c r="C151" s="629" t="s">
        <v>1284</v>
      </c>
      <c r="D151" s="630">
        <v>41016</v>
      </c>
      <c r="E151" s="629" t="s">
        <v>1285</v>
      </c>
      <c r="F151" s="631" t="s">
        <v>1054</v>
      </c>
      <c r="G151" s="632">
        <v>44000</v>
      </c>
      <c r="H151" s="633"/>
    </row>
    <row r="152" spans="1:8">
      <c r="A152" s="619">
        <v>2777</v>
      </c>
      <c r="B152" s="629" t="s">
        <v>1051</v>
      </c>
      <c r="C152" s="629" t="s">
        <v>1286</v>
      </c>
      <c r="D152" s="630">
        <v>41017</v>
      </c>
      <c r="E152" s="629" t="s">
        <v>1287</v>
      </c>
      <c r="F152" s="631" t="s">
        <v>1054</v>
      </c>
      <c r="G152" s="632">
        <v>44000</v>
      </c>
      <c r="H152" s="633"/>
    </row>
    <row r="153" spans="1:8">
      <c r="A153" s="619">
        <v>2802</v>
      </c>
      <c r="B153" s="629" t="s">
        <v>1051</v>
      </c>
      <c r="C153" s="629" t="s">
        <v>1288</v>
      </c>
      <c r="D153" s="630">
        <v>41022</v>
      </c>
      <c r="E153" s="629" t="s">
        <v>1289</v>
      </c>
      <c r="F153" s="631" t="s">
        <v>1054</v>
      </c>
      <c r="G153" s="632">
        <v>50400</v>
      </c>
      <c r="H153" s="633"/>
    </row>
    <row r="154" spans="1:8">
      <c r="A154" s="619">
        <v>2803</v>
      </c>
      <c r="B154" s="629" t="s">
        <v>1051</v>
      </c>
      <c r="C154" s="629" t="s">
        <v>1290</v>
      </c>
      <c r="D154" s="630">
        <v>41023</v>
      </c>
      <c r="E154" s="629" t="s">
        <v>1291</v>
      </c>
      <c r="F154" s="631" t="s">
        <v>1054</v>
      </c>
      <c r="G154" s="632">
        <v>50400</v>
      </c>
      <c r="H154" s="633"/>
    </row>
    <row r="155" spans="1:8">
      <c r="A155" s="619">
        <v>3518</v>
      </c>
      <c r="B155" s="629" t="s">
        <v>1051</v>
      </c>
      <c r="C155" s="629" t="s">
        <v>1292</v>
      </c>
      <c r="D155" s="630">
        <v>41031</v>
      </c>
      <c r="E155" s="629" t="s">
        <v>1293</v>
      </c>
      <c r="F155" s="631" t="s">
        <v>1054</v>
      </c>
      <c r="G155" s="632">
        <v>44000</v>
      </c>
      <c r="H155" s="633"/>
    </row>
    <row r="156" spans="1:8">
      <c r="A156" s="619">
        <v>3519</v>
      </c>
      <c r="B156" s="629" t="s">
        <v>1051</v>
      </c>
      <c r="C156" s="629" t="s">
        <v>1294</v>
      </c>
      <c r="D156" s="630">
        <v>41031</v>
      </c>
      <c r="E156" s="629" t="s">
        <v>1295</v>
      </c>
      <c r="F156" s="631" t="s">
        <v>1054</v>
      </c>
      <c r="G156" s="632">
        <v>44000</v>
      </c>
      <c r="H156" s="633"/>
    </row>
    <row r="157" spans="1:8">
      <c r="A157" s="619">
        <v>3580</v>
      </c>
      <c r="B157" s="629" t="s">
        <v>1051</v>
      </c>
      <c r="C157" s="629" t="s">
        <v>1296</v>
      </c>
      <c r="D157" s="630">
        <v>41037</v>
      </c>
      <c r="E157" s="629" t="s">
        <v>1297</v>
      </c>
      <c r="F157" s="631" t="s">
        <v>1054</v>
      </c>
      <c r="G157" s="632">
        <v>20800</v>
      </c>
      <c r="H157" s="633"/>
    </row>
    <row r="158" spans="1:8">
      <c r="A158" s="619">
        <v>3581</v>
      </c>
      <c r="B158" s="629" t="s">
        <v>1051</v>
      </c>
      <c r="C158" s="629" t="s">
        <v>1298</v>
      </c>
      <c r="D158" s="630">
        <v>41038</v>
      </c>
      <c r="E158" s="629" t="s">
        <v>1289</v>
      </c>
      <c r="F158" s="631" t="s">
        <v>1054</v>
      </c>
      <c r="G158" s="632">
        <v>40000</v>
      </c>
      <c r="H158" s="633"/>
    </row>
    <row r="159" spans="1:8">
      <c r="A159" s="619">
        <v>3602</v>
      </c>
      <c r="B159" s="629" t="s">
        <v>1051</v>
      </c>
      <c r="C159" s="629" t="s">
        <v>1299</v>
      </c>
      <c r="D159" s="630">
        <v>41044</v>
      </c>
      <c r="E159" s="629" t="s">
        <v>1300</v>
      </c>
      <c r="F159" s="631" t="s">
        <v>1054</v>
      </c>
      <c r="G159" s="632">
        <v>40000</v>
      </c>
      <c r="H159" s="633"/>
    </row>
    <row r="160" spans="1:8">
      <c r="A160" s="619">
        <v>3603</v>
      </c>
      <c r="B160" s="629" t="s">
        <v>1051</v>
      </c>
      <c r="C160" s="629" t="s">
        <v>1301</v>
      </c>
      <c r="D160" s="630">
        <v>41045</v>
      </c>
      <c r="E160" s="629" t="s">
        <v>1302</v>
      </c>
      <c r="F160" s="631" t="s">
        <v>1054</v>
      </c>
      <c r="G160" s="632">
        <v>40000</v>
      </c>
      <c r="H160" s="633"/>
    </row>
    <row r="161" spans="1:8">
      <c r="A161" s="619">
        <v>3647</v>
      </c>
      <c r="B161" s="629" t="s">
        <v>1051</v>
      </c>
      <c r="C161" s="629" t="s">
        <v>1303</v>
      </c>
      <c r="D161" s="630">
        <v>41050</v>
      </c>
      <c r="E161" s="629" t="s">
        <v>1289</v>
      </c>
      <c r="F161" s="631" t="s">
        <v>1054</v>
      </c>
      <c r="G161" s="632">
        <v>56000</v>
      </c>
      <c r="H161" s="633"/>
    </row>
    <row r="162" spans="1:8">
      <c r="A162" s="619">
        <v>3652</v>
      </c>
      <c r="B162" s="629" t="s">
        <v>1051</v>
      </c>
      <c r="C162" s="629" t="s">
        <v>1304</v>
      </c>
      <c r="D162" s="630">
        <v>41051</v>
      </c>
      <c r="E162" s="629" t="s">
        <v>1300</v>
      </c>
      <c r="F162" s="631" t="s">
        <v>1054</v>
      </c>
      <c r="G162" s="632">
        <v>56000</v>
      </c>
      <c r="H162" s="633"/>
    </row>
    <row r="163" spans="1:8">
      <c r="A163" s="619">
        <v>3671</v>
      </c>
      <c r="B163" s="629" t="s">
        <v>1051</v>
      </c>
      <c r="C163" s="629" t="s">
        <v>1305</v>
      </c>
      <c r="D163" s="630">
        <v>41053</v>
      </c>
      <c r="E163" s="629" t="s">
        <v>1306</v>
      </c>
      <c r="F163" s="631" t="s">
        <v>1054</v>
      </c>
      <c r="G163" s="632">
        <v>19200</v>
      </c>
      <c r="H163" s="633"/>
    </row>
    <row r="164" spans="1:8">
      <c r="A164" s="619">
        <v>4893</v>
      </c>
      <c r="B164" s="629" t="s">
        <v>1051</v>
      </c>
      <c r="C164" s="629" t="s">
        <v>1307</v>
      </c>
      <c r="D164" s="630">
        <v>41067</v>
      </c>
      <c r="E164" s="629" t="s">
        <v>1308</v>
      </c>
      <c r="F164" s="631" t="s">
        <v>1054</v>
      </c>
      <c r="G164" s="632">
        <v>202000</v>
      </c>
      <c r="H164" s="633"/>
    </row>
    <row r="165" spans="1:8">
      <c r="A165" s="619">
        <v>5979</v>
      </c>
      <c r="B165" s="629" t="s">
        <v>1051</v>
      </c>
      <c r="C165" s="629" t="s">
        <v>1309</v>
      </c>
      <c r="D165" s="630">
        <v>41091</v>
      </c>
      <c r="E165" s="629" t="s">
        <v>1310</v>
      </c>
      <c r="F165" s="631" t="s">
        <v>1054</v>
      </c>
      <c r="G165" s="632">
        <v>200000</v>
      </c>
      <c r="H165" s="633"/>
    </row>
    <row r="166" spans="1:8">
      <c r="A166" s="619">
        <v>8341</v>
      </c>
      <c r="B166" s="629" t="s">
        <v>1051</v>
      </c>
      <c r="C166" s="629" t="s">
        <v>1311</v>
      </c>
      <c r="D166" s="630">
        <v>41155</v>
      </c>
      <c r="E166" s="629" t="s">
        <v>1312</v>
      </c>
      <c r="F166" s="631" t="s">
        <v>1054</v>
      </c>
      <c r="G166" s="632">
        <v>290850</v>
      </c>
      <c r="H166" s="633"/>
    </row>
    <row r="167" spans="1:8">
      <c r="A167" s="619">
        <v>9954</v>
      </c>
      <c r="B167" s="629" t="s">
        <v>1051</v>
      </c>
      <c r="C167" s="629" t="s">
        <v>1313</v>
      </c>
      <c r="D167" s="630">
        <v>41191</v>
      </c>
      <c r="E167" s="629" t="s">
        <v>1314</v>
      </c>
      <c r="F167" s="631" t="s">
        <v>1054</v>
      </c>
      <c r="G167" s="632">
        <v>46080</v>
      </c>
      <c r="H167" s="633"/>
    </row>
    <row r="168" spans="1:8">
      <c r="A168" s="619">
        <v>9957</v>
      </c>
      <c r="B168" s="629" t="s">
        <v>1051</v>
      </c>
      <c r="C168" s="629" t="s">
        <v>1315</v>
      </c>
      <c r="D168" s="630">
        <v>41191</v>
      </c>
      <c r="E168" s="629" t="s">
        <v>1316</v>
      </c>
      <c r="F168" s="631" t="s">
        <v>1054</v>
      </c>
      <c r="G168" s="632">
        <v>11220</v>
      </c>
      <c r="H168" s="633"/>
    </row>
    <row r="169" spans="1:8">
      <c r="A169" s="619">
        <v>9980</v>
      </c>
      <c r="B169" s="629" t="s">
        <v>1051</v>
      </c>
      <c r="C169" s="629" t="s">
        <v>1317</v>
      </c>
      <c r="D169" s="630">
        <v>41194</v>
      </c>
      <c r="E169" s="629" t="s">
        <v>1318</v>
      </c>
      <c r="F169" s="631" t="s">
        <v>1054</v>
      </c>
      <c r="G169" s="632">
        <v>80465</v>
      </c>
      <c r="H169" s="633"/>
    </row>
    <row r="170" spans="1:8">
      <c r="A170" s="619">
        <v>10000</v>
      </c>
      <c r="B170" s="629" t="s">
        <v>1051</v>
      </c>
      <c r="C170" s="629" t="s">
        <v>1319</v>
      </c>
      <c r="D170" s="630">
        <v>41197</v>
      </c>
      <c r="E170" s="629" t="s">
        <v>1320</v>
      </c>
      <c r="F170" s="631" t="s">
        <v>1054</v>
      </c>
      <c r="G170" s="632">
        <v>493501</v>
      </c>
      <c r="H170" s="633"/>
    </row>
    <row r="171" spans="1:8">
      <c r="A171" s="619">
        <v>10001</v>
      </c>
      <c r="B171" s="629" t="s">
        <v>1051</v>
      </c>
      <c r="C171" s="629" t="s">
        <v>1321</v>
      </c>
      <c r="D171" s="630">
        <v>41197</v>
      </c>
      <c r="E171" s="629" t="s">
        <v>1320</v>
      </c>
      <c r="F171" s="631" t="s">
        <v>1054</v>
      </c>
      <c r="G171" s="632">
        <v>30000</v>
      </c>
      <c r="H171" s="633"/>
    </row>
    <row r="172" spans="1:8">
      <c r="A172" s="619">
        <v>10032</v>
      </c>
      <c r="B172" s="629" t="s">
        <v>1051</v>
      </c>
      <c r="C172" s="629" t="s">
        <v>1322</v>
      </c>
      <c r="D172" s="630">
        <v>41205</v>
      </c>
      <c r="E172" s="629" t="s">
        <v>1323</v>
      </c>
      <c r="F172" s="631" t="s">
        <v>1054</v>
      </c>
      <c r="G172" s="632">
        <v>61842.8</v>
      </c>
      <c r="H172" s="633"/>
    </row>
    <row r="173" spans="1:8">
      <c r="A173" s="619">
        <v>10072</v>
      </c>
      <c r="B173" s="629" t="s">
        <v>1051</v>
      </c>
      <c r="C173" s="629" t="s">
        <v>1324</v>
      </c>
      <c r="D173" s="630">
        <v>41212</v>
      </c>
      <c r="E173" s="629" t="s">
        <v>1325</v>
      </c>
      <c r="F173" s="631" t="s">
        <v>1054</v>
      </c>
      <c r="G173" s="632">
        <v>31680</v>
      </c>
      <c r="H173" s="633"/>
    </row>
    <row r="174" spans="1:8">
      <c r="A174" s="619">
        <v>11338</v>
      </c>
      <c r="B174" s="629" t="s">
        <v>1051</v>
      </c>
      <c r="C174" s="629" t="s">
        <v>1326</v>
      </c>
      <c r="D174" s="630">
        <v>41214</v>
      </c>
      <c r="E174" s="629" t="s">
        <v>1327</v>
      </c>
      <c r="F174" s="631" t="s">
        <v>1054</v>
      </c>
      <c r="G174" s="632">
        <v>2164700</v>
      </c>
      <c r="H174" s="633"/>
    </row>
    <row r="175" spans="1:8">
      <c r="A175" s="619">
        <v>11228</v>
      </c>
      <c r="B175" s="629" t="s">
        <v>1051</v>
      </c>
      <c r="C175" s="629" t="s">
        <v>1328</v>
      </c>
      <c r="D175" s="630">
        <v>41221</v>
      </c>
      <c r="E175" s="629" t="s">
        <v>1329</v>
      </c>
      <c r="F175" s="631" t="s">
        <v>1054</v>
      </c>
      <c r="G175" s="632">
        <v>148918.95000000001</v>
      </c>
      <c r="H175" s="633"/>
    </row>
    <row r="176" spans="1:8">
      <c r="A176" s="619">
        <v>11279</v>
      </c>
      <c r="B176" s="629" t="s">
        <v>1051</v>
      </c>
      <c r="C176" s="629" t="s">
        <v>1324</v>
      </c>
      <c r="D176" s="630">
        <v>41235</v>
      </c>
      <c r="E176" s="629" t="s">
        <v>1330</v>
      </c>
      <c r="F176" s="631" t="s">
        <v>1054</v>
      </c>
      <c r="G176" s="632">
        <v>31680</v>
      </c>
      <c r="H176" s="633"/>
    </row>
    <row r="177" spans="1:9">
      <c r="A177" s="619">
        <v>11300</v>
      </c>
      <c r="B177" s="629" t="s">
        <v>1051</v>
      </c>
      <c r="C177" s="629" t="s">
        <v>1331</v>
      </c>
      <c r="D177" s="630">
        <v>41242</v>
      </c>
      <c r="E177" s="629" t="s">
        <v>1332</v>
      </c>
      <c r="F177" s="631" t="s">
        <v>1054</v>
      </c>
      <c r="G177" s="632">
        <v>23100</v>
      </c>
      <c r="H177" s="633"/>
    </row>
    <row r="178" spans="1:9">
      <c r="A178" s="619">
        <v>12459</v>
      </c>
      <c r="B178" s="629" t="s">
        <v>1051</v>
      </c>
      <c r="C178" s="629" t="s">
        <v>1333</v>
      </c>
      <c r="D178" s="630">
        <v>41244</v>
      </c>
      <c r="E178" s="629" t="s">
        <v>1334</v>
      </c>
      <c r="F178" s="631" t="s">
        <v>1054</v>
      </c>
      <c r="G178" s="632">
        <v>89276.999599999996</v>
      </c>
      <c r="H178" s="633"/>
    </row>
    <row r="179" spans="1:9">
      <c r="A179" s="619">
        <v>12311</v>
      </c>
      <c r="B179" s="629" t="s">
        <v>1051</v>
      </c>
      <c r="C179" s="629" t="s">
        <v>1335</v>
      </c>
      <c r="D179" s="630">
        <v>41265</v>
      </c>
      <c r="E179" s="629" t="s">
        <v>1336</v>
      </c>
      <c r="F179" s="631" t="s">
        <v>1054</v>
      </c>
      <c r="G179" s="632">
        <v>14400</v>
      </c>
      <c r="H179" s="633"/>
    </row>
    <row r="180" spans="1:9">
      <c r="A180" s="619">
        <v>12388</v>
      </c>
      <c r="B180" s="629" t="s">
        <v>1051</v>
      </c>
      <c r="C180" s="629" t="s">
        <v>1337</v>
      </c>
      <c r="D180" s="630">
        <v>41274</v>
      </c>
      <c r="E180" s="629" t="s">
        <v>1338</v>
      </c>
      <c r="F180" s="631" t="s">
        <v>1054</v>
      </c>
      <c r="G180" s="632">
        <v>197143</v>
      </c>
      <c r="H180" s="633"/>
    </row>
    <row r="181" spans="1:9">
      <c r="C181" s="633"/>
      <c r="D181" s="633"/>
      <c r="E181" s="633"/>
      <c r="F181" s="633"/>
      <c r="G181" s="633"/>
      <c r="H181" s="633"/>
    </row>
    <row r="182" spans="1:9">
      <c r="C182" s="633"/>
      <c r="D182" s="633"/>
      <c r="E182" s="633"/>
      <c r="F182" s="634"/>
      <c r="G182" s="632"/>
      <c r="H182" s="632"/>
    </row>
    <row r="183" spans="1:9">
      <c r="C183" s="633"/>
      <c r="D183" s="633"/>
      <c r="E183" s="633"/>
      <c r="F183" s="627" t="s">
        <v>1080</v>
      </c>
      <c r="G183" s="635">
        <v>5045011.3496000003</v>
      </c>
      <c r="H183" s="632"/>
    </row>
    <row r="185" spans="1:9">
      <c r="F185" s="642" t="s">
        <v>1339</v>
      </c>
      <c r="G185" s="632">
        <v>1504041327.9439011</v>
      </c>
      <c r="H185" s="615"/>
    </row>
    <row r="186" spans="1:9">
      <c r="F186" s="615"/>
      <c r="G186" s="572"/>
      <c r="H186" s="615"/>
    </row>
    <row r="187" spans="1:9">
      <c r="F187" s="642" t="s">
        <v>1340</v>
      </c>
      <c r="G187" s="632">
        <f>0.3%*'[5]TB 2012'!$K$389</f>
        <v>4237480.3087917026</v>
      </c>
      <c r="H187" s="615"/>
    </row>
    <row r="188" spans="1:9">
      <c r="F188" s="642" t="s">
        <v>1341</v>
      </c>
      <c r="H188" s="615"/>
    </row>
    <row r="189" spans="1:9" ht="13.5" thickBot="1">
      <c r="F189" s="615"/>
      <c r="G189" s="572"/>
      <c r="H189" s="615"/>
    </row>
    <row r="190" spans="1:9" ht="13.5" thickBot="1">
      <c r="F190" s="643" t="s">
        <v>1342</v>
      </c>
      <c r="G190" s="644">
        <f>G183-G187</f>
        <v>807531.04080829769</v>
      </c>
      <c r="H190" s="615"/>
      <c r="I190" s="642"/>
    </row>
    <row r="192" spans="1:9" ht="13.5" thickBot="1"/>
    <row r="193" spans="5:7" ht="13.5" thickBot="1">
      <c r="E193" s="645" t="s">
        <v>1343</v>
      </c>
      <c r="F193" s="646"/>
      <c r="G193" s="647">
        <f>G190+G113+G90+G20+G104+G136</f>
        <v>28077912.606108308</v>
      </c>
    </row>
  </sheetData>
  <pageMargins left="0.75" right="0.75" top="1" bottom="1" header="0" footer="0"/>
  <pageSetup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49"/>
  <sheetViews>
    <sheetView view="pageBreakPreview" topLeftCell="A22" zoomScaleSheetLayoutView="100" workbookViewId="0">
      <selection activeCell="J29" sqref="J29"/>
    </sheetView>
  </sheetViews>
  <sheetFormatPr defaultRowHeight="12.75"/>
  <cols>
    <col min="1" max="1" width="9.140625" style="194"/>
    <col min="2" max="2" width="37.28515625" style="184" customWidth="1"/>
    <col min="3" max="3" width="39.140625" style="184" hidden="1" customWidth="1"/>
    <col min="4" max="4" width="7.7109375" style="194" customWidth="1"/>
    <col min="5" max="5" width="19.140625" style="194" customWidth="1"/>
    <col min="6" max="6" width="18.5703125" style="194" customWidth="1"/>
    <col min="7" max="7" width="4" style="194" customWidth="1"/>
    <col min="8" max="8" width="15.85546875" style="712" customWidth="1"/>
    <col min="9" max="16384" width="9.140625" style="194"/>
  </cols>
  <sheetData>
    <row r="1" spans="1:8" ht="24.75" customHeight="1" thickBot="1">
      <c r="B1" s="235" t="s">
        <v>654</v>
      </c>
      <c r="C1" s="196"/>
      <c r="D1" s="196"/>
    </row>
    <row r="2" spans="1:8" ht="16.5" thickTop="1">
      <c r="B2" s="330"/>
      <c r="C2" s="197"/>
      <c r="D2" s="197"/>
    </row>
    <row r="4" spans="1:8" ht="25.5">
      <c r="D4" s="224" t="s">
        <v>51</v>
      </c>
      <c r="E4" s="222" t="s">
        <v>140</v>
      </c>
      <c r="F4" s="222" t="s">
        <v>140</v>
      </c>
      <c r="H4" s="711" t="s">
        <v>1376</v>
      </c>
    </row>
    <row r="5" spans="1:8">
      <c r="B5" s="200" t="s">
        <v>49</v>
      </c>
      <c r="C5" s="199" t="s">
        <v>50</v>
      </c>
      <c r="E5" s="198" t="s">
        <v>1042</v>
      </c>
      <c r="F5" s="198" t="s">
        <v>52</v>
      </c>
    </row>
    <row r="6" spans="1:8" ht="15" customHeight="1">
      <c r="B6" s="171" t="s">
        <v>53</v>
      </c>
      <c r="C6" s="172" t="s">
        <v>21</v>
      </c>
      <c r="D6" s="225"/>
      <c r="E6" s="198"/>
      <c r="F6" s="198"/>
    </row>
    <row r="7" spans="1:8">
      <c r="B7" s="171" t="s">
        <v>54</v>
      </c>
      <c r="C7" s="172" t="s">
        <v>55</v>
      </c>
      <c r="D7" s="225"/>
      <c r="E7" s="230"/>
      <c r="F7" s="230"/>
    </row>
    <row r="8" spans="1:8">
      <c r="A8" s="194" t="s">
        <v>30</v>
      </c>
      <c r="B8" s="173" t="s">
        <v>56</v>
      </c>
      <c r="C8" s="174" t="s">
        <v>57</v>
      </c>
      <c r="D8" s="225">
        <v>5</v>
      </c>
      <c r="E8" s="548">
        <f>SUMIF('Transition Consolidated FS'!$J:$J,A8,'Transition Consolidated FS'!$I:$I)</f>
        <v>1592101398.1341004</v>
      </c>
      <c r="F8" s="226">
        <v>1239750900</v>
      </c>
      <c r="H8" s="712">
        <f>E8-F8</f>
        <v>352350498.13410044</v>
      </c>
    </row>
    <row r="9" spans="1:8">
      <c r="A9" s="194" t="s">
        <v>31</v>
      </c>
      <c r="B9" s="173" t="s">
        <v>58</v>
      </c>
      <c r="C9" s="174" t="s">
        <v>59</v>
      </c>
      <c r="D9" s="225">
        <v>6</v>
      </c>
      <c r="E9" s="548">
        <f>SUMIF('Transition Consolidated FS'!$J:$J,A9,'Transition Consolidated FS'!$I:$I)</f>
        <v>40428</v>
      </c>
      <c r="F9" s="226">
        <v>47562</v>
      </c>
      <c r="H9" s="712">
        <f t="shared" ref="H9:H45" si="0">E9-F9</f>
        <v>-7134</v>
      </c>
    </row>
    <row r="10" spans="1:8" ht="13.5" thickBot="1">
      <c r="A10" s="194" t="s">
        <v>32</v>
      </c>
      <c r="B10" s="175" t="s">
        <v>937</v>
      </c>
      <c r="C10" s="176" t="s">
        <v>60</v>
      </c>
      <c r="D10" s="228">
        <v>7</v>
      </c>
      <c r="E10" s="549">
        <f>SUMIF('Transition Consolidated FS'!$J:$J,A10,'Transition Consolidated FS'!$I:$I)+3</f>
        <v>9439936</v>
      </c>
      <c r="F10" s="229">
        <v>4933700</v>
      </c>
      <c r="H10" s="712">
        <f t="shared" si="0"/>
        <v>4506236</v>
      </c>
    </row>
    <row r="11" spans="1:8">
      <c r="B11" s="171"/>
      <c r="C11" s="171"/>
      <c r="D11" s="225"/>
      <c r="E11" s="550">
        <f>SUM(E8:E10)</f>
        <v>1601581762.1341004</v>
      </c>
      <c r="F11" s="230">
        <f>SUM(F8:F10)</f>
        <v>1244732162</v>
      </c>
    </row>
    <row r="12" spans="1:8">
      <c r="B12" s="171" t="s">
        <v>61</v>
      </c>
      <c r="C12" s="172" t="s">
        <v>62</v>
      </c>
      <c r="D12" s="227"/>
      <c r="E12" s="550"/>
      <c r="F12" s="230"/>
      <c r="H12" s="712">
        <f t="shared" si="0"/>
        <v>0</v>
      </c>
    </row>
    <row r="13" spans="1:8">
      <c r="A13" s="194" t="s">
        <v>668</v>
      </c>
      <c r="B13" s="173" t="s">
        <v>63</v>
      </c>
      <c r="C13" s="174" t="s">
        <v>17</v>
      </c>
      <c r="D13" s="225">
        <v>8</v>
      </c>
      <c r="E13" s="548">
        <f>SUMIF('Transition Consolidated FS'!$J:$J,A13,'Transition Consolidated FS'!$I:$I)</f>
        <v>1909981.3390999998</v>
      </c>
      <c r="F13" s="338">
        <v>1029177</v>
      </c>
      <c r="H13" s="712">
        <f t="shared" si="0"/>
        <v>880804.33909999975</v>
      </c>
    </row>
    <row r="14" spans="1:8">
      <c r="A14" s="194" t="s">
        <v>667</v>
      </c>
      <c r="B14" s="173" t="s">
        <v>738</v>
      </c>
      <c r="C14" s="174" t="s">
        <v>60</v>
      </c>
      <c r="D14" s="225">
        <v>9</v>
      </c>
      <c r="E14" s="548">
        <f>SUMIF('Transition Consolidated FS'!$J:$J,A14,'Transition Consolidated FS'!$I:$I)</f>
        <v>507105553.2385</v>
      </c>
      <c r="F14" s="226">
        <v>563489436</v>
      </c>
      <c r="H14" s="712">
        <f t="shared" si="0"/>
        <v>-56383882.761500001</v>
      </c>
    </row>
    <row r="15" spans="1:8">
      <c r="A15" s="194" t="s">
        <v>666</v>
      </c>
      <c r="B15" s="173" t="s">
        <v>938</v>
      </c>
      <c r="C15" s="174" t="s">
        <v>64</v>
      </c>
      <c r="D15" s="225">
        <v>10</v>
      </c>
      <c r="E15" s="548">
        <f>SUMIF('Transition Consolidated FS'!$J:$J,A15,'Transition Consolidated FS'!$I:$I)</f>
        <v>24354074.732799999</v>
      </c>
      <c r="F15" s="226">
        <v>27626457</v>
      </c>
      <c r="H15" s="712">
        <f t="shared" si="0"/>
        <v>-3272382.2672000006</v>
      </c>
    </row>
    <row r="16" spans="1:8" ht="17.25" customHeight="1">
      <c r="A16" s="194" t="s">
        <v>739</v>
      </c>
      <c r="B16" s="173" t="s">
        <v>740</v>
      </c>
      <c r="C16" s="174" t="s">
        <v>741</v>
      </c>
      <c r="D16" s="225">
        <v>11</v>
      </c>
      <c r="E16" s="226">
        <f>SUMIF('Transition Consolidated FS'!$J:$J,A16,'Transition Consolidated FS'!$I:$I)+2</f>
        <v>156239347.48250002</v>
      </c>
      <c r="F16" s="226">
        <v>208641627</v>
      </c>
      <c r="H16" s="712">
        <f t="shared" si="0"/>
        <v>-52402279.517499983</v>
      </c>
    </row>
    <row r="17" spans="1:8" ht="15.75" customHeight="1" thickBot="1">
      <c r="A17" s="194" t="s">
        <v>692</v>
      </c>
      <c r="B17" s="175" t="s">
        <v>65</v>
      </c>
      <c r="C17" s="176" t="s">
        <v>66</v>
      </c>
      <c r="D17" s="228">
        <v>12</v>
      </c>
      <c r="E17" s="229">
        <f>SUMIF('Transition Consolidated FS'!$J:$J,A17,'Transition Consolidated FS'!$I:$I)</f>
        <v>12388035.712000698</v>
      </c>
      <c r="F17" s="229">
        <v>6639368</v>
      </c>
      <c r="H17" s="712">
        <f t="shared" si="0"/>
        <v>5748667.7120006979</v>
      </c>
    </row>
    <row r="18" spans="1:8" ht="13.5" thickBot="1">
      <c r="B18" s="171"/>
      <c r="C18" s="177"/>
      <c r="D18" s="227"/>
      <c r="E18" s="230">
        <f>SUM(E13:E17)</f>
        <v>701996992.50490081</v>
      </c>
      <c r="F18" s="230">
        <f>SUM(F13:F17)</f>
        <v>807426065</v>
      </c>
    </row>
    <row r="19" spans="1:8" ht="13.5" thickBot="1">
      <c r="B19" s="178" t="s">
        <v>67</v>
      </c>
      <c r="C19" s="179" t="s">
        <v>68</v>
      </c>
      <c r="D19" s="236"/>
      <c r="E19" s="339">
        <f>E11+E18</f>
        <v>2303578754.6390014</v>
      </c>
      <c r="F19" s="339">
        <f>F11+F18</f>
        <v>2052158227</v>
      </c>
    </row>
    <row r="20" spans="1:8" ht="13.5" thickTop="1">
      <c r="B20" s="173"/>
      <c r="C20" s="173"/>
      <c r="D20" s="227"/>
      <c r="E20" s="226"/>
      <c r="F20" s="226"/>
      <c r="H20" s="712">
        <f t="shared" si="0"/>
        <v>0</v>
      </c>
    </row>
    <row r="21" spans="1:8">
      <c r="B21" s="171" t="s">
        <v>69</v>
      </c>
      <c r="C21" s="172" t="s">
        <v>70</v>
      </c>
      <c r="D21" s="227"/>
      <c r="E21" s="230"/>
      <c r="F21" s="230"/>
      <c r="H21" s="712">
        <f t="shared" si="0"/>
        <v>0</v>
      </c>
    </row>
    <row r="22" spans="1:8">
      <c r="B22" s="171" t="s">
        <v>71</v>
      </c>
      <c r="C22" s="180" t="s">
        <v>26</v>
      </c>
      <c r="D22" s="225"/>
      <c r="E22" s="230"/>
      <c r="F22" s="230"/>
      <c r="H22" s="712">
        <f t="shared" si="0"/>
        <v>0</v>
      </c>
    </row>
    <row r="23" spans="1:8">
      <c r="A23" s="194" t="s">
        <v>693</v>
      </c>
      <c r="B23" s="173" t="s">
        <v>72</v>
      </c>
      <c r="C23" s="174" t="s">
        <v>73</v>
      </c>
      <c r="D23" s="349">
        <v>13</v>
      </c>
      <c r="E23" s="338">
        <f>SUMIF('Transition Consolidated FS'!$J:$J,A23,'Transition Consolidated FS'!$I:$I)</f>
        <v>525400000</v>
      </c>
      <c r="F23" s="338">
        <v>525400000</v>
      </c>
      <c r="H23" s="712">
        <f t="shared" si="0"/>
        <v>0</v>
      </c>
    </row>
    <row r="24" spans="1:8">
      <c r="A24" s="194" t="s">
        <v>694</v>
      </c>
      <c r="B24" s="173" t="s">
        <v>74</v>
      </c>
      <c r="C24" s="174" t="s">
        <v>75</v>
      </c>
      <c r="D24" s="225"/>
      <c r="E24" s="226">
        <f>SUMIF('Transition Consolidated FS'!$J:$J,A24,'Transition Consolidated FS'!$I:$I)</f>
        <v>0</v>
      </c>
      <c r="F24" s="338"/>
      <c r="H24" s="712">
        <f t="shared" si="0"/>
        <v>0</v>
      </c>
    </row>
    <row r="25" spans="1:8">
      <c r="A25" s="194" t="s">
        <v>695</v>
      </c>
      <c r="B25" s="173" t="s">
        <v>76</v>
      </c>
      <c r="C25" s="174" t="s">
        <v>77</v>
      </c>
      <c r="D25" s="225"/>
      <c r="E25" s="226">
        <f>SUMIF('Transition Consolidated FS'!$J:$J,A25,'Transition Consolidated FS'!$I:$I)</f>
        <v>89270003.950000003</v>
      </c>
      <c r="F25" s="338">
        <v>72582835</v>
      </c>
      <c r="H25" s="712">
        <f t="shared" si="0"/>
        <v>16687168.950000003</v>
      </c>
    </row>
    <row r="26" spans="1:8">
      <c r="A26" s="194" t="s">
        <v>696</v>
      </c>
      <c r="B26" s="173" t="s">
        <v>20</v>
      </c>
      <c r="C26" s="174" t="s">
        <v>78</v>
      </c>
      <c r="D26" s="225"/>
      <c r="E26" s="226">
        <f>SUMIF('Transition Consolidated FS'!$J:$J,A26,'Transition Consolidated FS'!$I:$I)</f>
        <v>4214210.05</v>
      </c>
      <c r="F26" s="338">
        <v>3335938</v>
      </c>
      <c r="H26" s="712">
        <f t="shared" si="0"/>
        <v>878272.04999999981</v>
      </c>
    </row>
    <row r="27" spans="1:8">
      <c r="A27" s="194" t="s">
        <v>697</v>
      </c>
      <c r="B27" s="331" t="s">
        <v>79</v>
      </c>
      <c r="C27" s="332" t="s">
        <v>18</v>
      </c>
      <c r="D27" s="333"/>
      <c r="E27" s="340">
        <f>SUMIF('Transition Consolidated FS'!$J:$J,A27,'Transition Consolidated FS'!$I:$I)</f>
        <v>201240934.97690001</v>
      </c>
      <c r="F27" s="341">
        <v>201240936</v>
      </c>
      <c r="H27" s="712">
        <f t="shared" si="0"/>
        <v>-1.0230999886989594</v>
      </c>
    </row>
    <row r="28" spans="1:8" ht="13.5" thickBot="1">
      <c r="A28" s="194" t="s">
        <v>700</v>
      </c>
      <c r="B28" s="175" t="s">
        <v>698</v>
      </c>
      <c r="C28" s="176" t="s">
        <v>699</v>
      </c>
      <c r="D28" s="228"/>
      <c r="E28" s="229">
        <f>SUMIF('Transition Consolidated FS'!$J:$J,A28,'Transition Consolidated FS'!$I:$I)</f>
        <v>-79780150.185798958</v>
      </c>
      <c r="F28" s="342">
        <v>17565441</v>
      </c>
      <c r="H28" s="712">
        <f t="shared" si="0"/>
        <v>-97345591.185798958</v>
      </c>
    </row>
    <row r="29" spans="1:8">
      <c r="B29" s="171"/>
      <c r="C29" s="171"/>
      <c r="D29" s="225"/>
      <c r="E29" s="230">
        <f>SUM(E23:E28)</f>
        <v>740344998.79110098</v>
      </c>
      <c r="F29" s="230">
        <f>SUM(F23:F28)</f>
        <v>820125150</v>
      </c>
    </row>
    <row r="30" spans="1:8" ht="13.5" thickBot="1">
      <c r="B30" s="175" t="s">
        <v>80</v>
      </c>
      <c r="C30" s="176" t="s">
        <v>81</v>
      </c>
      <c r="D30" s="228"/>
      <c r="E30" s="229">
        <v>0</v>
      </c>
      <c r="F30" s="229">
        <v>0</v>
      </c>
      <c r="H30" s="712">
        <f t="shared" si="0"/>
        <v>0</v>
      </c>
    </row>
    <row r="31" spans="1:8">
      <c r="B31" s="171" t="s">
        <v>82</v>
      </c>
      <c r="C31" s="180" t="s">
        <v>83</v>
      </c>
      <c r="D31" s="225"/>
      <c r="E31" s="230"/>
      <c r="F31" s="230"/>
      <c r="H31" s="712">
        <f t="shared" si="0"/>
        <v>0</v>
      </c>
    </row>
    <row r="32" spans="1:8">
      <c r="B32" s="171"/>
      <c r="C32" s="171"/>
      <c r="D32" s="225"/>
      <c r="E32" s="230"/>
      <c r="F32" s="230"/>
      <c r="H32" s="712">
        <f t="shared" si="0"/>
        <v>0</v>
      </c>
    </row>
    <row r="33" spans="1:8">
      <c r="B33" s="171" t="s">
        <v>84</v>
      </c>
      <c r="C33" s="172" t="s">
        <v>15</v>
      </c>
      <c r="D33" s="225"/>
      <c r="E33" s="230"/>
      <c r="F33" s="230"/>
      <c r="H33" s="712">
        <f t="shared" si="0"/>
        <v>0</v>
      </c>
    </row>
    <row r="34" spans="1:8">
      <c r="B34" s="171" t="s">
        <v>85</v>
      </c>
      <c r="C34" s="172" t="s">
        <v>86</v>
      </c>
      <c r="D34" s="225"/>
      <c r="E34" s="230"/>
      <c r="F34" s="230"/>
      <c r="H34" s="712">
        <f t="shared" si="0"/>
        <v>0</v>
      </c>
    </row>
    <row r="35" spans="1:8">
      <c r="A35" s="194" t="s">
        <v>701</v>
      </c>
      <c r="B35" s="173" t="s">
        <v>707</v>
      </c>
      <c r="C35" s="174" t="s">
        <v>87</v>
      </c>
      <c r="D35" s="225">
        <v>14</v>
      </c>
      <c r="E35" s="226">
        <f>SUMIF('Transition Consolidated FS'!$J:$J,A35,'Transition Consolidated FS'!$I:$I)</f>
        <v>800853054.49750006</v>
      </c>
      <c r="F35" s="226">
        <v>612054991</v>
      </c>
      <c r="H35" s="712">
        <f t="shared" si="0"/>
        <v>188798063.49750006</v>
      </c>
    </row>
    <row r="36" spans="1:8">
      <c r="A36" s="194" t="s">
        <v>702</v>
      </c>
      <c r="B36" s="173" t="s">
        <v>88</v>
      </c>
      <c r="C36" s="174" t="s">
        <v>19</v>
      </c>
      <c r="D36" s="225"/>
      <c r="E36" s="226">
        <f>SUMIF('Transition Consolidated FS'!$J:$J,A36,'Transition Consolidated FS'!$I:$I)</f>
        <v>0</v>
      </c>
      <c r="F36" s="226"/>
      <c r="H36" s="712">
        <f t="shared" si="0"/>
        <v>0</v>
      </c>
    </row>
    <row r="37" spans="1:8" ht="25.5">
      <c r="A37" s="194" t="s">
        <v>742</v>
      </c>
      <c r="B37" s="173" t="s">
        <v>829</v>
      </c>
      <c r="C37" s="174" t="s">
        <v>706</v>
      </c>
      <c r="D37" s="225"/>
      <c r="E37" s="226">
        <f>SUMIF('Transition Consolidated FS'!$J:$J,A37,'Transition Consolidated FS'!$I:$I)</f>
        <v>0</v>
      </c>
      <c r="F37" s="226"/>
      <c r="H37" s="712">
        <f t="shared" si="0"/>
        <v>0</v>
      </c>
    </row>
    <row r="38" spans="1:8" ht="13.5" thickBot="1">
      <c r="A38" s="194" t="s">
        <v>704</v>
      </c>
      <c r="B38" s="175" t="s">
        <v>89</v>
      </c>
      <c r="C38" s="176" t="s">
        <v>90</v>
      </c>
      <c r="D38" s="228">
        <v>15</v>
      </c>
      <c r="E38" s="229">
        <f>SUMIF('Transition Consolidated FS'!$J:$J,A38,'Transition Consolidated FS'!$I:$I)</f>
        <v>19698838.430100001</v>
      </c>
      <c r="F38" s="229">
        <v>30168579</v>
      </c>
      <c r="H38" s="712">
        <f t="shared" si="0"/>
        <v>-10469740.569899999</v>
      </c>
    </row>
    <row r="39" spans="1:8">
      <c r="B39" s="171"/>
      <c r="C39" s="171"/>
      <c r="D39" s="225"/>
      <c r="E39" s="230">
        <f>SUM(E35:E38)</f>
        <v>820551892.92760003</v>
      </c>
      <c r="F39" s="230">
        <f>SUM(F35:F38)</f>
        <v>642223570</v>
      </c>
    </row>
    <row r="40" spans="1:8">
      <c r="B40" s="171" t="s">
        <v>91</v>
      </c>
      <c r="C40" s="172" t="s">
        <v>92</v>
      </c>
      <c r="D40" s="225"/>
      <c r="E40" s="230"/>
      <c r="F40" s="230"/>
      <c r="H40" s="712">
        <f t="shared" si="0"/>
        <v>0</v>
      </c>
    </row>
    <row r="41" spans="1:8">
      <c r="A41" s="194" t="s">
        <v>712</v>
      </c>
      <c r="B41" s="173" t="s">
        <v>708</v>
      </c>
      <c r="C41" s="174" t="s">
        <v>87</v>
      </c>
      <c r="D41" s="225">
        <v>16</v>
      </c>
      <c r="E41" s="226">
        <f>SUMIF('Transition Consolidated FS'!$J:$J,A41,'Transition Consolidated FS'!$I:$I)</f>
        <v>196935142.76469988</v>
      </c>
      <c r="F41" s="226">
        <v>188365530</v>
      </c>
      <c r="H41" s="712">
        <f t="shared" si="0"/>
        <v>8569612.7646998763</v>
      </c>
    </row>
    <row r="42" spans="1:8">
      <c r="A42" s="194" t="s">
        <v>713</v>
      </c>
      <c r="B42" s="173" t="s">
        <v>940</v>
      </c>
      <c r="C42" s="174" t="s">
        <v>710</v>
      </c>
      <c r="D42" s="225">
        <v>17</v>
      </c>
      <c r="E42" s="226">
        <f>SUMIF('Transition Consolidated FS'!$J:$J,A42,'Transition Consolidated FS'!$I:$I)</f>
        <v>458230485.6875</v>
      </c>
      <c r="F42" s="226">
        <v>344403583</v>
      </c>
      <c r="H42" s="712">
        <f t="shared" si="0"/>
        <v>113826902.6875</v>
      </c>
    </row>
    <row r="43" spans="1:8">
      <c r="A43" s="194" t="s">
        <v>714</v>
      </c>
      <c r="B43" s="173" t="s">
        <v>595</v>
      </c>
      <c r="C43" s="174" t="s">
        <v>711</v>
      </c>
      <c r="D43" s="225">
        <v>18</v>
      </c>
      <c r="E43" s="226">
        <f>SUMIF('Transition Consolidated FS'!$J:$J,A43,'Transition Consolidated FS'!$I:$I)</f>
        <v>66144122.831399992</v>
      </c>
      <c r="F43" s="226">
        <v>32595159</v>
      </c>
      <c r="H43" s="712">
        <f t="shared" si="0"/>
        <v>33548963.831399992</v>
      </c>
    </row>
    <row r="44" spans="1:8" ht="25.5">
      <c r="A44" s="194" t="s">
        <v>703</v>
      </c>
      <c r="B44" s="173" t="s">
        <v>829</v>
      </c>
      <c r="C44" s="174" t="s">
        <v>706</v>
      </c>
      <c r="D44" s="225">
        <v>19</v>
      </c>
      <c r="E44" s="226">
        <f>SUMIF('Transition Consolidated FS'!$J:$J,A44,'Transition Consolidated FS'!$I:$I)</f>
        <v>1088209.3125</v>
      </c>
      <c r="F44" s="226">
        <v>1891903</v>
      </c>
      <c r="H44" s="712">
        <f t="shared" si="0"/>
        <v>-803693.6875</v>
      </c>
    </row>
    <row r="45" spans="1:8" ht="13.5" thickBot="1">
      <c r="A45" s="194" t="s">
        <v>715</v>
      </c>
      <c r="B45" s="173" t="s">
        <v>709</v>
      </c>
      <c r="C45" s="176" t="s">
        <v>2</v>
      </c>
      <c r="D45" s="225">
        <v>20</v>
      </c>
      <c r="E45" s="226">
        <f>SUMIF('Transition Consolidated FS'!$J:$J,A45,'Transition Consolidated FS'!$I:$I)</f>
        <v>20283902.102800038</v>
      </c>
      <c r="F45" s="226">
        <v>22553332</v>
      </c>
      <c r="H45" s="712">
        <f t="shared" si="0"/>
        <v>-2269429.8971999623</v>
      </c>
    </row>
    <row r="46" spans="1:8" ht="13.5" thickBot="1">
      <c r="B46" s="177"/>
      <c r="C46" s="177"/>
      <c r="D46" s="237"/>
      <c r="E46" s="343">
        <f>SUM(E41:E45)</f>
        <v>742681862.69889998</v>
      </c>
      <c r="F46" s="343">
        <f>SUM(F41:F45)</f>
        <v>589809507</v>
      </c>
    </row>
    <row r="47" spans="1:8" ht="13.5" thickBot="1">
      <c r="B47" s="177" t="s">
        <v>93</v>
      </c>
      <c r="C47" s="182" t="s">
        <v>3</v>
      </c>
      <c r="D47" s="237"/>
      <c r="E47" s="343">
        <f>E39+E46</f>
        <v>1563233755.6265001</v>
      </c>
      <c r="F47" s="343">
        <f>F39+F46</f>
        <v>1232033077</v>
      </c>
    </row>
    <row r="48" spans="1:8" ht="13.5" thickBot="1">
      <c r="B48" s="346" t="s">
        <v>94</v>
      </c>
      <c r="C48" s="346" t="s">
        <v>95</v>
      </c>
      <c r="D48" s="345"/>
      <c r="E48" s="347">
        <f>E47+E29</f>
        <v>2303578754.4176011</v>
      </c>
      <c r="F48" s="347">
        <f>F47+F29</f>
        <v>2052158227</v>
      </c>
    </row>
    <row r="49" spans="5:6" ht="13.5" thickTop="1">
      <c r="E49" s="344">
        <f>E48-E19</f>
        <v>-0.22140026092529297</v>
      </c>
      <c r="F49" s="344">
        <f>F48-F19</f>
        <v>0</v>
      </c>
    </row>
  </sheetData>
  <sheetCalcPr fullCalcOnLoad="1"/>
  <pageMargins left="0.7" right="0.7" top="0.75" bottom="0.75" header="0.3" footer="0.3"/>
  <pageSetup scale="74" orientation="portrait" r:id="rId1"/>
  <ignoredErrors>
    <ignoredError sqref="E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27"/>
  <sheetViews>
    <sheetView tabSelected="1" view="pageBreakPreview" topLeftCell="A4" zoomScaleSheetLayoutView="100" workbookViewId="0">
      <selection activeCell="E17" sqref="E17"/>
    </sheetView>
  </sheetViews>
  <sheetFormatPr defaultRowHeight="12.75"/>
  <cols>
    <col min="1" max="1" width="9.140625" style="194" customWidth="1"/>
    <col min="2" max="2" width="49.85546875" style="184" customWidth="1"/>
    <col min="3" max="3" width="34.140625" style="184" hidden="1" customWidth="1"/>
    <col min="4" max="4" width="9.85546875" style="194" customWidth="1"/>
    <col min="5" max="5" width="19.42578125" style="194" customWidth="1"/>
    <col min="6" max="6" width="19" style="194" customWidth="1"/>
    <col min="7" max="7" width="4" style="194" customWidth="1"/>
    <col min="8" max="8" width="13.85546875" style="704" customWidth="1"/>
    <col min="9" max="16384" width="9.140625" style="194"/>
  </cols>
  <sheetData>
    <row r="1" spans="1:8" ht="16.5" thickBot="1">
      <c r="B1" s="235" t="s">
        <v>655</v>
      </c>
      <c r="C1" s="196"/>
      <c r="D1" s="235"/>
      <c r="E1" s="235"/>
      <c r="F1" s="221"/>
    </row>
    <row r="2" spans="1:8" ht="13.5" thickTop="1">
      <c r="B2" s="197"/>
      <c r="F2" s="221"/>
      <c r="H2" s="703" t="s">
        <v>1376</v>
      </c>
    </row>
    <row r="3" spans="1:8">
      <c r="D3" s="224" t="s">
        <v>51</v>
      </c>
      <c r="E3" s="223" t="s">
        <v>140</v>
      </c>
      <c r="F3" s="223" t="s">
        <v>140</v>
      </c>
    </row>
    <row r="4" spans="1:8">
      <c r="B4" s="200" t="s">
        <v>49</v>
      </c>
      <c r="C4" s="199" t="s">
        <v>50</v>
      </c>
      <c r="D4" s="225"/>
      <c r="E4" s="223" t="s">
        <v>1042</v>
      </c>
      <c r="F4" s="223" t="s">
        <v>52</v>
      </c>
    </row>
    <row r="5" spans="1:8" ht="11.25" customHeight="1">
      <c r="B5" s="173"/>
      <c r="C5" s="173"/>
      <c r="D5" s="225"/>
      <c r="E5" s="193"/>
      <c r="F5" s="198"/>
    </row>
    <row r="6" spans="1:8">
      <c r="A6" s="194" t="s">
        <v>716</v>
      </c>
      <c r="B6" s="173" t="s">
        <v>96</v>
      </c>
      <c r="C6" s="184" t="s">
        <v>97</v>
      </c>
      <c r="D6" s="225">
        <v>21</v>
      </c>
      <c r="E6" s="226">
        <f>SUMIF('Transition Consolidated FS'!$J:$J,A6,'Transition Consolidated FS'!$I:$I)</f>
        <v>1412508135.6439011</v>
      </c>
      <c r="F6" s="226">
        <v>1615077093</v>
      </c>
      <c r="H6" s="705">
        <f>E6-F6</f>
        <v>-202568957.35609889</v>
      </c>
    </row>
    <row r="7" spans="1:8">
      <c r="A7" s="194" t="s">
        <v>717</v>
      </c>
      <c r="B7" s="173" t="s">
        <v>98</v>
      </c>
      <c r="C7" s="184" t="s">
        <v>99</v>
      </c>
      <c r="D7" s="225"/>
      <c r="E7" s="226">
        <f>SUMIF('Transition Consolidated FS'!$J:$J,A7,'Transition Consolidated FS'!$I:$I)</f>
        <v>0</v>
      </c>
      <c r="F7" s="226"/>
    </row>
    <row r="8" spans="1:8">
      <c r="A8" s="194" t="s">
        <v>718</v>
      </c>
      <c r="B8" s="173" t="s">
        <v>100</v>
      </c>
      <c r="C8" s="184" t="s">
        <v>101</v>
      </c>
      <c r="D8" s="349">
        <v>22</v>
      </c>
      <c r="E8" s="226">
        <f>SUMIF('Transition Consolidated FS'!$J:$J,A8,'Transition Consolidated FS'!$I:$I)</f>
        <v>-547223008.03410006</v>
      </c>
      <c r="F8" s="226">
        <f>-675515053</f>
        <v>-675515053</v>
      </c>
      <c r="H8" s="705">
        <f>E8-F8</f>
        <v>128292044.96589994</v>
      </c>
    </row>
    <row r="9" spans="1:8">
      <c r="A9" s="194" t="s">
        <v>719</v>
      </c>
      <c r="B9" s="173" t="s">
        <v>102</v>
      </c>
      <c r="C9" s="184" t="s">
        <v>103</v>
      </c>
      <c r="D9" s="225">
        <v>23</v>
      </c>
      <c r="E9" s="226">
        <f>SUMIF('Transition Consolidated FS'!$J:$J,A9,'Transition Consolidated FS'!$I:$I)</f>
        <v>-670441005.5</v>
      </c>
      <c r="F9" s="226">
        <f>-601909363</f>
        <v>-601909363</v>
      </c>
      <c r="H9" s="705">
        <f>E9-F9</f>
        <v>-68531642.5</v>
      </c>
    </row>
    <row r="10" spans="1:8">
      <c r="A10" s="194" t="s">
        <v>721</v>
      </c>
      <c r="B10" s="173" t="s">
        <v>104</v>
      </c>
      <c r="C10" s="184" t="s">
        <v>105</v>
      </c>
      <c r="D10" s="225">
        <v>24</v>
      </c>
      <c r="E10" s="226">
        <f>SUMIF('Transition Consolidated FS'!$J:$J,A10,'Transition Consolidated FS'!$I:$I)</f>
        <v>-212241933.34999999</v>
      </c>
      <c r="F10" s="226">
        <f>-220935584</f>
        <v>-220935584</v>
      </c>
      <c r="H10" s="705">
        <f>E10-F10</f>
        <v>8693650.650000006</v>
      </c>
    </row>
    <row r="11" spans="1:8" ht="13.5" thickBot="1">
      <c r="A11" s="194" t="s">
        <v>720</v>
      </c>
      <c r="B11" s="175" t="s">
        <v>106</v>
      </c>
      <c r="C11" s="185" t="s">
        <v>35</v>
      </c>
      <c r="D11" s="228">
        <v>25</v>
      </c>
      <c r="E11" s="229">
        <f>SUMIF('Transition Consolidated FS'!$J:$J,A11,'Transition Consolidated FS'!$I:$I)</f>
        <v>-36070472.569400005</v>
      </c>
      <c r="F11" s="229">
        <f>-48763002</f>
        <v>-48763002</v>
      </c>
      <c r="H11" s="707">
        <f>E11-F11</f>
        <v>12692529.430599995</v>
      </c>
    </row>
    <row r="12" spans="1:8">
      <c r="B12" s="171" t="s">
        <v>107</v>
      </c>
      <c r="C12" s="186" t="s">
        <v>108</v>
      </c>
      <c r="D12" s="224"/>
      <c r="E12" s="230">
        <f>SUM(E6:E11)</f>
        <v>-53468283.809598945</v>
      </c>
      <c r="F12" s="230">
        <f>SUM(F6:F11)</f>
        <v>67954091</v>
      </c>
      <c r="H12" s="706">
        <f>SUM(H5:H11)</f>
        <v>-121422374.80959895</v>
      </c>
    </row>
    <row r="13" spans="1:8">
      <c r="B13" s="173"/>
      <c r="C13" s="173"/>
      <c r="D13" s="225"/>
      <c r="E13" s="226"/>
      <c r="F13" s="226"/>
    </row>
    <row r="14" spans="1:8" ht="15.75" customHeight="1">
      <c r="A14" s="194" t="s">
        <v>722</v>
      </c>
      <c r="B14" s="173" t="s">
        <v>885</v>
      </c>
      <c r="C14" s="184" t="s">
        <v>727</v>
      </c>
      <c r="D14" s="225">
        <v>26</v>
      </c>
      <c r="E14" s="226">
        <f>-SUMIF('Transition Consolidated FS'!$J:$J,A14,'Transition Consolidated FS'!$I:$I)</f>
        <v>-8470793.0141999982</v>
      </c>
      <c r="F14" s="226">
        <f>-7136366</f>
        <v>-7136366</v>
      </c>
      <c r="H14" s="705">
        <f>E14-F14</f>
        <v>-1334427.0141999982</v>
      </c>
    </row>
    <row r="15" spans="1:8" ht="13.5" thickBot="1">
      <c r="A15" s="194" t="s">
        <v>723</v>
      </c>
      <c r="B15" s="175" t="s">
        <v>725</v>
      </c>
      <c r="C15" s="187" t="s">
        <v>728</v>
      </c>
      <c r="D15" s="228">
        <v>27</v>
      </c>
      <c r="E15" s="229">
        <f>SUMIF('Transition Consolidated FS'!$J:$J,A15,'Transition Consolidated FS'!$I:$I)</f>
        <v>-17841073.362000007</v>
      </c>
      <c r="F15" s="229">
        <f>-38704450</f>
        <v>-38704450</v>
      </c>
      <c r="H15" s="707">
        <f>E15-F15</f>
        <v>20863376.637999993</v>
      </c>
    </row>
    <row r="16" spans="1:8" ht="13.5" thickBot="1">
      <c r="B16" s="175" t="s">
        <v>726</v>
      </c>
      <c r="C16" s="188" t="s">
        <v>729</v>
      </c>
      <c r="D16" s="228"/>
      <c r="E16" s="229">
        <f>SUM(E14:E15)</f>
        <v>-26311866.376200005</v>
      </c>
      <c r="F16" s="229">
        <f>SUM(F14:F15)</f>
        <v>-45840816</v>
      </c>
      <c r="H16" s="705">
        <f>SUM(H14:H15)</f>
        <v>19528949.623799995</v>
      </c>
    </row>
    <row r="17" spans="1:8">
      <c r="B17" s="171" t="s">
        <v>109</v>
      </c>
      <c r="C17" s="186" t="s">
        <v>110</v>
      </c>
      <c r="D17" s="224"/>
      <c r="E17" s="230">
        <f>E12+E16</f>
        <v>-79780150.185798943</v>
      </c>
      <c r="F17" s="230">
        <f>F12+F16</f>
        <v>22113275</v>
      </c>
      <c r="H17" s="708">
        <f>H12+H16</f>
        <v>-101893425.18579896</v>
      </c>
    </row>
    <row r="18" spans="1:8">
      <c r="B18" s="173"/>
      <c r="C18" s="173"/>
      <c r="D18" s="225"/>
      <c r="E18" s="226"/>
      <c r="F18" s="226"/>
    </row>
    <row r="19" spans="1:8" ht="13.5" thickBot="1">
      <c r="A19" s="194" t="s">
        <v>724</v>
      </c>
      <c r="B19" s="175" t="s">
        <v>730</v>
      </c>
      <c r="C19" s="187" t="s">
        <v>29</v>
      </c>
      <c r="D19" s="228">
        <v>28</v>
      </c>
      <c r="E19" s="229">
        <f>SUMIF('Transition Consolidated FS'!$J:$J,A19,'Transition Consolidated FS'!$I:$I)</f>
        <v>0</v>
      </c>
      <c r="F19" s="229">
        <f>-4547834</f>
        <v>-4547834</v>
      </c>
    </row>
    <row r="20" spans="1:8" ht="13.5" thickBot="1">
      <c r="B20" s="181" t="s">
        <v>111</v>
      </c>
      <c r="C20" s="189" t="s">
        <v>112</v>
      </c>
      <c r="D20" s="231"/>
      <c r="E20" s="232">
        <f>SUM(E17:E19)</f>
        <v>-79780150.185798943</v>
      </c>
      <c r="F20" s="232">
        <f>SUM(F17:F19)</f>
        <v>17565441</v>
      </c>
      <c r="H20" s="709">
        <f>SUM(H17:H19)</f>
        <v>-101893425.18579896</v>
      </c>
    </row>
    <row r="21" spans="1:8">
      <c r="B21" s="171"/>
      <c r="C21" s="171"/>
      <c r="D21" s="224"/>
      <c r="E21" s="230"/>
      <c r="F21" s="230"/>
    </row>
    <row r="22" spans="1:8" ht="13.5" thickBot="1">
      <c r="B22" s="175" t="s">
        <v>113</v>
      </c>
      <c r="C22" s="187" t="s">
        <v>114</v>
      </c>
      <c r="D22" s="228"/>
      <c r="E22" s="229">
        <v>0</v>
      </c>
      <c r="F22" s="229">
        <v>0</v>
      </c>
    </row>
    <row r="23" spans="1:8" ht="13.5" thickBot="1">
      <c r="B23" s="183" t="s">
        <v>115</v>
      </c>
      <c r="C23" s="190" t="s">
        <v>116</v>
      </c>
      <c r="D23" s="233"/>
      <c r="E23" s="234"/>
      <c r="F23" s="234"/>
    </row>
    <row r="24" spans="1:8" ht="13.5" thickTop="1">
      <c r="B24" s="173"/>
      <c r="C24" s="173"/>
      <c r="D24" s="225"/>
      <c r="E24" s="226"/>
      <c r="F24" s="226"/>
    </row>
    <row r="25" spans="1:8" ht="22.5" customHeight="1" thickBot="1">
      <c r="B25" s="175" t="s">
        <v>117</v>
      </c>
      <c r="C25" s="191" t="s">
        <v>118</v>
      </c>
      <c r="D25" s="228"/>
      <c r="E25" s="229">
        <v>0</v>
      </c>
      <c r="F25" s="229">
        <v>0</v>
      </c>
    </row>
    <row r="26" spans="1:8" ht="33.75" customHeight="1" thickBot="1">
      <c r="B26" s="183" t="s">
        <v>119</v>
      </c>
      <c r="C26" s="178" t="s">
        <v>120</v>
      </c>
      <c r="D26" s="233"/>
      <c r="E26" s="234">
        <f>E20+E23</f>
        <v>-79780150.185798943</v>
      </c>
      <c r="F26" s="234">
        <f>F20+F23</f>
        <v>17565441</v>
      </c>
      <c r="H26" s="710">
        <f>H20+H23</f>
        <v>-101893425.18579896</v>
      </c>
    </row>
    <row r="27" spans="1:8" ht="13.5" thickTop="1">
      <c r="C27" s="192"/>
    </row>
  </sheetData>
  <sheetCalcPr fullCalcOnLoad="1"/>
  <pageMargins left="0.46" right="0.25" top="0.75" bottom="0.75" header="0.3" footer="0.3"/>
  <pageSetup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B3:K33"/>
  <sheetViews>
    <sheetView zoomScale="110" zoomScaleNormal="110" workbookViewId="0">
      <selection activeCell="I19" sqref="I19"/>
    </sheetView>
  </sheetViews>
  <sheetFormatPr defaultRowHeight="12.75"/>
  <cols>
    <col min="1" max="1" width="9.140625" style="194"/>
    <col min="2" max="2" width="38.28515625" style="184" customWidth="1"/>
    <col min="3" max="3" width="15.85546875" style="194" customWidth="1"/>
    <col min="4" max="5" width="15.85546875" style="194" hidden="1" customWidth="1"/>
    <col min="6" max="10" width="15.85546875" style="194" customWidth="1"/>
    <col min="11" max="11" width="12.7109375" style="194" bestFit="1" customWidth="1"/>
    <col min="12" max="16384" width="9.140625" style="194"/>
  </cols>
  <sheetData>
    <row r="3" spans="2:11" ht="38.25">
      <c r="B3" s="686"/>
      <c r="C3" s="687" t="s">
        <v>72</v>
      </c>
      <c r="D3" s="687" t="s">
        <v>122</v>
      </c>
      <c r="E3" s="687" t="s">
        <v>74</v>
      </c>
      <c r="F3" s="687" t="s">
        <v>76</v>
      </c>
      <c r="G3" s="687" t="s">
        <v>20</v>
      </c>
      <c r="H3" s="687" t="s">
        <v>123</v>
      </c>
      <c r="I3" s="687" t="s">
        <v>1044</v>
      </c>
      <c r="J3" s="687" t="s">
        <v>124</v>
      </c>
    </row>
    <row r="4" spans="2:11">
      <c r="B4" s="171" t="s">
        <v>125</v>
      </c>
      <c r="C4" s="230">
        <v>525400000</v>
      </c>
      <c r="D4" s="230"/>
      <c r="E4" s="230"/>
      <c r="F4" s="230">
        <v>9200000</v>
      </c>
      <c r="G4" s="230"/>
      <c r="H4" s="230">
        <f>201240935+51155155</f>
        <v>252396090</v>
      </c>
      <c r="I4" s="230"/>
      <c r="J4" s="230">
        <f>SUM(C4:I4)</f>
        <v>786996090</v>
      </c>
    </row>
    <row r="5" spans="2:11">
      <c r="B5" s="173" t="s">
        <v>126</v>
      </c>
      <c r="C5" s="226"/>
      <c r="D5" s="226"/>
      <c r="E5" s="226"/>
      <c r="F5" s="226"/>
      <c r="G5" s="226"/>
      <c r="H5" s="226"/>
      <c r="I5" s="226"/>
      <c r="J5" s="230">
        <f t="shared" ref="J5:J12" si="0">SUM(C5:I5)</f>
        <v>0</v>
      </c>
    </row>
    <row r="6" spans="2:11">
      <c r="B6" s="173" t="s">
        <v>127</v>
      </c>
      <c r="C6" s="226"/>
      <c r="D6" s="226"/>
      <c r="E6" s="226"/>
      <c r="F6" s="226"/>
      <c r="G6" s="226"/>
      <c r="H6" s="226"/>
      <c r="I6" s="226"/>
      <c r="J6" s="230">
        <f t="shared" si="0"/>
        <v>0</v>
      </c>
    </row>
    <row r="7" spans="2:11">
      <c r="B7" s="173" t="s">
        <v>898</v>
      </c>
      <c r="C7" s="226"/>
      <c r="D7" s="226"/>
      <c r="E7" s="226"/>
      <c r="F7" s="226"/>
      <c r="G7" s="226"/>
      <c r="H7" s="226"/>
      <c r="I7" s="226"/>
      <c r="J7" s="230">
        <f t="shared" si="0"/>
        <v>0</v>
      </c>
    </row>
    <row r="8" spans="2:11" ht="13.5" thickBot="1">
      <c r="B8" s="173" t="s">
        <v>128</v>
      </c>
      <c r="C8" s="226"/>
      <c r="D8" s="226"/>
      <c r="E8" s="226"/>
      <c r="F8" s="226"/>
      <c r="G8" s="226"/>
      <c r="H8" s="226"/>
      <c r="I8" s="226"/>
      <c r="J8" s="230">
        <f t="shared" si="0"/>
        <v>0</v>
      </c>
    </row>
    <row r="9" spans="2:11">
      <c r="B9" s="195" t="s">
        <v>129</v>
      </c>
      <c r="C9" s="439"/>
      <c r="D9" s="439"/>
      <c r="E9" s="439"/>
      <c r="F9" s="439"/>
      <c r="G9" s="439"/>
      <c r="H9" s="439"/>
      <c r="I9" s="439"/>
      <c r="J9" s="439">
        <f t="shared" si="0"/>
        <v>0</v>
      </c>
    </row>
    <row r="10" spans="2:11">
      <c r="B10" s="173" t="s">
        <v>111</v>
      </c>
      <c r="C10" s="226"/>
      <c r="D10" s="226"/>
      <c r="E10" s="226"/>
      <c r="F10" s="226"/>
      <c r="G10" s="226"/>
      <c r="I10" s="226">
        <v>15563618</v>
      </c>
      <c r="J10" s="226">
        <f>SUM(C10:I10)</f>
        <v>15563618</v>
      </c>
    </row>
    <row r="11" spans="2:11">
      <c r="B11" s="173" t="s">
        <v>130</v>
      </c>
      <c r="C11" s="226"/>
      <c r="D11" s="226"/>
      <c r="E11" s="226"/>
      <c r="F11" s="226"/>
      <c r="G11" s="226"/>
      <c r="H11" s="226"/>
      <c r="I11" s="226"/>
      <c r="J11" s="226">
        <f t="shared" si="0"/>
        <v>0</v>
      </c>
    </row>
    <row r="12" spans="2:11">
      <c r="B12" s="173" t="s">
        <v>691</v>
      </c>
      <c r="C12" s="226"/>
      <c r="D12" s="226"/>
      <c r="E12" s="226"/>
      <c r="F12" s="226"/>
      <c r="G12" s="226"/>
      <c r="H12" s="226"/>
      <c r="I12" s="226"/>
      <c r="J12" s="226">
        <f t="shared" si="0"/>
        <v>0</v>
      </c>
    </row>
    <row r="13" spans="2:11" ht="13.5" thickBot="1">
      <c r="B13" s="175" t="s">
        <v>131</v>
      </c>
      <c r="C13" s="229"/>
      <c r="D13" s="229"/>
      <c r="E13" s="229"/>
      <c r="F13" s="229">
        <v>48597397</v>
      </c>
      <c r="G13" s="229">
        <v>2557758</v>
      </c>
      <c r="H13" s="229">
        <f>-51155155</f>
        <v>-51155155</v>
      </c>
      <c r="I13" s="229"/>
      <c r="J13" s="229">
        <f>SUM(C13:I13)</f>
        <v>0</v>
      </c>
    </row>
    <row r="14" spans="2:11" ht="13.5" thickBot="1">
      <c r="B14" s="181" t="s">
        <v>132</v>
      </c>
      <c r="C14" s="232">
        <f>C4</f>
        <v>525400000</v>
      </c>
      <c r="D14" s="232"/>
      <c r="E14" s="232"/>
      <c r="F14" s="232">
        <f>SUM(F10:F13)+F4</f>
        <v>57797397</v>
      </c>
      <c r="G14" s="232">
        <f>SUM(G10:G13)+G4</f>
        <v>2557758</v>
      </c>
      <c r="H14" s="232">
        <f>SUM(H10:H13)+H4</f>
        <v>201240935</v>
      </c>
      <c r="I14" s="232">
        <f>SUM(I10:I13)+I4</f>
        <v>15563618</v>
      </c>
      <c r="J14" s="232">
        <f>SUM(J10:J13)+J4</f>
        <v>802559708</v>
      </c>
      <c r="K14" s="440">
        <f>J14-'[2]1.1 BS_cons'!F29</f>
        <v>0</v>
      </c>
    </row>
    <row r="15" spans="2:11" ht="13.5" thickBot="1">
      <c r="B15" s="183" t="s">
        <v>133</v>
      </c>
      <c r="C15" s="234"/>
      <c r="D15" s="234"/>
      <c r="E15" s="234"/>
      <c r="F15" s="234"/>
      <c r="G15" s="234"/>
      <c r="H15" s="234"/>
      <c r="I15" s="234"/>
      <c r="J15" s="234"/>
    </row>
    <row r="16" spans="2:11" ht="13.5" thickTop="1">
      <c r="B16" s="173"/>
      <c r="C16" s="226"/>
      <c r="D16" s="226"/>
      <c r="E16" s="226"/>
      <c r="F16" s="226"/>
      <c r="G16" s="226"/>
      <c r="H16" s="226"/>
      <c r="I16" s="226"/>
      <c r="J16" s="226"/>
    </row>
    <row r="17" spans="2:11">
      <c r="B17" s="171" t="s">
        <v>141</v>
      </c>
      <c r="C17" s="230">
        <f>C14</f>
        <v>525400000</v>
      </c>
      <c r="D17" s="230">
        <f>D15</f>
        <v>0</v>
      </c>
      <c r="E17" s="230">
        <f>E15</f>
        <v>0</v>
      </c>
      <c r="F17" s="230">
        <f>F14</f>
        <v>57797397</v>
      </c>
      <c r="G17" s="230">
        <f>G14</f>
        <v>2557758</v>
      </c>
      <c r="H17" s="230">
        <f>H14</f>
        <v>201240935</v>
      </c>
      <c r="I17" s="230">
        <f>I14</f>
        <v>15563618</v>
      </c>
      <c r="J17" s="230">
        <f>SUM(C17:I17)</f>
        <v>802559708</v>
      </c>
    </row>
    <row r="18" spans="2:11">
      <c r="B18" s="173" t="s">
        <v>134</v>
      </c>
      <c r="C18" s="226"/>
      <c r="D18" s="226"/>
      <c r="E18" s="226"/>
      <c r="F18" s="226"/>
      <c r="G18" s="226"/>
      <c r="H18" s="230"/>
      <c r="I18" s="230"/>
      <c r="J18" s="230"/>
    </row>
    <row r="19" spans="2:11" ht="13.5" thickBot="1">
      <c r="B19" s="173" t="s">
        <v>135</v>
      </c>
      <c r="C19" s="226"/>
      <c r="D19" s="226"/>
      <c r="E19" s="226"/>
      <c r="F19" s="226">
        <v>14785437.6</v>
      </c>
      <c r="G19" s="226">
        <v>778181</v>
      </c>
      <c r="I19" s="226">
        <f>-I10-0.4</f>
        <v>-15563618.4</v>
      </c>
      <c r="J19" s="226">
        <f t="shared" ref="J19:J24" si="1">SUM(C19:I19)</f>
        <v>0.19999999925494194</v>
      </c>
    </row>
    <row r="20" spans="2:11">
      <c r="B20" s="195" t="s">
        <v>129</v>
      </c>
      <c r="C20" s="439"/>
      <c r="D20" s="439"/>
      <c r="E20" s="439"/>
      <c r="F20" s="439"/>
      <c r="G20" s="439"/>
      <c r="H20" s="439"/>
      <c r="I20" s="439"/>
      <c r="J20" s="439">
        <f t="shared" si="1"/>
        <v>0</v>
      </c>
    </row>
    <row r="21" spans="2:11">
      <c r="B21" s="173" t="s">
        <v>111</v>
      </c>
      <c r="C21" s="226"/>
      <c r="D21" s="226"/>
      <c r="E21" s="226"/>
      <c r="F21" s="226"/>
      <c r="G21" s="226"/>
      <c r="I21" s="226">
        <f>'[2]2.1 IS_cons'!E26+0.4</f>
        <v>17565441.525146704</v>
      </c>
      <c r="J21" s="226">
        <f t="shared" si="1"/>
        <v>17565441.525146704</v>
      </c>
    </row>
    <row r="22" spans="2:11" ht="13.5" thickBot="1">
      <c r="B22" s="175" t="s">
        <v>113</v>
      </c>
      <c r="C22" s="229"/>
      <c r="D22" s="229"/>
      <c r="E22" s="229"/>
      <c r="F22" s="229"/>
      <c r="G22" s="229"/>
      <c r="H22" s="229"/>
      <c r="I22" s="229"/>
      <c r="J22" s="229">
        <f t="shared" si="1"/>
        <v>0</v>
      </c>
    </row>
    <row r="23" spans="2:11" ht="13.5" thickBot="1">
      <c r="B23" s="171" t="s">
        <v>132</v>
      </c>
      <c r="C23" s="230"/>
      <c r="D23" s="230"/>
      <c r="E23" s="230"/>
      <c r="F23" s="230"/>
      <c r="G23" s="230"/>
      <c r="H23" s="230"/>
      <c r="I23" s="230"/>
      <c r="J23" s="230">
        <f t="shared" si="1"/>
        <v>0</v>
      </c>
    </row>
    <row r="24" spans="2:11" ht="13.5" thickBot="1">
      <c r="B24" s="178" t="s">
        <v>142</v>
      </c>
      <c r="C24" s="339">
        <f>SUM(C17:C22)</f>
        <v>525400000</v>
      </c>
      <c r="D24" s="339">
        <f t="shared" ref="D24:I24" si="2">SUM(D17:D22)</f>
        <v>0</v>
      </c>
      <c r="E24" s="339">
        <f t="shared" si="2"/>
        <v>0</v>
      </c>
      <c r="F24" s="339">
        <f t="shared" si="2"/>
        <v>72582834.599999994</v>
      </c>
      <c r="G24" s="339">
        <f t="shared" si="2"/>
        <v>3335939</v>
      </c>
      <c r="H24" s="339">
        <f>SUM(H17:H22)</f>
        <v>201240935</v>
      </c>
      <c r="I24" s="339">
        <f t="shared" si="2"/>
        <v>17565441.125146702</v>
      </c>
      <c r="J24" s="339">
        <f t="shared" si="1"/>
        <v>820125149.72514677</v>
      </c>
      <c r="K24" s="441">
        <f>J24-'1.1 BS_cons'!F29</f>
        <v>-0.27485322952270508</v>
      </c>
    </row>
    <row r="25" spans="2:11" ht="13.5" thickTop="1">
      <c r="B25" s="173" t="s">
        <v>134</v>
      </c>
      <c r="C25" s="226"/>
      <c r="D25" s="226"/>
      <c r="E25" s="226"/>
      <c r="F25" s="226"/>
      <c r="G25" s="226"/>
      <c r="H25" s="230"/>
      <c r="I25" s="230"/>
      <c r="J25" s="230"/>
    </row>
    <row r="26" spans="2:11" ht="13.5" thickBot="1">
      <c r="B26" s="173" t="s">
        <v>135</v>
      </c>
      <c r="C26" s="226"/>
      <c r="D26" s="226"/>
      <c r="E26" s="226"/>
      <c r="F26" s="226">
        <v>16687168.949999999</v>
      </c>
      <c r="G26" s="226">
        <v>878272.05</v>
      </c>
      <c r="I26" s="226">
        <f>-(F26+G26)</f>
        <v>-17565441</v>
      </c>
      <c r="J26" s="226">
        <f>SUM(C26:I26)</f>
        <v>0</v>
      </c>
    </row>
    <row r="27" spans="2:11">
      <c r="B27" s="195" t="s">
        <v>129</v>
      </c>
      <c r="C27" s="439"/>
      <c r="D27" s="439"/>
      <c r="E27" s="439"/>
      <c r="F27" s="439"/>
      <c r="G27" s="439"/>
      <c r="H27" s="439"/>
      <c r="I27" s="439"/>
      <c r="J27" s="439">
        <f>SUM(C27:I27)</f>
        <v>0</v>
      </c>
    </row>
    <row r="28" spans="2:11">
      <c r="B28" s="173" t="s">
        <v>111</v>
      </c>
      <c r="C28" s="226"/>
      <c r="D28" s="226"/>
      <c r="E28" s="226"/>
      <c r="F28" s="226"/>
      <c r="G28" s="226"/>
      <c r="I28" s="226">
        <f>'2.1 IS_cons'!E26</f>
        <v>-79780150.185798943</v>
      </c>
      <c r="J28" s="226">
        <f>SUM(C28:I28)</f>
        <v>-79780150.185798943</v>
      </c>
    </row>
    <row r="29" spans="2:11" ht="13.5" thickBot="1">
      <c r="B29" s="175" t="s">
        <v>113</v>
      </c>
      <c r="C29" s="229"/>
      <c r="D29" s="229"/>
      <c r="E29" s="229"/>
      <c r="F29" s="229"/>
      <c r="G29" s="229"/>
      <c r="H29" s="229"/>
      <c r="I29" s="229"/>
      <c r="J29" s="229">
        <f>SUM(C29:I29)</f>
        <v>0</v>
      </c>
    </row>
    <row r="30" spans="2:11" ht="13.5" thickBot="1">
      <c r="B30" s="171" t="s">
        <v>132</v>
      </c>
      <c r="C30" s="230"/>
      <c r="D30" s="230"/>
      <c r="E30" s="230"/>
      <c r="F30" s="230"/>
      <c r="G30" s="230"/>
      <c r="H30" s="230"/>
      <c r="I30" s="230"/>
      <c r="J30" s="230">
        <f>SUM(C30:I30)</f>
        <v>0</v>
      </c>
    </row>
    <row r="31" spans="2:11" ht="13.5" thickBot="1">
      <c r="B31" s="178" t="s">
        <v>1045</v>
      </c>
      <c r="C31" s="339">
        <f t="shared" ref="C31:I31" si="3">SUM(C24:C29)</f>
        <v>525400000</v>
      </c>
      <c r="D31" s="339">
        <f t="shared" si="3"/>
        <v>0</v>
      </c>
      <c r="E31" s="339">
        <f t="shared" si="3"/>
        <v>0</v>
      </c>
      <c r="F31" s="339">
        <f t="shared" si="3"/>
        <v>89270003.549999997</v>
      </c>
      <c r="G31" s="339">
        <f t="shared" si="3"/>
        <v>4214211.05</v>
      </c>
      <c r="H31" s="339">
        <f t="shared" si="3"/>
        <v>201240935</v>
      </c>
      <c r="I31" s="339">
        <f t="shared" si="3"/>
        <v>-79780150.060652241</v>
      </c>
      <c r="J31" s="339">
        <f>J24+J28-1</f>
        <v>740344998.53934789</v>
      </c>
      <c r="K31" s="441">
        <f>J31-'1.1 BS_cons'!E29</f>
        <v>-0.25175309181213379</v>
      </c>
    </row>
    <row r="32" spans="2:11" ht="13.5" thickTop="1">
      <c r="C32" s="440"/>
      <c r="D32" s="440"/>
      <c r="E32" s="440"/>
      <c r="F32" s="440"/>
      <c r="G32" s="440"/>
      <c r="H32" s="440"/>
      <c r="I32" s="440"/>
      <c r="J32" s="441"/>
    </row>
    <row r="33" spans="3:10">
      <c r="C33" s="440"/>
      <c r="D33" s="440"/>
      <c r="E33" s="440"/>
      <c r="F33" s="440"/>
      <c r="G33" s="440"/>
      <c r="H33" s="440"/>
      <c r="I33" s="440"/>
      <c r="J33" s="44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F51"/>
  <sheetViews>
    <sheetView zoomScale="110" zoomScaleNormal="110" workbookViewId="0">
      <selection activeCell="E7" sqref="E7"/>
    </sheetView>
  </sheetViews>
  <sheetFormatPr defaultRowHeight="12.75"/>
  <cols>
    <col min="1" max="1" width="9.140625" style="491"/>
    <col min="2" max="2" width="45" style="493" customWidth="1"/>
    <col min="3" max="3" width="40.85546875" style="493" hidden="1" customWidth="1"/>
    <col min="4" max="4" width="9.140625" style="491"/>
    <col min="5" max="5" width="19.42578125" style="491" customWidth="1"/>
    <col min="6" max="6" width="20" style="492" customWidth="1"/>
    <col min="7" max="16384" width="9.140625" style="491"/>
  </cols>
  <sheetData>
    <row r="1" spans="2:6" ht="16.5" thickBot="1">
      <c r="B1" s="489" t="s">
        <v>944</v>
      </c>
      <c r="C1" s="490"/>
      <c r="D1" s="490"/>
    </row>
    <row r="2" spans="2:6" ht="13.5" thickTop="1"/>
    <row r="3" spans="2:6">
      <c r="B3" s="494"/>
      <c r="C3" s="495"/>
      <c r="D3" s="496" t="s">
        <v>51</v>
      </c>
      <c r="E3" s="497" t="s">
        <v>140</v>
      </c>
      <c r="F3" s="498" t="s">
        <v>140</v>
      </c>
    </row>
    <row r="4" spans="2:6">
      <c r="B4" s="494"/>
      <c r="C4" s="495" t="s">
        <v>50</v>
      </c>
      <c r="D4" s="499"/>
      <c r="E4" s="500" t="s">
        <v>1042</v>
      </c>
      <c r="F4" s="501" t="s">
        <v>52</v>
      </c>
    </row>
    <row r="5" spans="2:6">
      <c r="B5" s="502"/>
      <c r="C5" s="502"/>
      <c r="D5" s="499"/>
      <c r="E5" s="503"/>
      <c r="F5" s="504"/>
    </row>
    <row r="6" spans="2:6">
      <c r="B6" s="505" t="s">
        <v>945</v>
      </c>
      <c r="C6" s="506" t="s">
        <v>946</v>
      </c>
      <c r="D6" s="499"/>
      <c r="E6" s="556"/>
      <c r="F6" s="504"/>
    </row>
    <row r="7" spans="2:6">
      <c r="B7" s="502" t="s">
        <v>109</v>
      </c>
      <c r="C7" s="507" t="s">
        <v>110</v>
      </c>
      <c r="D7" s="499"/>
      <c r="E7" s="557">
        <f>'1.1 BS_cons'!E28</f>
        <v>-79780150.185798958</v>
      </c>
      <c r="F7" s="504">
        <v>22113275</v>
      </c>
    </row>
    <row r="8" spans="2:6">
      <c r="B8" s="502"/>
      <c r="C8" s="502"/>
      <c r="D8" s="496"/>
      <c r="E8" s="556"/>
      <c r="F8" s="504"/>
    </row>
    <row r="9" spans="2:6">
      <c r="B9" s="508" t="s">
        <v>947</v>
      </c>
      <c r="C9" s="509" t="s">
        <v>948</v>
      </c>
      <c r="D9" s="499"/>
      <c r="E9" s="558"/>
      <c r="F9" s="501"/>
    </row>
    <row r="10" spans="2:6">
      <c r="B10" s="502" t="s">
        <v>949</v>
      </c>
      <c r="C10" s="507" t="s">
        <v>105</v>
      </c>
      <c r="D10" s="499"/>
      <c r="E10" s="559">
        <f>CFS!H10</f>
        <v>119726757</v>
      </c>
      <c r="F10" s="504">
        <v>135753137</v>
      </c>
    </row>
    <row r="11" spans="2:6">
      <c r="B11" s="502" t="s">
        <v>1372</v>
      </c>
      <c r="C11" s="507" t="s">
        <v>950</v>
      </c>
      <c r="D11" s="499"/>
      <c r="E11" s="559">
        <f>CFS!H11</f>
        <v>92515176.349999994</v>
      </c>
      <c r="F11" s="504">
        <v>85182446</v>
      </c>
    </row>
    <row r="12" spans="2:6" ht="25.5">
      <c r="B12" s="502" t="s">
        <v>951</v>
      </c>
      <c r="C12" s="507" t="s">
        <v>952</v>
      </c>
      <c r="D12" s="499"/>
      <c r="E12" s="559" t="s">
        <v>1043</v>
      </c>
      <c r="F12" s="504"/>
    </row>
    <row r="13" spans="2:6">
      <c r="B13" s="502" t="s">
        <v>953</v>
      </c>
      <c r="C13" s="507" t="s">
        <v>954</v>
      </c>
      <c r="D13" s="499"/>
      <c r="E13" s="556"/>
      <c r="F13" s="504"/>
    </row>
    <row r="14" spans="2:6">
      <c r="B14" s="502" t="s">
        <v>830</v>
      </c>
      <c r="C14" s="507" t="s">
        <v>955</v>
      </c>
      <c r="D14" s="499"/>
      <c r="E14" s="559">
        <f>CFS!H8</f>
        <v>537121</v>
      </c>
      <c r="F14" s="504">
        <v>777114</v>
      </c>
    </row>
    <row r="15" spans="2:6">
      <c r="B15" s="502" t="s">
        <v>121</v>
      </c>
      <c r="C15" s="507" t="s">
        <v>956</v>
      </c>
      <c r="D15" s="499"/>
      <c r="E15" s="559"/>
      <c r="F15" s="504"/>
    </row>
    <row r="16" spans="2:6">
      <c r="B16" s="502" t="s">
        <v>1002</v>
      </c>
      <c r="C16" s="507" t="s">
        <v>957</v>
      </c>
      <c r="D16" s="499"/>
      <c r="E16" s="560">
        <v>0</v>
      </c>
      <c r="F16" s="504">
        <f>-509233</f>
        <v>-509233</v>
      </c>
    </row>
    <row r="17" spans="2:6">
      <c r="B17" s="502" t="s">
        <v>958</v>
      </c>
      <c r="C17" s="507" t="s">
        <v>29</v>
      </c>
      <c r="D17" s="499"/>
      <c r="E17" s="560">
        <v>0</v>
      </c>
      <c r="F17" s="504">
        <v>4547834</v>
      </c>
    </row>
    <row r="18" spans="2:6" ht="13.5" thickBot="1">
      <c r="B18" s="510" t="s">
        <v>88</v>
      </c>
      <c r="C18" s="511" t="s">
        <v>19</v>
      </c>
      <c r="D18" s="512"/>
      <c r="E18" s="561"/>
      <c r="F18" s="514"/>
    </row>
    <row r="19" spans="2:6" ht="25.5">
      <c r="B19" s="502" t="s">
        <v>959</v>
      </c>
      <c r="C19" s="515" t="s">
        <v>960</v>
      </c>
      <c r="D19" s="499"/>
      <c r="E19" s="562">
        <f>SUM(E7:E18)</f>
        <v>132998904.16420104</v>
      </c>
      <c r="F19" s="527">
        <f>F7+F10+F11+F12+F13+F14+F15+F16+F17</f>
        <v>247864573</v>
      </c>
    </row>
    <row r="20" spans="2:6">
      <c r="B20" s="502"/>
      <c r="C20" s="502"/>
      <c r="D20" s="499"/>
      <c r="E20" s="560"/>
      <c r="F20" s="504"/>
    </row>
    <row r="21" spans="2:6">
      <c r="B21" s="508" t="s">
        <v>961</v>
      </c>
      <c r="C21" s="516" t="s">
        <v>962</v>
      </c>
      <c r="D21" s="499"/>
      <c r="E21" s="560"/>
      <c r="F21" s="504"/>
    </row>
    <row r="22" spans="2:6">
      <c r="B22" s="502" t="s">
        <v>963</v>
      </c>
      <c r="C22" s="507" t="s">
        <v>964</v>
      </c>
      <c r="D22" s="499"/>
      <c r="E22" s="560">
        <f>CFS!G14</f>
        <v>-880804.33909999975</v>
      </c>
    </row>
    <row r="23" spans="2:6">
      <c r="B23" s="502" t="s">
        <v>965</v>
      </c>
      <c r="C23" s="507" t="s">
        <v>966</v>
      </c>
      <c r="D23" s="499"/>
      <c r="E23" s="560">
        <f>CFS!H15+CFS!H16</f>
        <v>55150029.028700002</v>
      </c>
      <c r="F23" s="504">
        <f>-37960727</f>
        <v>-37960727</v>
      </c>
    </row>
    <row r="24" spans="2:6">
      <c r="B24" s="502" t="s">
        <v>967</v>
      </c>
      <c r="C24" s="507" t="s">
        <v>968</v>
      </c>
      <c r="D24" s="499"/>
      <c r="E24" s="560">
        <f>CFS!H17+CFS!H18</f>
        <v>41317826.014300048</v>
      </c>
      <c r="F24" s="504">
        <f>-52169511</f>
        <v>-52169511</v>
      </c>
    </row>
    <row r="25" spans="2:6" ht="13.5" thickBot="1">
      <c r="B25" s="510" t="s">
        <v>1003</v>
      </c>
      <c r="C25" s="511" t="s">
        <v>969</v>
      </c>
      <c r="D25" s="512"/>
      <c r="E25" s="563">
        <f>CFS!G19</f>
        <v>52402279.517499983</v>
      </c>
      <c r="F25" s="513">
        <f>24662002</f>
        <v>24662002</v>
      </c>
    </row>
    <row r="26" spans="2:6" ht="17.25" customHeight="1">
      <c r="B26" s="502" t="s">
        <v>970</v>
      </c>
      <c r="C26" s="507" t="s">
        <v>971</v>
      </c>
      <c r="D26" s="499"/>
      <c r="E26" s="564">
        <f>SUM(E22:E25)</f>
        <v>147989330.22140002</v>
      </c>
      <c r="F26" s="501">
        <f>SUM(F23:F25)</f>
        <v>-65468236</v>
      </c>
    </row>
    <row r="27" spans="2:6">
      <c r="B27" s="502"/>
      <c r="C27" s="502"/>
      <c r="D27" s="499"/>
      <c r="E27" s="560"/>
      <c r="F27" s="504"/>
    </row>
    <row r="28" spans="2:6">
      <c r="B28" s="502" t="s">
        <v>972</v>
      </c>
      <c r="C28" s="507" t="s">
        <v>973</v>
      </c>
      <c r="D28" s="499"/>
      <c r="E28" s="560"/>
      <c r="F28" s="504"/>
    </row>
    <row r="29" spans="2:6" ht="13.5" thickBot="1">
      <c r="B29" s="510" t="s">
        <v>974</v>
      </c>
      <c r="C29" s="511" t="s">
        <v>975</v>
      </c>
      <c r="D29" s="517"/>
      <c r="E29" s="563"/>
      <c r="F29" s="514">
        <v>6379350</v>
      </c>
    </row>
    <row r="30" spans="2:6">
      <c r="B30" s="505"/>
      <c r="C30" s="505"/>
      <c r="D30" s="496"/>
      <c r="E30" s="565">
        <f>SUM(E28:E29)</f>
        <v>0</v>
      </c>
      <c r="F30" s="501">
        <f>SUM(F29)</f>
        <v>6379350</v>
      </c>
    </row>
    <row r="31" spans="2:6">
      <c r="B31" s="505" t="s">
        <v>976</v>
      </c>
      <c r="C31" s="506" t="s">
        <v>977</v>
      </c>
      <c r="D31" s="499"/>
      <c r="E31" s="565"/>
      <c r="F31" s="501"/>
    </row>
    <row r="32" spans="2:6">
      <c r="B32" s="502" t="s">
        <v>978</v>
      </c>
      <c r="C32" s="507" t="s">
        <v>979</v>
      </c>
      <c r="D32" s="499"/>
      <c r="E32" s="560">
        <f>CFS!G26</f>
        <v>-472070122.13410044</v>
      </c>
      <c r="F32" s="504">
        <f>-480332841</f>
        <v>-480332841</v>
      </c>
    </row>
    <row r="33" spans="2:6">
      <c r="B33" s="502" t="s">
        <v>980</v>
      </c>
      <c r="C33" s="507" t="s">
        <v>981</v>
      </c>
      <c r="D33" s="499"/>
      <c r="E33" s="560"/>
      <c r="F33" s="504"/>
    </row>
    <row r="34" spans="2:6">
      <c r="B34" s="502" t="s">
        <v>982</v>
      </c>
      <c r="C34" s="507" t="s">
        <v>983</v>
      </c>
      <c r="D34" s="499"/>
      <c r="E34" s="560"/>
      <c r="F34" s="504"/>
    </row>
    <row r="35" spans="2:6">
      <c r="B35" s="502" t="s">
        <v>984</v>
      </c>
      <c r="C35" s="507" t="s">
        <v>985</v>
      </c>
      <c r="D35" s="499"/>
      <c r="E35" s="560"/>
      <c r="F35" s="504"/>
    </row>
    <row r="36" spans="2:6" ht="13.5" thickBot="1">
      <c r="B36" s="510" t="s">
        <v>986</v>
      </c>
      <c r="C36" s="511" t="s">
        <v>987</v>
      </c>
      <c r="D36" s="517"/>
      <c r="E36" s="563"/>
      <c r="F36" s="514"/>
    </row>
    <row r="37" spans="2:6">
      <c r="B37" s="505"/>
      <c r="C37" s="505"/>
      <c r="D37" s="496"/>
      <c r="E37" s="566">
        <f>SUM(E32:E36)</f>
        <v>-472070122.13410044</v>
      </c>
      <c r="F37" s="501">
        <f>SUM(F32:F36)</f>
        <v>-480332841</v>
      </c>
    </row>
    <row r="38" spans="2:6">
      <c r="B38" s="505" t="s">
        <v>988</v>
      </c>
      <c r="C38" s="506" t="s">
        <v>989</v>
      </c>
      <c r="D38" s="499"/>
      <c r="E38" s="565"/>
      <c r="F38" s="501"/>
    </row>
    <row r="39" spans="2:6">
      <c r="B39" s="502" t="s">
        <v>990</v>
      </c>
      <c r="C39" s="507" t="s">
        <v>991</v>
      </c>
      <c r="D39" s="499"/>
      <c r="E39" s="560">
        <f>CFS!H33+CFS!H34</f>
        <v>196830555.26219994</v>
      </c>
      <c r="F39" s="504">
        <v>306858617</v>
      </c>
    </row>
    <row r="40" spans="2:6">
      <c r="B40" s="502" t="s">
        <v>992</v>
      </c>
      <c r="C40" s="507" t="s">
        <v>993</v>
      </c>
      <c r="D40" s="499"/>
      <c r="E40" s="560"/>
      <c r="F40" s="504"/>
    </row>
    <row r="41" spans="2:6" ht="13.5" thickBot="1">
      <c r="B41" s="510" t="s">
        <v>994</v>
      </c>
      <c r="C41" s="511" t="s">
        <v>995</v>
      </c>
      <c r="D41" s="517"/>
      <c r="E41" s="563"/>
      <c r="F41" s="514"/>
    </row>
    <row r="42" spans="2:6">
      <c r="B42" s="505"/>
      <c r="C42" s="505"/>
      <c r="D42" s="499"/>
      <c r="E42" s="501">
        <f>SUM(E39:E41)</f>
        <v>196830555.26219994</v>
      </c>
      <c r="F42" s="501">
        <f>SUM(F39:F41)</f>
        <v>306858617</v>
      </c>
    </row>
    <row r="43" spans="2:6">
      <c r="B43" s="502"/>
      <c r="C43" s="502"/>
      <c r="D43" s="496"/>
      <c r="E43" s="523"/>
      <c r="F43" s="504"/>
    </row>
    <row r="44" spans="2:6">
      <c r="B44" s="505" t="s">
        <v>996</v>
      </c>
      <c r="C44" s="518" t="s">
        <v>997</v>
      </c>
      <c r="D44" s="499"/>
      <c r="E44" s="525">
        <f>E42+E37+E26+E19+E30</f>
        <v>5748667.5137005597</v>
      </c>
      <c r="F44" s="525">
        <v>2542763</v>
      </c>
    </row>
    <row r="45" spans="2:6" ht="13.5" thickBot="1">
      <c r="B45" s="510" t="s">
        <v>998</v>
      </c>
      <c r="C45" s="511" t="s">
        <v>999</v>
      </c>
      <c r="D45" s="517">
        <v>12</v>
      </c>
      <c r="E45" s="524">
        <f>CFS!G39</f>
        <v>6639368</v>
      </c>
      <c r="F45" s="514">
        <v>5054739</v>
      </c>
    </row>
    <row r="46" spans="2:6" ht="13.5" thickBot="1">
      <c r="B46" s="519" t="s">
        <v>1000</v>
      </c>
      <c r="C46" s="520" t="s">
        <v>1001</v>
      </c>
      <c r="D46" s="521">
        <v>12</v>
      </c>
      <c r="E46" s="522">
        <f>'1.1 BS_cons'!E17</f>
        <v>12388035.712000698</v>
      </c>
      <c r="F46" s="522">
        <v>6639368</v>
      </c>
    </row>
    <row r="47" spans="2:6" ht="13.5" thickTop="1">
      <c r="E47" s="528">
        <f>E46-'1.1 BS_cons'!E17</f>
        <v>0</v>
      </c>
    </row>
    <row r="48" spans="2:6">
      <c r="E48" s="526"/>
    </row>
    <row r="49" spans="5:5">
      <c r="E49" s="526"/>
    </row>
    <row r="51" spans="5:5">
      <c r="E51" s="55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53"/>
  <sheetViews>
    <sheetView view="pageBreakPreview" zoomScaleNormal="88" zoomScaleSheetLayoutView="100" workbookViewId="0">
      <pane xSplit="2" ySplit="5" topLeftCell="C24" activePane="bottomRight" state="frozen"/>
      <selection activeCell="I30" sqref="I30"/>
      <selection pane="topRight" activeCell="I30" sqref="I30"/>
      <selection pane="bottomLeft" activeCell="I30" sqref="I30"/>
      <selection pane="bottomRight" activeCell="H5" sqref="H5"/>
    </sheetView>
  </sheetViews>
  <sheetFormatPr defaultRowHeight="12.75" outlineLevelCol="1"/>
  <cols>
    <col min="1" max="1" width="5.7109375" style="454" customWidth="1"/>
    <col min="2" max="2" width="58.85546875" style="480" customWidth="1"/>
    <col min="3" max="6" width="15.42578125" style="482" hidden="1" customWidth="1" outlineLevel="1"/>
    <col min="7" max="7" width="15.42578125" style="482" customWidth="1" collapsed="1"/>
    <col min="8" max="8" width="17.5703125" style="480" bestFit="1" customWidth="1"/>
    <col min="9" max="9" width="17.7109375" style="454" bestFit="1" customWidth="1"/>
    <col min="10" max="10" width="16" style="454" bestFit="1" customWidth="1"/>
    <col min="11" max="11" width="10.140625" style="454" bestFit="1" customWidth="1"/>
    <col min="12" max="16384" width="9.140625" style="454"/>
  </cols>
  <sheetData>
    <row r="1" spans="2:10" ht="18.75">
      <c r="B1" s="451" t="s">
        <v>154</v>
      </c>
      <c r="C1" s="452"/>
      <c r="D1" s="452"/>
      <c r="E1" s="452"/>
      <c r="F1" s="452"/>
      <c r="G1" s="452"/>
      <c r="H1" s="453"/>
    </row>
    <row r="2" spans="2:10" ht="18.75">
      <c r="B2" s="451" t="s">
        <v>902</v>
      </c>
      <c r="C2" s="452"/>
      <c r="D2" s="452"/>
      <c r="E2" s="452"/>
      <c r="F2" s="452"/>
      <c r="G2" s="452"/>
      <c r="H2" s="453"/>
    </row>
    <row r="3" spans="2:10" ht="5.25" customHeight="1">
      <c r="B3" s="455"/>
      <c r="C3" s="455"/>
      <c r="D3" s="455"/>
      <c r="E3" s="455"/>
      <c r="F3" s="455"/>
      <c r="G3" s="455"/>
      <c r="H3" s="456"/>
    </row>
    <row r="4" spans="2:10">
      <c r="B4" s="453"/>
      <c r="C4" s="453"/>
      <c r="D4" s="452"/>
      <c r="E4" s="452"/>
      <c r="F4" s="452"/>
      <c r="G4" s="453"/>
      <c r="H4" s="453"/>
    </row>
    <row r="5" spans="2:10" ht="31.5">
      <c r="B5" s="457"/>
      <c r="C5" s="458">
        <f>[3]Liabilities!D5</f>
        <v>40908</v>
      </c>
      <c r="D5" s="459" t="s">
        <v>903</v>
      </c>
      <c r="E5" s="459" t="s">
        <v>904</v>
      </c>
      <c r="F5" s="459" t="s">
        <v>905</v>
      </c>
      <c r="G5" s="459" t="s">
        <v>943</v>
      </c>
      <c r="H5" s="488"/>
    </row>
    <row r="6" spans="2:10" ht="22.5" customHeight="1">
      <c r="B6" s="460" t="s">
        <v>906</v>
      </c>
      <c r="C6" s="461"/>
      <c r="D6" s="461"/>
      <c r="E6" s="461"/>
      <c r="F6" s="461"/>
      <c r="G6" s="461"/>
      <c r="H6" s="462"/>
    </row>
    <row r="7" spans="2:10" ht="15">
      <c r="B7" s="463" t="s">
        <v>907</v>
      </c>
      <c r="C7" s="464">
        <f>'2.1 IS_cons'!E17</f>
        <v>-79780150.185798943</v>
      </c>
      <c r="D7" s="464"/>
      <c r="E7" s="464"/>
      <c r="F7" s="464"/>
      <c r="G7" s="464">
        <f t="shared" ref="G7:G12" si="0">SUM(C7:F7)</f>
        <v>-79780150.185798943</v>
      </c>
      <c r="H7" s="464">
        <f>'2.1 IS_cons'!E17</f>
        <v>-79780150.185798943</v>
      </c>
      <c r="I7" s="485"/>
      <c r="J7" s="486"/>
    </row>
    <row r="8" spans="2:10" ht="15">
      <c r="B8" s="463" t="s">
        <v>908</v>
      </c>
      <c r="C8" s="464">
        <v>0</v>
      </c>
      <c r="D8" s="464"/>
      <c r="E8" s="464"/>
      <c r="F8" s="464">
        <v>537121</v>
      </c>
      <c r="G8" s="464">
        <f t="shared" si="0"/>
        <v>537121</v>
      </c>
      <c r="H8" s="464">
        <f>G8</f>
        <v>537121</v>
      </c>
    </row>
    <row r="9" spans="2:10" ht="15">
      <c r="B9" s="463" t="s">
        <v>909</v>
      </c>
      <c r="C9" s="464">
        <v>0</v>
      </c>
      <c r="D9" s="464"/>
      <c r="E9" s="464"/>
      <c r="F9" s="464"/>
      <c r="G9" s="464">
        <f t="shared" si="0"/>
        <v>0</v>
      </c>
      <c r="H9" s="464">
        <f>G9</f>
        <v>0</v>
      </c>
    </row>
    <row r="10" spans="2:10" ht="15">
      <c r="B10" s="463" t="s">
        <v>910</v>
      </c>
      <c r="C10" s="464">
        <f>-'2.1 IS_cons'!E10-'Transition Consolidated FS'!H62-C11</f>
        <v>119726757</v>
      </c>
      <c r="D10" s="464"/>
      <c r="E10" s="464"/>
      <c r="F10" s="464"/>
      <c r="G10" s="464">
        <f t="shared" si="0"/>
        <v>119726757</v>
      </c>
      <c r="H10" s="464">
        <f>-'2.1 IS_cons'!E10-H11</f>
        <v>119726757</v>
      </c>
      <c r="I10" s="486"/>
      <c r="J10" s="486"/>
    </row>
    <row r="11" spans="2:10" ht="15">
      <c r="B11" s="463" t="s">
        <v>911</v>
      </c>
      <c r="C11" s="464">
        <f>'II-Shenimet'!C231+'II-Shenimet'!C232</f>
        <v>92515176.349999994</v>
      </c>
      <c r="D11" s="464"/>
      <c r="E11" s="464"/>
      <c r="F11" s="464"/>
      <c r="G11" s="464">
        <f t="shared" si="0"/>
        <v>92515176.349999994</v>
      </c>
      <c r="H11" s="464">
        <f>'II-Shenimet'!C231+'II-Shenimet'!C232</f>
        <v>92515176.349999994</v>
      </c>
      <c r="J11" s="466"/>
    </row>
    <row r="12" spans="2:10" ht="15">
      <c r="B12" s="463" t="s">
        <v>942</v>
      </c>
      <c r="C12" s="464">
        <f>-'2.1 IS_cons'!E19</f>
        <v>0</v>
      </c>
      <c r="D12" s="464"/>
      <c r="E12" s="464"/>
      <c r="F12" s="464"/>
      <c r="G12" s="464">
        <f t="shared" si="0"/>
        <v>0</v>
      </c>
      <c r="H12" s="464">
        <f>-'2.1 IS_cons'!E19</f>
        <v>0</v>
      </c>
      <c r="J12" s="466"/>
    </row>
    <row r="13" spans="2:10" s="469" customFormat="1" ht="15">
      <c r="B13" s="467" t="s">
        <v>912</v>
      </c>
      <c r="C13" s="468">
        <f>SUM(C7:C12)</f>
        <v>132461783.16420105</v>
      </c>
      <c r="D13" s="468"/>
      <c r="E13" s="468"/>
      <c r="F13" s="468"/>
      <c r="G13" s="468">
        <f>SUM(G7:G12)</f>
        <v>132998904.16420105</v>
      </c>
      <c r="H13" s="468">
        <f>SUM(H7:H12)</f>
        <v>132998904.16420105</v>
      </c>
      <c r="I13" s="487">
        <f>G13-H13</f>
        <v>0</v>
      </c>
      <c r="J13" s="465"/>
    </row>
    <row r="14" spans="2:10" s="470" customFormat="1" ht="15">
      <c r="B14" s="463" t="s">
        <v>913</v>
      </c>
      <c r="C14" s="464">
        <f>-('1.1 BS_cons'!E13-'1.1 BS_cons'!F13)</f>
        <v>-880804.33909999975</v>
      </c>
      <c r="D14" s="464"/>
      <c r="E14" s="464"/>
      <c r="F14" s="464"/>
      <c r="G14" s="464">
        <f t="shared" ref="G14:G20" si="1">SUM(C14:F14)</f>
        <v>-880804.33909999975</v>
      </c>
      <c r="H14" s="464">
        <f>-('1.1 BS_cons'!E13-'1.1 BS_cons'!F13)</f>
        <v>-880804.33909999975</v>
      </c>
      <c r="J14" s="486"/>
    </row>
    <row r="15" spans="2:10" s="470" customFormat="1" ht="15">
      <c r="B15" s="463" t="s">
        <v>914</v>
      </c>
      <c r="C15" s="464">
        <f>-('1.1 BS_cons'!E14-'1.1 BS_cons'!F14)</f>
        <v>56383882.761500001</v>
      </c>
      <c r="D15" s="464"/>
      <c r="E15" s="464"/>
      <c r="F15" s="464"/>
      <c r="G15" s="464">
        <f t="shared" si="1"/>
        <v>56383882.761500001</v>
      </c>
      <c r="H15" s="464">
        <f>-('1.1 BS_cons'!E14-'1.1 BS_cons'!F14)+D15+E15</f>
        <v>56383882.761500001</v>
      </c>
      <c r="I15" s="484">
        <f>G15-H15</f>
        <v>0</v>
      </c>
      <c r="J15" s="486"/>
    </row>
    <row r="16" spans="2:10" s="470" customFormat="1" ht="15">
      <c r="B16" s="463" t="s">
        <v>915</v>
      </c>
      <c r="C16" s="464">
        <f>-('1.1 BS_cons'!E15+'1.1 BS_cons'!E10-'1.1 BS_cons'!F15-'1.1 BS_cons'!F10)</f>
        <v>-1233853.7327999994</v>
      </c>
      <c r="D16" s="464"/>
      <c r="E16" s="464"/>
      <c r="F16" s="464"/>
      <c r="G16" s="464">
        <f t="shared" si="1"/>
        <v>-1233853.7327999994</v>
      </c>
      <c r="H16" s="464">
        <f>-('1.1 BS_cons'!E15+'1.1 BS_cons'!E10-'1.1 BS_cons'!F15-'1.1 BS_cons'!F10)+D16+E16</f>
        <v>-1233853.7327999994</v>
      </c>
      <c r="I16" s="484">
        <f>G16-H16</f>
        <v>0</v>
      </c>
      <c r="J16" s="486"/>
    </row>
    <row r="17" spans="2:10" s="470" customFormat="1" ht="15">
      <c r="B17" s="463" t="s">
        <v>916</v>
      </c>
      <c r="C17" s="464">
        <f>('1.1 BS_cons'!E42-'1.1 BS_cons'!F42)</f>
        <v>113826902.6875</v>
      </c>
      <c r="D17" s="464"/>
      <c r="E17" s="464"/>
      <c r="F17" s="464"/>
      <c r="G17" s="464">
        <f t="shared" si="1"/>
        <v>113826902.6875</v>
      </c>
      <c r="H17" s="464">
        <f>('1.1 BS_cons'!E42-'1.1 BS_cons'!F42)</f>
        <v>113826902.6875</v>
      </c>
      <c r="I17" s="484">
        <f>G17-H17</f>
        <v>0</v>
      </c>
      <c r="J17" s="486"/>
    </row>
    <row r="18" spans="2:10" s="470" customFormat="1" ht="15">
      <c r="B18" s="463" t="s">
        <v>917</v>
      </c>
      <c r="C18" s="464">
        <f>('1.1 BS_cons'!E38+'1.1 BS_cons'!E43+'1.1 BS_cons'!E44+'1.1 BS_cons'!E45)-('1.1 BS_cons'!F38+'1.1 BS_cons'!F43+'1.1 BS_cons'!F44+'1.1 BS_cons'!F45)-C11</f>
        <v>-72509076.673199952</v>
      </c>
      <c r="D18" s="464"/>
      <c r="E18" s="464"/>
      <c r="F18" s="464"/>
      <c r="G18" s="464">
        <f t="shared" si="1"/>
        <v>-72509076.673199952</v>
      </c>
      <c r="H18" s="464">
        <f>('1.1 BS_cons'!E45+'1.1 BS_cons'!E43+'1.1 BS_cons'!E38+'1.1 BS_cons'!E44-'1.1 BS_cons'!F45-'1.1 BS_cons'!F43-'1.1 BS_cons'!F44-'1.1 BS_cons'!F38)-H11+D18</f>
        <v>-72509076.673199952</v>
      </c>
      <c r="I18" s="484">
        <f>G18-H18</f>
        <v>0</v>
      </c>
      <c r="J18" s="486"/>
    </row>
    <row r="19" spans="2:10" s="470" customFormat="1" ht="15">
      <c r="B19" s="463" t="s">
        <v>939</v>
      </c>
      <c r="C19" s="464">
        <f>-('1.1 BS_cons'!E16-'1.1 BS_cons'!F16)</f>
        <v>52402279.517499983</v>
      </c>
      <c r="D19" s="464"/>
      <c r="E19" s="464"/>
      <c r="F19" s="464"/>
      <c r="G19" s="464">
        <f t="shared" si="1"/>
        <v>52402279.517499983</v>
      </c>
      <c r="H19" s="464">
        <f>-('1.1 BS_cons'!E16-'1.1 BS_cons'!F16)</f>
        <v>52402279.517499983</v>
      </c>
      <c r="I19" s="484">
        <f>G19-H19</f>
        <v>0</v>
      </c>
      <c r="J19" s="486"/>
    </row>
    <row r="20" spans="2:10" s="470" customFormat="1" ht="15">
      <c r="B20" s="463" t="s">
        <v>918</v>
      </c>
      <c r="C20" s="464"/>
      <c r="D20" s="464"/>
      <c r="E20" s="464"/>
      <c r="F20" s="464"/>
      <c r="G20" s="464">
        <f t="shared" si="1"/>
        <v>0</v>
      </c>
      <c r="H20" s="464"/>
    </row>
    <row r="21" spans="2:10" s="473" customFormat="1" ht="15">
      <c r="B21" s="471" t="s">
        <v>919</v>
      </c>
      <c r="C21" s="468">
        <f>SUM(C14:C20)</f>
        <v>147989330.22140002</v>
      </c>
      <c r="D21" s="468"/>
      <c r="E21" s="468"/>
      <c r="F21" s="468">
        <f>SUM(F14:F20)</f>
        <v>0</v>
      </c>
      <c r="G21" s="468">
        <f>SUM(G14:G20)</f>
        <v>147989330.22140002</v>
      </c>
      <c r="H21" s="468">
        <f>SUM(H14:H20)</f>
        <v>147989330.22140002</v>
      </c>
      <c r="I21" s="484">
        <f>G21-H21</f>
        <v>0</v>
      </c>
      <c r="J21" s="472"/>
    </row>
    <row r="22" spans="2:10" s="469" customFormat="1" ht="15">
      <c r="B22" s="474" t="s">
        <v>920</v>
      </c>
      <c r="C22" s="475">
        <f>C13+C21</f>
        <v>280451113.38560104</v>
      </c>
      <c r="D22" s="475"/>
      <c r="E22" s="475"/>
      <c r="F22" s="475">
        <f>F13+F21</f>
        <v>0</v>
      </c>
      <c r="G22" s="475">
        <f>G13+G21</f>
        <v>280988234.38560104</v>
      </c>
      <c r="H22" s="475">
        <f>H13+H21</f>
        <v>280988234.38560104</v>
      </c>
      <c r="I22" s="484">
        <f>G22-H22</f>
        <v>0</v>
      </c>
      <c r="J22" s="470"/>
    </row>
    <row r="23" spans="2:10" s="469" customFormat="1" ht="15">
      <c r="B23" s="474" t="s">
        <v>941</v>
      </c>
      <c r="C23" s="475"/>
      <c r="D23" s="475"/>
      <c r="E23" s="475"/>
      <c r="F23" s="475"/>
      <c r="G23" s="475">
        <f>SUM(C23:F23)</f>
        <v>0</v>
      </c>
      <c r="H23" s="475">
        <f>SUM(D23:G23)</f>
        <v>0</v>
      </c>
      <c r="I23" s="484">
        <f>G23-H23</f>
        <v>0</v>
      </c>
      <c r="J23" s="470"/>
    </row>
    <row r="24" spans="2:10" s="469" customFormat="1" ht="15">
      <c r="B24" s="474"/>
      <c r="C24" s="475">
        <f>SUM(C22:C23)</f>
        <v>280451113.38560104</v>
      </c>
      <c r="D24" s="475"/>
      <c r="E24" s="475"/>
      <c r="F24" s="475"/>
      <c r="G24" s="475">
        <f>SUM(G22:G23)</f>
        <v>280988234.38560104</v>
      </c>
      <c r="H24" s="475">
        <f>SUM(H22:H23)</f>
        <v>280988234.38560104</v>
      </c>
      <c r="I24" s="484">
        <f>G24-H24</f>
        <v>0</v>
      </c>
      <c r="J24" s="470"/>
    </row>
    <row r="25" spans="2:10" s="470" customFormat="1" ht="23.25" customHeight="1">
      <c r="B25" s="460" t="s">
        <v>921</v>
      </c>
      <c r="C25" s="461"/>
      <c r="D25" s="476"/>
      <c r="E25" s="476"/>
      <c r="F25" s="476"/>
      <c r="G25" s="461"/>
      <c r="H25" s="464"/>
      <c r="I25" s="454"/>
      <c r="J25" s="454"/>
    </row>
    <row r="26" spans="2:10" ht="15">
      <c r="B26" s="463" t="s">
        <v>922</v>
      </c>
      <c r="C26" s="464">
        <f>-((('1.1 BS_cons'!E8+'1.1 BS_cons'!E9)-('1.1 BS_cons'!F8+'1.1 BS_cons'!F9)+CFS!C10))-1</f>
        <v>-472070122.13410044</v>
      </c>
      <c r="D26" s="464"/>
      <c r="E26" s="464"/>
      <c r="F26" s="464"/>
      <c r="G26" s="464">
        <f>SUM(C26:F26)</f>
        <v>-472070122.13410044</v>
      </c>
      <c r="H26" s="464">
        <f>-('1.1 BS_cons'!E8+'1.1 BS_cons'!E9-('1.1 BS_cons'!F8+'1.1 BS_cons'!F9))-H10-1</f>
        <v>-472070122.13410044</v>
      </c>
      <c r="I26" s="484">
        <f>G26-H26</f>
        <v>0</v>
      </c>
      <c r="J26" s="486"/>
    </row>
    <row r="27" spans="2:10" s="469" customFormat="1" ht="15">
      <c r="B27" s="463" t="s">
        <v>923</v>
      </c>
      <c r="C27" s="464">
        <f>('[3]TB-YTD'!D10+'[3]TB-YTD'!D11+'[3]TB-YTD'!D12+'[3]TB-YTD'!D13)-('[3]TB-YTD'!H10+'[3]TB-YTD'!H11+'[3]TB-YTD'!H12+'[3]TB-YTD'!H13)</f>
        <v>0</v>
      </c>
      <c r="D27" s="464"/>
      <c r="E27" s="464"/>
      <c r="F27" s="464"/>
      <c r="G27" s="464">
        <f>SUM(C27:F27)</f>
        <v>0</v>
      </c>
      <c r="H27" s="464"/>
    </row>
    <row r="28" spans="2:10" s="469" customFormat="1" ht="15">
      <c r="B28" s="463" t="s">
        <v>924</v>
      </c>
      <c r="C28" s="464"/>
      <c r="D28" s="464"/>
      <c r="E28" s="464"/>
      <c r="F28" s="464"/>
      <c r="G28" s="464">
        <f>SUM(C28:F28)</f>
        <v>0</v>
      </c>
      <c r="H28" s="464"/>
    </row>
    <row r="29" spans="2:10" s="469" customFormat="1" ht="22.5" customHeight="1">
      <c r="B29" s="474" t="s">
        <v>925</v>
      </c>
      <c r="C29" s="475">
        <f t="shared" ref="C29:H29" si="2">SUM(C26:C28)</f>
        <v>-472070122.13410044</v>
      </c>
      <c r="D29" s="475">
        <f t="shared" si="2"/>
        <v>0</v>
      </c>
      <c r="E29" s="475">
        <f t="shared" si="2"/>
        <v>0</v>
      </c>
      <c r="F29" s="475">
        <f t="shared" si="2"/>
        <v>0</v>
      </c>
      <c r="G29" s="475">
        <f t="shared" si="2"/>
        <v>-472070122.13410044</v>
      </c>
      <c r="H29" s="475">
        <f t="shared" si="2"/>
        <v>-472070122.13410044</v>
      </c>
      <c r="I29" s="484">
        <f>G29-H29</f>
        <v>0</v>
      </c>
    </row>
    <row r="30" spans="2:10" s="469" customFormat="1" ht="22.5" customHeight="1">
      <c r="B30" s="460" t="s">
        <v>926</v>
      </c>
      <c r="C30" s="477"/>
      <c r="D30" s="478"/>
      <c r="E30" s="478"/>
      <c r="F30" s="478"/>
      <c r="G30" s="461"/>
      <c r="H30" s="464"/>
    </row>
    <row r="31" spans="2:10" s="469" customFormat="1" ht="15">
      <c r="B31" s="463" t="s">
        <v>927</v>
      </c>
      <c r="C31" s="464"/>
      <c r="D31" s="464"/>
      <c r="E31" s="464"/>
      <c r="F31" s="464"/>
      <c r="G31" s="464">
        <f>SUM(C31:F31)</f>
        <v>0</v>
      </c>
      <c r="H31" s="464"/>
    </row>
    <row r="32" spans="2:10" s="469" customFormat="1" ht="15">
      <c r="B32" s="463" t="s">
        <v>928</v>
      </c>
      <c r="C32" s="464"/>
      <c r="D32" s="464"/>
      <c r="E32" s="464"/>
      <c r="F32" s="464"/>
      <c r="G32" s="464">
        <f>SUM(C32:F32)</f>
        <v>0</v>
      </c>
      <c r="H32" s="464"/>
      <c r="I32" s="454"/>
      <c r="J32" s="454"/>
    </row>
    <row r="33" spans="2:11" ht="15">
      <c r="B33" s="463" t="s">
        <v>929</v>
      </c>
      <c r="C33" s="464">
        <f>('1.1 BS_cons'!E35-'1.1 BS_cons'!F35)</f>
        <v>188798063.49750006</v>
      </c>
      <c r="D33" s="464"/>
      <c r="E33" s="464"/>
      <c r="F33" s="464"/>
      <c r="G33" s="464">
        <f>SUM(C33:F33)</f>
        <v>188798063.49750006</v>
      </c>
      <c r="H33" s="464">
        <f>('1.1 BS_cons'!E35-'1.1 BS_cons'!F35)+D33+E33</f>
        <v>188798063.49750006</v>
      </c>
      <c r="I33" s="484">
        <f t="shared" ref="I33:I40" si="3">G33-H33</f>
        <v>0</v>
      </c>
      <c r="J33" s="486"/>
    </row>
    <row r="34" spans="2:11" ht="15">
      <c r="B34" s="463" t="s">
        <v>930</v>
      </c>
      <c r="C34" s="464">
        <f>('1.1 BS_cons'!E41-'1.1 BS_cons'!F41)</f>
        <v>8569612.7646998763</v>
      </c>
      <c r="D34" s="464">
        <f>'[3]Unrealized Total'!H15</f>
        <v>0</v>
      </c>
      <c r="E34" s="464"/>
      <c r="F34" s="464">
        <f>-F8</f>
        <v>-537121</v>
      </c>
      <c r="G34" s="464">
        <f>SUM(C34:F34)</f>
        <v>8032491.7646998763</v>
      </c>
      <c r="H34" s="464">
        <f>('1.1 BS_cons'!E41-'1.1 BS_cons'!F41)+CFS!E34+CFS!F34</f>
        <v>8032491.7646998763</v>
      </c>
      <c r="I34" s="484">
        <f t="shared" si="3"/>
        <v>0</v>
      </c>
      <c r="J34" s="486"/>
    </row>
    <row r="35" spans="2:11" ht="15">
      <c r="B35" s="463" t="s">
        <v>931</v>
      </c>
      <c r="C35" s="464">
        <v>0</v>
      </c>
      <c r="D35" s="464"/>
      <c r="E35" s="464"/>
      <c r="F35" s="464"/>
      <c r="G35" s="464">
        <f>SUM(C35:F35)</f>
        <v>0</v>
      </c>
      <c r="H35" s="464"/>
      <c r="I35" s="484">
        <f t="shared" si="3"/>
        <v>0</v>
      </c>
    </row>
    <row r="36" spans="2:11" ht="15">
      <c r="B36" s="474" t="s">
        <v>932</v>
      </c>
      <c r="C36" s="475">
        <f>SUM(C31:C35)</f>
        <v>197367676.26219994</v>
      </c>
      <c r="D36" s="475"/>
      <c r="E36" s="475"/>
      <c r="F36" s="475"/>
      <c r="G36" s="475">
        <f>SUM(G31:G35)</f>
        <v>196830555.26219994</v>
      </c>
      <c r="H36" s="475">
        <f>SUM(H31:H35)</f>
        <v>196830555.26219994</v>
      </c>
      <c r="I36" s="484">
        <f t="shared" si="3"/>
        <v>0</v>
      </c>
      <c r="K36" s="486"/>
    </row>
    <row r="37" spans="2:11" ht="15">
      <c r="B37" s="474"/>
      <c r="C37" s="477"/>
      <c r="D37" s="478"/>
      <c r="E37" s="478"/>
      <c r="F37" s="478"/>
      <c r="G37" s="477"/>
      <c r="H37" s="464"/>
    </row>
    <row r="38" spans="2:11" s="469" customFormat="1" ht="15">
      <c r="B38" s="474" t="s">
        <v>933</v>
      </c>
      <c r="C38" s="475">
        <f>C22+C29+C36+C23</f>
        <v>5748667.5137005448</v>
      </c>
      <c r="D38" s="475"/>
      <c r="E38" s="475"/>
      <c r="F38" s="475"/>
      <c r="G38" s="475">
        <f>G22+G29+G36+G23</f>
        <v>5748667.5137005448</v>
      </c>
      <c r="H38" s="475">
        <f>H22+H29+H36+H23</f>
        <v>5748667.5137005448</v>
      </c>
      <c r="I38" s="484">
        <f t="shared" si="3"/>
        <v>0</v>
      </c>
    </row>
    <row r="39" spans="2:11" ht="15">
      <c r="B39" s="463" t="s">
        <v>934</v>
      </c>
      <c r="C39" s="464">
        <f>'1.1 BS_cons'!F17</f>
        <v>6639368</v>
      </c>
      <c r="D39" s="464"/>
      <c r="E39" s="464"/>
      <c r="F39" s="464"/>
      <c r="G39" s="464">
        <f>SUM(C39:F39)</f>
        <v>6639368</v>
      </c>
      <c r="H39" s="464">
        <f>C39</f>
        <v>6639368</v>
      </c>
      <c r="I39" s="484">
        <f t="shared" si="3"/>
        <v>0</v>
      </c>
    </row>
    <row r="40" spans="2:11" ht="15">
      <c r="B40" s="463" t="s">
        <v>935</v>
      </c>
      <c r="C40" s="464">
        <f>+C38+C39</f>
        <v>12388035.513700545</v>
      </c>
      <c r="D40" s="464">
        <f>SUM(D7:D39)</f>
        <v>0</v>
      </c>
      <c r="E40" s="464">
        <f>SUM(E7:E39)</f>
        <v>0</v>
      </c>
      <c r="F40" s="464">
        <f>SUM(F7:F39)</f>
        <v>0</v>
      </c>
      <c r="G40" s="464">
        <f>'1.1 BS_cons'!E17</f>
        <v>12388035.712000698</v>
      </c>
      <c r="H40" s="464">
        <f>'1.1 BS_cons'!E17</f>
        <v>12388035.712000698</v>
      </c>
      <c r="I40" s="484">
        <f t="shared" si="3"/>
        <v>0</v>
      </c>
    </row>
    <row r="41" spans="2:11" ht="15">
      <c r="B41" s="463"/>
      <c r="C41" s="479">
        <f>C40-'1.1 BS_cons'!E17</f>
        <v>-0.19830015301704407</v>
      </c>
      <c r="D41" s="463"/>
      <c r="E41" s="463"/>
      <c r="F41" s="463"/>
      <c r="G41" s="461">
        <f>G40-'1.1 BS_cons'!E17</f>
        <v>0</v>
      </c>
      <c r="H41" s="461">
        <f>H40-'1.1 BS_cons'!E17</f>
        <v>0</v>
      </c>
    </row>
    <row r="42" spans="2:11" hidden="1">
      <c r="C42" s="481"/>
      <c r="D42" s="481"/>
      <c r="E42" s="481"/>
      <c r="F42" s="481"/>
      <c r="G42" s="481"/>
    </row>
    <row r="43" spans="2:11" hidden="1">
      <c r="G43" s="482">
        <f>G33/78</f>
        <v>2420487.993557693</v>
      </c>
    </row>
    <row r="44" spans="2:11" hidden="1">
      <c r="C44" s="482">
        <f>78000000/14</f>
        <v>5571428.5714285718</v>
      </c>
      <c r="G44" s="482">
        <f>78000000/14</f>
        <v>5571428.5714285718</v>
      </c>
    </row>
    <row r="45" spans="2:11" hidden="1">
      <c r="G45" s="482">
        <f>-167764285-56571451-167764285-46057258</f>
        <v>-438157279</v>
      </c>
    </row>
    <row r="46" spans="2:11" hidden="1">
      <c r="G46" s="482">
        <f>G33-G45</f>
        <v>626955342.49750006</v>
      </c>
    </row>
    <row r="47" spans="2:11" hidden="1">
      <c r="G47" s="482">
        <v>-1786519</v>
      </c>
    </row>
    <row r="48" spans="2:11" hidden="1">
      <c r="C48" s="482">
        <f>C44*12</f>
        <v>66857142.857142866</v>
      </c>
      <c r="D48" s="482">
        <v>5571429</v>
      </c>
      <c r="F48" s="482">
        <v>5571429</v>
      </c>
      <c r="G48" s="482">
        <f>G34-G47</f>
        <v>9819010.7646998763</v>
      </c>
    </row>
    <row r="49" spans="1:12" hidden="1">
      <c r="C49" s="483">
        <v>82.89</v>
      </c>
      <c r="D49" s="483">
        <v>82.89</v>
      </c>
      <c r="E49" s="483"/>
      <c r="F49" s="482">
        <v>82.89</v>
      </c>
    </row>
    <row r="50" spans="1:12" hidden="1">
      <c r="C50" s="483">
        <v>78.650000000000006</v>
      </c>
      <c r="D50" s="483">
        <v>78.650000000000006</v>
      </c>
      <c r="E50" s="483"/>
      <c r="F50" s="482">
        <f>F48*F49</f>
        <v>461815749.81</v>
      </c>
    </row>
    <row r="51" spans="1:12" hidden="1">
      <c r="C51" s="483">
        <f>C49-C50</f>
        <v>4.2399999999999949</v>
      </c>
      <c r="D51" s="483">
        <f>D49-D50</f>
        <v>4.2399999999999949</v>
      </c>
      <c r="E51" s="483"/>
      <c r="F51" s="482">
        <f>G45</f>
        <v>-438157279</v>
      </c>
    </row>
    <row r="52" spans="1:12" s="480" customFormat="1" hidden="1">
      <c r="A52" s="454"/>
      <c r="C52" s="482">
        <f>C48*C51</f>
        <v>283474285.71428543</v>
      </c>
      <c r="D52" s="482">
        <f>D48*D51</f>
        <v>23622858.959999971</v>
      </c>
      <c r="E52" s="482"/>
      <c r="F52" s="482">
        <f>F50+F51</f>
        <v>23658470.810000002</v>
      </c>
      <c r="G52" s="482" t="s">
        <v>936</v>
      </c>
      <c r="I52" s="454"/>
      <c r="J52" s="454"/>
      <c r="K52" s="454"/>
      <c r="L52" s="454"/>
    </row>
    <row r="53" spans="1:12" s="480" customFormat="1" hidden="1">
      <c r="A53" s="454"/>
      <c r="C53" s="482"/>
      <c r="D53" s="482"/>
      <c r="E53" s="482"/>
      <c r="F53" s="482"/>
      <c r="G53" s="482"/>
      <c r="I53" s="454"/>
      <c r="J53" s="454"/>
      <c r="K53" s="454"/>
      <c r="L53" s="454"/>
    </row>
  </sheetData>
  <pageMargins left="0.74803149606299202" right="0.74803149606299202" top="0.75" bottom="0.98425196850393704" header="0.511811023622047" footer="0.511811023622047"/>
  <pageSetup scale="97" orientation="portrait" r:id="rId1"/>
  <headerFooter alignWithMargins="0">
    <oddHeader>&amp;R&amp;D  &amp;T</oddHeader>
    <oddFooter>&amp;L&amp;F&amp;C&amp;A&amp;R&amp;P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>
    <tabColor rgb="FF00B050"/>
    <pageSetUpPr fitToPage="1"/>
  </sheetPr>
  <dimension ref="B1:I46"/>
  <sheetViews>
    <sheetView view="pageBreakPreview" zoomScale="120" zoomScaleSheetLayoutView="120" workbookViewId="0">
      <pane ySplit="6" topLeftCell="A10" activePane="bottomLeft" state="frozen"/>
      <selection activeCell="I30" sqref="I30"/>
      <selection pane="bottomLeft" activeCell="K27" sqref="K27"/>
    </sheetView>
  </sheetViews>
  <sheetFormatPr defaultRowHeight="12.75" outlineLevelCol="1"/>
  <cols>
    <col min="1" max="1" width="5" style="67" customWidth="1"/>
    <col min="2" max="2" width="47.28515625" style="67" customWidth="1"/>
    <col min="3" max="3" width="14.7109375" style="67" customWidth="1"/>
    <col min="4" max="4" width="0.85546875" style="67" customWidth="1"/>
    <col min="5" max="5" width="14.7109375" style="67" customWidth="1"/>
    <col min="6" max="6" width="0.85546875" style="67" customWidth="1"/>
    <col min="7" max="7" width="17" style="67" hidden="1" customWidth="1" outlineLevel="1"/>
    <col min="8" max="8" width="2.5703125" style="67" customWidth="1" collapsed="1"/>
    <col min="9" max="10" width="14.28515625" style="67" bestFit="1" customWidth="1"/>
    <col min="11" max="11" width="11.5703125" style="67" bestFit="1" customWidth="1"/>
    <col min="12" max="12" width="13.85546875" style="67" bestFit="1" customWidth="1"/>
    <col min="13" max="13" width="11.28515625" style="67" bestFit="1" customWidth="1"/>
    <col min="14" max="14" width="10.85546875" style="67" bestFit="1" customWidth="1"/>
    <col min="15" max="16384" width="9.140625" style="67"/>
  </cols>
  <sheetData>
    <row r="1" spans="2:9">
      <c r="B1" s="60"/>
      <c r="C1" s="66"/>
      <c r="D1" s="66"/>
    </row>
    <row r="2" spans="2:9" ht="18.75">
      <c r="B2" s="114" t="str">
        <f>CFS!B1</f>
        <v>TOP CHANNEL SH.A</v>
      </c>
      <c r="C2" s="66"/>
      <c r="D2" s="66"/>
      <c r="I2" s="100" t="s">
        <v>36</v>
      </c>
    </row>
    <row r="3" spans="2:9" ht="3.75" customHeight="1">
      <c r="B3" s="79"/>
      <c r="C3" s="79"/>
      <c r="D3" s="79"/>
      <c r="E3" s="79"/>
      <c r="F3" s="79"/>
      <c r="G3" s="79"/>
    </row>
    <row r="4" spans="2:9">
      <c r="B4" s="78"/>
      <c r="C4" s="66"/>
      <c r="D4" s="66"/>
    </row>
    <row r="5" spans="2:9">
      <c r="B5" s="113" t="s">
        <v>767</v>
      </c>
      <c r="C5" s="99"/>
      <c r="D5" s="99"/>
      <c r="E5" s="99"/>
      <c r="F5" s="99"/>
      <c r="G5" s="99"/>
    </row>
    <row r="6" spans="2:9">
      <c r="B6" s="159"/>
    </row>
    <row r="7" spans="2:9">
      <c r="B7" s="159"/>
    </row>
    <row r="8" spans="2:9">
      <c r="B8" s="113" t="s">
        <v>896</v>
      </c>
      <c r="C8" s="99"/>
      <c r="D8" s="99"/>
      <c r="E8" s="99"/>
      <c r="F8" s="99"/>
      <c r="G8" s="99"/>
    </row>
    <row r="9" spans="2:9">
      <c r="B9" s="68"/>
    </row>
    <row r="10" spans="2:9">
      <c r="B10" s="76"/>
      <c r="C10" s="77" t="s">
        <v>1042</v>
      </c>
      <c r="D10" s="102"/>
      <c r="E10" s="77" t="s">
        <v>52</v>
      </c>
      <c r="G10" s="77" t="s">
        <v>886</v>
      </c>
    </row>
    <row r="11" spans="2:9">
      <c r="B11" s="76"/>
      <c r="C11" s="77" t="s">
        <v>770</v>
      </c>
      <c r="D11" s="103"/>
      <c r="E11" s="77" t="s">
        <v>770</v>
      </c>
      <c r="G11" s="77" t="s">
        <v>770</v>
      </c>
    </row>
    <row r="12" spans="2:9">
      <c r="B12" s="69"/>
      <c r="C12" s="70"/>
      <c r="E12" s="70"/>
      <c r="G12" s="70"/>
      <c r="I12" s="443"/>
    </row>
    <row r="13" spans="2:9">
      <c r="B13" s="69" t="s">
        <v>669</v>
      </c>
      <c r="C13" s="71">
        <f>'2.1 IS_cons'!E17</f>
        <v>-79780150.185798943</v>
      </c>
      <c r="D13" s="71"/>
      <c r="E13" s="315">
        <v>22113274.715390593</v>
      </c>
      <c r="F13" s="71"/>
      <c r="G13" s="71"/>
      <c r="I13" s="443"/>
    </row>
    <row r="14" spans="2:9" ht="6.75" customHeight="1">
      <c r="B14" s="69"/>
      <c r="C14" s="71"/>
      <c r="D14" s="71"/>
      <c r="E14" s="71"/>
      <c r="F14" s="71"/>
      <c r="G14" s="71"/>
    </row>
    <row r="15" spans="2:9">
      <c r="B15" s="72" t="s">
        <v>675</v>
      </c>
      <c r="C15" s="71"/>
      <c r="D15" s="71"/>
      <c r="E15" s="71"/>
      <c r="F15" s="71"/>
      <c r="G15" s="71"/>
    </row>
    <row r="16" spans="2:9">
      <c r="B16" s="73" t="s">
        <v>672</v>
      </c>
      <c r="C16" s="110">
        <f>SUM(C17:C19)</f>
        <v>36553641.522708312</v>
      </c>
      <c r="D16" s="71"/>
      <c r="E16" s="71">
        <v>23365061.187048279</v>
      </c>
      <c r="F16" s="71"/>
      <c r="G16" s="71"/>
    </row>
    <row r="17" spans="2:9">
      <c r="B17" s="312" t="s">
        <v>670</v>
      </c>
      <c r="C17" s="313">
        <f>KS_TB!L2</f>
        <v>5050274.0706000002</v>
      </c>
      <c r="D17" s="313"/>
      <c r="E17" s="313">
        <v>4185104.1336999997</v>
      </c>
      <c r="F17" s="71"/>
      <c r="G17" s="71"/>
    </row>
    <row r="18" spans="2:9">
      <c r="B18" s="312" t="s">
        <v>671</v>
      </c>
      <c r="C18" s="313">
        <f>MK_TB!L2</f>
        <v>3425454.845999999</v>
      </c>
      <c r="D18" s="313"/>
      <c r="E18" s="313">
        <v>2953051.2056099996</v>
      </c>
      <c r="F18" s="71"/>
      <c r="G18" s="71"/>
    </row>
    <row r="19" spans="2:9">
      <c r="B19" s="312" t="s">
        <v>1005</v>
      </c>
      <c r="C19" s="313">
        <f>SUM(C20:C28)</f>
        <v>28077912.606108308</v>
      </c>
      <c r="D19" s="313"/>
      <c r="E19" s="313">
        <v>16226905.847738281</v>
      </c>
      <c r="F19" s="71"/>
      <c r="G19" s="71"/>
    </row>
    <row r="20" spans="2:9">
      <c r="B20" s="311" t="s">
        <v>673</v>
      </c>
      <c r="C20" s="427"/>
      <c r="D20" s="314"/>
      <c r="E20" s="427">
        <v>125752.0782</v>
      </c>
      <c r="F20" s="71"/>
      <c r="G20" s="71"/>
    </row>
    <row r="21" spans="2:9">
      <c r="B21" s="311" t="s">
        <v>674</v>
      </c>
      <c r="C21" s="427">
        <f>'ND TCH 2012'!G104</f>
        <v>1730184.1869000003</v>
      </c>
      <c r="D21" s="314"/>
      <c r="E21" s="427">
        <v>0</v>
      </c>
      <c r="F21" s="71"/>
      <c r="G21" s="71"/>
    </row>
    <row r="22" spans="2:9">
      <c r="B22" s="311" t="s">
        <v>880</v>
      </c>
      <c r="C22" s="427"/>
      <c r="D22" s="314"/>
      <c r="E22" s="427">
        <v>2085282</v>
      </c>
      <c r="F22" s="71"/>
      <c r="G22" s="71"/>
    </row>
    <row r="23" spans="2:9">
      <c r="B23" s="311" t="s">
        <v>879</v>
      </c>
      <c r="C23" s="427">
        <f>'ND TCH 2012'!G27+'ND TCH 2012'!G80</f>
        <v>5790000</v>
      </c>
      <c r="D23" s="314"/>
      <c r="E23" s="427">
        <v>1433519.96</v>
      </c>
      <c r="F23" s="71"/>
      <c r="G23" s="71"/>
    </row>
    <row r="24" spans="2:9">
      <c r="B24" s="311" t="s">
        <v>678</v>
      </c>
      <c r="C24" s="427">
        <f>'ND TCH 2012'!G113</f>
        <v>5934.1079</v>
      </c>
      <c r="D24" s="314"/>
      <c r="E24" s="427">
        <v>8297870</v>
      </c>
      <c r="F24" s="71"/>
      <c r="G24" s="71"/>
    </row>
    <row r="25" spans="2:9">
      <c r="B25" s="311" t="s">
        <v>889</v>
      </c>
      <c r="C25" s="427"/>
      <c r="D25" s="314"/>
      <c r="E25" s="427">
        <v>3125100.7585382825</v>
      </c>
      <c r="F25" s="71"/>
      <c r="G25" s="71"/>
      <c r="I25" s="431"/>
    </row>
    <row r="26" spans="2:9">
      <c r="B26" s="311" t="s">
        <v>153</v>
      </c>
      <c r="C26" s="427">
        <f>'ND TCH 2012'!G20+'ND TCH 2012'!G90+'ND TCH 2012'!G136+'ND TCH 2012'!G190-'ND TCH 2012'!G80-'ND TCH 2012'!G27</f>
        <v>20551794.311308306</v>
      </c>
      <c r="D26" s="314"/>
      <c r="E26" s="427">
        <v>8888823.050999999</v>
      </c>
      <c r="F26" s="71"/>
      <c r="G26" s="71"/>
      <c r="I26" s="431"/>
    </row>
    <row r="27" spans="2:9">
      <c r="B27" s="311" t="s">
        <v>894</v>
      </c>
      <c r="C27" s="427"/>
      <c r="D27" s="314"/>
      <c r="E27" s="427">
        <v>0</v>
      </c>
      <c r="F27" s="71"/>
      <c r="G27" s="71"/>
      <c r="I27" s="431"/>
    </row>
    <row r="28" spans="2:9">
      <c r="B28" s="311" t="s">
        <v>575</v>
      </c>
      <c r="C28" s="427">
        <f>'II-Shenimet'!C279</f>
        <v>0</v>
      </c>
      <c r="D28" s="314"/>
      <c r="E28" s="427">
        <v>-7729442</v>
      </c>
      <c r="F28" s="71"/>
      <c r="G28" s="71"/>
      <c r="I28" s="431"/>
    </row>
    <row r="29" spans="2:9">
      <c r="B29" s="69"/>
      <c r="C29" s="71"/>
      <c r="D29" s="71"/>
      <c r="E29" s="71"/>
      <c r="F29" s="71"/>
      <c r="G29" s="71"/>
    </row>
    <row r="30" spans="2:9" ht="13.5" thickBot="1">
      <c r="B30" s="73" t="s">
        <v>676</v>
      </c>
      <c r="C30" s="109">
        <f>SUM(C13:C16)</f>
        <v>-43226508.663090631</v>
      </c>
      <c r="D30" s="110"/>
      <c r="E30" s="109">
        <v>45478335.902438872</v>
      </c>
      <c r="F30" s="71"/>
      <c r="G30" s="109">
        <f>SUM(G13:G29)</f>
        <v>0</v>
      </c>
      <c r="I30" s="435"/>
    </row>
    <row r="31" spans="2:9" ht="13.5" thickTop="1">
      <c r="B31" s="74"/>
      <c r="C31" s="111"/>
      <c r="D31" s="71"/>
      <c r="E31" s="71"/>
      <c r="F31" s="71"/>
      <c r="G31" s="71"/>
    </row>
    <row r="32" spans="2:9" ht="13.5" thickBot="1">
      <c r="B32" s="75" t="s">
        <v>578</v>
      </c>
      <c r="C32" s="167"/>
      <c r="D32" s="110"/>
      <c r="E32" s="167">
        <v>-4547833.5902438872</v>
      </c>
      <c r="F32" s="71"/>
      <c r="G32" s="109"/>
    </row>
    <row r="33" spans="2:7" ht="13.5" thickTop="1"/>
    <row r="34" spans="2:7">
      <c r="B34" s="316" t="s">
        <v>677</v>
      </c>
      <c r="C34" s="110">
        <f>C13+C32</f>
        <v>-79780150.185798943</v>
      </c>
      <c r="D34" s="110"/>
      <c r="E34" s="110">
        <v>17565441.125146706</v>
      </c>
    </row>
    <row r="35" spans="2:7">
      <c r="C35" s="71"/>
      <c r="D35" s="71" t="e">
        <f>+#REF!</f>
        <v>#REF!</v>
      </c>
      <c r="E35" s="71"/>
      <c r="G35" s="71"/>
    </row>
    <row r="36" spans="2:7" ht="13.5" thickBot="1">
      <c r="B36" s="428"/>
      <c r="C36" s="429"/>
      <c r="D36" s="429"/>
      <c r="E36" s="429"/>
      <c r="G36" s="71"/>
    </row>
    <row r="37" spans="2:7" ht="13.5" thickTop="1">
      <c r="C37" s="111"/>
      <c r="E37" s="101"/>
      <c r="G37" s="101"/>
    </row>
    <row r="38" spans="2:7">
      <c r="C38" s="111"/>
      <c r="E38" s="71"/>
    </row>
    <row r="39" spans="2:7">
      <c r="B39" s="67" t="s">
        <v>887</v>
      </c>
      <c r="C39" s="165">
        <v>6840493.4097561128</v>
      </c>
    </row>
    <row r="40" spans="2:7">
      <c r="B40" s="67" t="s">
        <v>1344</v>
      </c>
      <c r="C40" s="165">
        <v>1570806</v>
      </c>
      <c r="E40" s="71"/>
    </row>
    <row r="41" spans="2:7">
      <c r="B41" s="67" t="s">
        <v>888</v>
      </c>
      <c r="C41" s="430">
        <f>C39+C40</f>
        <v>8411299.4097561128</v>
      </c>
    </row>
    <row r="42" spans="2:7">
      <c r="B42" s="316" t="s">
        <v>1345</v>
      </c>
      <c r="C42" s="438">
        <f>C32</f>
        <v>0</v>
      </c>
    </row>
    <row r="43" spans="2:7" ht="13.5" thickBot="1">
      <c r="B43" s="67" t="s">
        <v>890</v>
      </c>
      <c r="C43" s="432">
        <f>C41+C42</f>
        <v>8411299.4097561128</v>
      </c>
    </row>
    <row r="46" spans="2:7">
      <c r="C46" s="431">
        <f>C43-'II-Shenimet'!C82</f>
        <v>0.40975611284375191</v>
      </c>
    </row>
  </sheetData>
  <phoneticPr fontId="68" type="noConversion"/>
  <hyperlinks>
    <hyperlink ref="I2" location="INDEX!A1" display="Index"/>
  </hyperlinks>
  <printOptions horizontalCentered="1"/>
  <pageMargins left="0.74803149606299213" right="0.74803149606299213" top="0.98425196850393704" bottom="0.98425196850393704" header="0.51181102362204722" footer="0.51181102362204722"/>
  <pageSetup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tabColor rgb="FF00B050"/>
    <pageSetUpPr fitToPage="1"/>
  </sheetPr>
  <dimension ref="B1:AA283"/>
  <sheetViews>
    <sheetView view="pageBreakPreview" topLeftCell="A37" zoomScale="90" zoomScaleSheetLayoutView="90" zoomScalePageLayoutView="85" workbookViewId="0">
      <selection activeCell="I265" sqref="I265"/>
    </sheetView>
  </sheetViews>
  <sheetFormatPr defaultColWidth="16.28515625" defaultRowHeight="15" outlineLevelCol="1"/>
  <cols>
    <col min="1" max="1" width="4.28515625" style="353" customWidth="1"/>
    <col min="2" max="2" width="35.85546875" style="353" customWidth="1"/>
    <col min="3" max="3" width="15.5703125" style="353" customWidth="1"/>
    <col min="4" max="4" width="0.85546875" style="353" customWidth="1"/>
    <col min="5" max="5" width="16.5703125" style="353" customWidth="1"/>
    <col min="6" max="6" width="1.140625" style="353" customWidth="1"/>
    <col min="7" max="7" width="15.5703125" style="353" hidden="1" customWidth="1" outlineLevel="1"/>
    <col min="8" max="8" width="14.28515625" style="353" bestFit="1" customWidth="1" collapsed="1"/>
    <col min="9" max="9" width="9.5703125" style="354" customWidth="1"/>
    <col min="10" max="10" width="43.7109375" style="353" customWidth="1"/>
    <col min="11" max="11" width="16.7109375" style="353" customWidth="1"/>
    <col min="12" max="12" width="16.28515625" style="353" customWidth="1"/>
    <col min="13" max="13" width="16.85546875" style="353" customWidth="1"/>
    <col min="14" max="14" width="16" style="353" bestFit="1" customWidth="1"/>
    <col min="15" max="15" width="9.140625" style="353" customWidth="1"/>
    <col min="16" max="16" width="11.7109375" style="353" bestFit="1" customWidth="1"/>
    <col min="17" max="17" width="13.28515625" style="353" bestFit="1" customWidth="1"/>
    <col min="18" max="235" width="9.140625" style="353" customWidth="1"/>
    <col min="236" max="236" width="35.85546875" style="353" customWidth="1"/>
    <col min="237" max="237" width="15.5703125" style="353" customWidth="1"/>
    <col min="238" max="238" width="0.85546875" style="353" customWidth="1"/>
    <col min="239" max="239" width="15.5703125" style="353" customWidth="1"/>
    <col min="240" max="240" width="14.140625" style="353" bestFit="1" customWidth="1"/>
    <col min="241" max="241" width="11.85546875" style="353" customWidth="1"/>
    <col min="242" max="242" width="6.140625" style="353" bestFit="1" customWidth="1"/>
    <col min="243" max="243" width="10.5703125" style="353" bestFit="1" customWidth="1"/>
    <col min="244" max="244" width="43.7109375" style="353" customWidth="1"/>
    <col min="245" max="245" width="16.5703125" style="353" bestFit="1" customWidth="1"/>
    <col min="246" max="16384" width="16.28515625" style="353"/>
  </cols>
  <sheetData>
    <row r="1" spans="2:8">
      <c r="B1" s="367"/>
      <c r="C1" s="368"/>
    </row>
    <row r="2" spans="2:8">
      <c r="B2" s="369" t="s">
        <v>144</v>
      </c>
      <c r="C2" s="368"/>
    </row>
    <row r="3" spans="2:8" ht="4.5" customHeight="1">
      <c r="B3" s="370"/>
      <c r="C3" s="370"/>
      <c r="D3" s="370"/>
      <c r="E3" s="370"/>
      <c r="F3" s="370"/>
      <c r="G3" s="370"/>
      <c r="H3" s="370"/>
    </row>
    <row r="4" spans="2:8">
      <c r="B4" s="371"/>
    </row>
    <row r="5" spans="2:8">
      <c r="B5" s="372" t="s">
        <v>768</v>
      </c>
      <c r="C5" s="373"/>
      <c r="D5" s="373"/>
      <c r="E5" s="373"/>
      <c r="F5" s="373"/>
      <c r="G5" s="373"/>
      <c r="H5" s="373"/>
    </row>
    <row r="6" spans="2:8">
      <c r="B6" s="374"/>
    </row>
    <row r="7" spans="2:8">
      <c r="B7" s="374"/>
    </row>
    <row r="8" spans="2:8">
      <c r="B8" s="372" t="s">
        <v>771</v>
      </c>
      <c r="C8" s="373"/>
      <c r="D8" s="373"/>
      <c r="E8" s="373"/>
      <c r="F8" s="373"/>
      <c r="G8" s="373"/>
      <c r="H8" s="373"/>
    </row>
    <row r="9" spans="2:8" ht="15.75" thickBot="1">
      <c r="B9" s="350"/>
      <c r="C9" s="375" t="s">
        <v>780</v>
      </c>
      <c r="E9" s="375" t="s">
        <v>24</v>
      </c>
    </row>
    <row r="10" spans="2:8" ht="15.75" thickTop="1">
      <c r="B10" s="350" t="s">
        <v>775</v>
      </c>
      <c r="C10" s="393"/>
      <c r="D10" s="95"/>
      <c r="E10" s="160"/>
    </row>
    <row r="11" spans="2:8">
      <c r="B11" s="353" t="s">
        <v>774</v>
      </c>
      <c r="C11" s="393">
        <v>48782</v>
      </c>
      <c r="D11" s="574"/>
      <c r="E11" s="575">
        <f>C11</f>
        <v>48782</v>
      </c>
      <c r="F11" s="378"/>
      <c r="G11" s="378"/>
    </row>
    <row r="12" spans="2:8">
      <c r="B12" s="353" t="s">
        <v>772</v>
      </c>
      <c r="C12" s="393"/>
      <c r="D12" s="95"/>
      <c r="E12" s="575">
        <f t="shared" ref="E12:E22" si="0">C12</f>
        <v>0</v>
      </c>
      <c r="F12" s="379"/>
      <c r="G12" s="379"/>
    </row>
    <row r="13" spans="2:8">
      <c r="B13" s="353" t="s">
        <v>773</v>
      </c>
      <c r="C13" s="576">
        <v>0</v>
      </c>
      <c r="D13" s="95"/>
      <c r="E13" s="575">
        <f t="shared" si="0"/>
        <v>0</v>
      </c>
      <c r="F13" s="96"/>
      <c r="G13" s="96"/>
    </row>
    <row r="14" spans="2:8">
      <c r="B14" s="353" t="s">
        <v>1039</v>
      </c>
      <c r="C14" s="577">
        <f>C11+C12-C13</f>
        <v>48782</v>
      </c>
      <c r="D14" s="578"/>
      <c r="E14" s="575">
        <f t="shared" si="0"/>
        <v>48782</v>
      </c>
      <c r="F14" s="362"/>
      <c r="G14" s="362"/>
    </row>
    <row r="15" spans="2:8">
      <c r="B15" s="350" t="s">
        <v>776</v>
      </c>
      <c r="C15" s="577"/>
      <c r="D15" s="578"/>
      <c r="E15" s="575">
        <f t="shared" si="0"/>
        <v>0</v>
      </c>
      <c r="F15" s="362"/>
      <c r="G15" s="362"/>
    </row>
    <row r="16" spans="2:8">
      <c r="B16" s="353" t="s">
        <v>774</v>
      </c>
      <c r="C16" s="577">
        <v>1220</v>
      </c>
      <c r="D16" s="578"/>
      <c r="E16" s="575">
        <f t="shared" si="0"/>
        <v>1220</v>
      </c>
      <c r="F16" s="362"/>
      <c r="G16" s="362"/>
    </row>
    <row r="17" spans="2:14">
      <c r="B17" s="353" t="s">
        <v>777</v>
      </c>
      <c r="C17" s="577">
        <v>7134</v>
      </c>
      <c r="D17" s="578"/>
      <c r="E17" s="575">
        <f t="shared" si="0"/>
        <v>7134</v>
      </c>
      <c r="F17" s="362"/>
      <c r="G17" s="362"/>
      <c r="J17" s="356"/>
    </row>
    <row r="18" spans="2:14" ht="15.75" thickBot="1">
      <c r="B18" s="353" t="s">
        <v>778</v>
      </c>
      <c r="C18" s="393">
        <v>0</v>
      </c>
      <c r="D18" s="95"/>
      <c r="E18" s="575">
        <f t="shared" si="0"/>
        <v>0</v>
      </c>
      <c r="F18" s="380"/>
      <c r="G18" s="381"/>
    </row>
    <row r="19" spans="2:14" ht="15.75" thickTop="1">
      <c r="B19" s="353" t="s">
        <v>1039</v>
      </c>
      <c r="C19" s="393">
        <f>C16+C17-C18</f>
        <v>8354</v>
      </c>
      <c r="D19" s="95"/>
      <c r="E19" s="575">
        <f t="shared" si="0"/>
        <v>8354</v>
      </c>
    </row>
    <row r="20" spans="2:14">
      <c r="C20" s="393"/>
      <c r="D20" s="95"/>
      <c r="E20" s="575">
        <f t="shared" si="0"/>
        <v>0</v>
      </c>
    </row>
    <row r="21" spans="2:14">
      <c r="B21" s="350" t="s">
        <v>779</v>
      </c>
      <c r="C21" s="575">
        <f>C11-C16</f>
        <v>47562</v>
      </c>
      <c r="D21" s="160"/>
      <c r="E21" s="575">
        <f t="shared" si="0"/>
        <v>47562</v>
      </c>
      <c r="F21" s="350"/>
      <c r="G21" s="350"/>
      <c r="H21" s="350"/>
    </row>
    <row r="22" spans="2:14" ht="15.75" thickBot="1">
      <c r="B22" s="350" t="s">
        <v>1049</v>
      </c>
      <c r="C22" s="579">
        <f>C14-C19</f>
        <v>40428</v>
      </c>
      <c r="D22" s="160"/>
      <c r="E22" s="579">
        <f t="shared" si="0"/>
        <v>40428</v>
      </c>
      <c r="F22" s="350"/>
      <c r="G22" s="350"/>
      <c r="H22" s="350"/>
    </row>
    <row r="23" spans="2:14" ht="15.75" thickTop="1">
      <c r="B23" s="374"/>
      <c r="C23" s="95"/>
      <c r="D23" s="95"/>
      <c r="E23" s="95"/>
    </row>
    <row r="24" spans="2:14">
      <c r="B24" s="372" t="s">
        <v>804</v>
      </c>
      <c r="C24" s="373"/>
      <c r="D24" s="373"/>
      <c r="E24" s="373"/>
      <c r="F24" s="373"/>
      <c r="G24" s="373"/>
      <c r="H24" s="373"/>
    </row>
    <row r="25" spans="2:14">
      <c r="B25" s="374"/>
      <c r="C25" s="95"/>
      <c r="D25" s="95"/>
      <c r="E25" s="95"/>
    </row>
    <row r="26" spans="2:14">
      <c r="C26" s="580" t="str">
        <f>+C44</f>
        <v>2012</v>
      </c>
      <c r="D26" s="574"/>
      <c r="E26" s="580" t="str">
        <f>+E44</f>
        <v>2011</v>
      </c>
      <c r="F26" s="378"/>
      <c r="G26" s="378"/>
      <c r="H26" s="94"/>
    </row>
    <row r="27" spans="2:14" ht="15.75" thickBot="1">
      <c r="C27" s="581" t="s">
        <v>770</v>
      </c>
      <c r="D27" s="95"/>
      <c r="E27" s="581" t="s">
        <v>770</v>
      </c>
      <c r="F27" s="379"/>
      <c r="G27" s="379"/>
      <c r="H27" s="94"/>
    </row>
    <row r="28" spans="2:14" ht="15.75" thickTop="1">
      <c r="C28" s="582"/>
      <c r="D28" s="95"/>
      <c r="E28" s="582"/>
      <c r="F28" s="96"/>
      <c r="G28" s="96"/>
      <c r="H28" s="94"/>
      <c r="I28" s="354" t="s">
        <v>4</v>
      </c>
      <c r="J28" s="95" t="s">
        <v>5</v>
      </c>
      <c r="K28" s="81" t="s">
        <v>681</v>
      </c>
      <c r="L28" s="82" t="s">
        <v>143</v>
      </c>
      <c r="M28" s="82" t="s">
        <v>155</v>
      </c>
      <c r="N28" s="83" t="s">
        <v>24</v>
      </c>
    </row>
    <row r="29" spans="2:14">
      <c r="B29" s="353" t="s">
        <v>805</v>
      </c>
      <c r="C29" s="394">
        <f>N29</f>
        <v>9439936</v>
      </c>
      <c r="D29" s="394"/>
      <c r="E29" s="393">
        <v>4933700</v>
      </c>
      <c r="F29" s="362"/>
      <c r="G29" s="362"/>
      <c r="H29" s="94"/>
      <c r="I29" s="357">
        <v>2178</v>
      </c>
      <c r="J29" s="160" t="str">
        <f>B29</f>
        <v>Hua e dhene paleve te treta</v>
      </c>
      <c r="K29" s="551">
        <f>SUMIF(AL_TB!$L:$L,I29,AL_TB!$K:$K)+3</f>
        <v>9439936</v>
      </c>
      <c r="L29" s="86">
        <f>SUMIF(KS_TB!$N:$N,I29,KS_TB!$M:$M)</f>
        <v>0</v>
      </c>
      <c r="M29" s="86">
        <f>SUMIF(MK_TB!$N:$N,I29,MK_TB!$M:$M)</f>
        <v>0</v>
      </c>
      <c r="N29" s="87">
        <f>SUM(K29:M29)</f>
        <v>9439936</v>
      </c>
    </row>
    <row r="30" spans="2:14" ht="11.25" customHeight="1" thickBot="1">
      <c r="C30" s="394"/>
      <c r="D30" s="394"/>
      <c r="E30" s="394"/>
      <c r="F30" s="362"/>
      <c r="G30" s="362"/>
      <c r="H30" s="94"/>
      <c r="J30" s="95"/>
      <c r="K30" s="88"/>
      <c r="L30" s="89"/>
      <c r="M30" s="89"/>
      <c r="N30" s="90"/>
    </row>
    <row r="31" spans="2:14" ht="16.5" thickTop="1" thickBot="1">
      <c r="C31" s="381">
        <f>IF(ABS(SUM(C29:C29)-'1.1 BS_cons'!E10)&lt;1,SUM(C29:C29),"Error")</f>
        <v>9439936</v>
      </c>
      <c r="D31" s="583"/>
      <c r="E31" s="381">
        <f>IF(ABS(SUM(E29:E29)-'1.1 BS_cons'!F10)&lt;1,SUM(E29:E29),"Error")</f>
        <v>4933700</v>
      </c>
      <c r="F31" s="380"/>
      <c r="G31" s="381"/>
      <c r="H31" s="94"/>
      <c r="J31" s="161" t="s">
        <v>25</v>
      </c>
      <c r="K31" s="91">
        <f>SUM(K29:K29)</f>
        <v>9439936</v>
      </c>
      <c r="L31" s="92">
        <f>SUM(L29:L29)</f>
        <v>0</v>
      </c>
      <c r="M31" s="92">
        <f>SUM(M29:M29)</f>
        <v>0</v>
      </c>
      <c r="N31" s="93">
        <f>SUM(K31:M31)/1000</f>
        <v>9439.9359999999997</v>
      </c>
    </row>
    <row r="32" spans="2:14" ht="15.75" thickTop="1">
      <c r="C32" s="380"/>
      <c r="D32" s="583"/>
      <c r="E32" s="380"/>
      <c r="F32" s="380"/>
      <c r="G32" s="380"/>
      <c r="H32" s="94"/>
      <c r="J32" s="161"/>
      <c r="K32" s="351"/>
      <c r="L32" s="351"/>
      <c r="M32" s="351"/>
      <c r="N32" s="352"/>
    </row>
    <row r="33" spans="2:14">
      <c r="B33" s="372" t="s">
        <v>806</v>
      </c>
      <c r="C33" s="373"/>
      <c r="D33" s="373"/>
      <c r="E33" s="373"/>
      <c r="F33" s="373"/>
      <c r="G33" s="373"/>
      <c r="H33" s="373"/>
      <c r="J33" s="95"/>
    </row>
    <row r="34" spans="2:14">
      <c r="B34" s="350"/>
      <c r="C34" s="95"/>
      <c r="D34" s="95"/>
      <c r="E34" s="95"/>
      <c r="I34" s="80"/>
      <c r="J34" s="95"/>
    </row>
    <row r="35" spans="2:14">
      <c r="C35" s="584" t="s">
        <v>1038</v>
      </c>
      <c r="D35" s="574"/>
      <c r="E35" s="584" t="s">
        <v>769</v>
      </c>
      <c r="F35" s="378"/>
      <c r="G35" s="378"/>
      <c r="I35" s="80"/>
      <c r="J35" s="95"/>
    </row>
    <row r="36" spans="2:14" ht="15.75" thickBot="1">
      <c r="C36" s="581" t="s">
        <v>770</v>
      </c>
      <c r="D36" s="95"/>
      <c r="E36" s="581" t="s">
        <v>770</v>
      </c>
      <c r="F36" s="379"/>
      <c r="G36" s="379"/>
      <c r="J36" s="95"/>
    </row>
    <row r="37" spans="2:14" ht="15.75" thickTop="1">
      <c r="B37" s="353" t="s">
        <v>1373</v>
      </c>
      <c r="C37" s="582"/>
      <c r="D37" s="95"/>
      <c r="E37" s="582"/>
      <c r="F37" s="96"/>
      <c r="G37" s="96"/>
      <c r="I37" s="354" t="s">
        <v>4</v>
      </c>
      <c r="J37" s="95" t="s">
        <v>5</v>
      </c>
      <c r="K37" s="81" t="s">
        <v>681</v>
      </c>
      <c r="L37" s="82" t="s">
        <v>143</v>
      </c>
      <c r="M37" s="82" t="s">
        <v>155</v>
      </c>
      <c r="N37" s="83" t="s">
        <v>24</v>
      </c>
    </row>
    <row r="38" spans="2:14" ht="15.75" thickBot="1">
      <c r="B38" s="353" t="s">
        <v>145</v>
      </c>
      <c r="C38" s="578">
        <f>N38</f>
        <v>1909981.3449999997</v>
      </c>
      <c r="D38" s="578"/>
      <c r="E38" s="578">
        <f>'1.1 BS_cons'!F13</f>
        <v>1029177</v>
      </c>
      <c r="F38" s="362"/>
      <c r="G38" s="362"/>
      <c r="I38" s="357">
        <v>2032</v>
      </c>
      <c r="J38" s="160" t="str">
        <f>B38</f>
        <v>Mallra</v>
      </c>
      <c r="K38" s="551">
        <f>SUMIF(AL_TB!$L:$L,I38,AL_TB!$K:$K)</f>
        <v>1909981.3449999997</v>
      </c>
      <c r="L38" s="86">
        <f>SUMIF(KS_TB!$N:$N,I38,KS_TB!$M:$M)</f>
        <v>0</v>
      </c>
      <c r="M38" s="86">
        <f>SUMIF(MK_TB!$N:$N,I38,MK_TB!$M:$M)</f>
        <v>0</v>
      </c>
      <c r="N38" s="87">
        <f>SUM(K38:M38)</f>
        <v>1909981.3449999997</v>
      </c>
    </row>
    <row r="39" spans="2:14" ht="16.5" thickTop="1" thickBot="1">
      <c r="C39" s="585">
        <f>IF(ABS(SUM(C38:C38)-'1.1 BS_cons'!E13)&lt;1,SUM(C38:C38),"Error")</f>
        <v>1909981.3449999997</v>
      </c>
      <c r="D39" s="586"/>
      <c r="E39" s="385">
        <f>IF(ABS(SUM(E38:E38)-'1.1 BS_cons'!F13)&lt;1,SUM(E38:E38),"Error")</f>
        <v>1029177</v>
      </c>
      <c r="F39" s="380"/>
      <c r="G39" s="381"/>
      <c r="J39" s="161" t="s">
        <v>25</v>
      </c>
      <c r="K39" s="91">
        <f>SUM(K38:K38)</f>
        <v>1909981.3449999997</v>
      </c>
      <c r="L39" s="92">
        <f>SUM(L38:L38)</f>
        <v>0</v>
      </c>
      <c r="M39" s="92">
        <f>SUM(M38:M38)</f>
        <v>0</v>
      </c>
      <c r="N39" s="93">
        <f>SUM(K39:M39)</f>
        <v>1909981.3449999997</v>
      </c>
    </row>
    <row r="40" spans="2:14" ht="15.75" thickTop="1">
      <c r="B40" s="364"/>
      <c r="C40" s="386"/>
      <c r="D40" s="387"/>
      <c r="E40" s="386"/>
      <c r="F40" s="94"/>
      <c r="G40" s="94"/>
      <c r="J40" s="95"/>
    </row>
    <row r="41" spans="2:14">
      <c r="C41" s="358"/>
      <c r="D41" s="358"/>
      <c r="E41" s="358"/>
      <c r="J41" s="95"/>
      <c r="K41" s="359"/>
      <c r="L41" s="359"/>
      <c r="M41" s="359"/>
      <c r="N41" s="359"/>
    </row>
    <row r="42" spans="2:14">
      <c r="B42" s="372" t="s">
        <v>817</v>
      </c>
      <c r="C42" s="373"/>
      <c r="D42" s="373"/>
      <c r="E42" s="373"/>
      <c r="F42" s="373"/>
      <c r="G42" s="373"/>
      <c r="H42" s="373"/>
    </row>
    <row r="44" spans="2:14">
      <c r="C44" s="378" t="str">
        <f>+C35</f>
        <v>2012</v>
      </c>
      <c r="D44" s="376"/>
      <c r="E44" s="378" t="str">
        <f>+E35</f>
        <v>2011</v>
      </c>
      <c r="F44" s="378"/>
      <c r="G44" s="378"/>
    </row>
    <row r="45" spans="2:14" ht="15.75" thickBot="1">
      <c r="C45" s="379" t="s">
        <v>27</v>
      </c>
      <c r="E45" s="379" t="s">
        <v>27</v>
      </c>
      <c r="F45" s="379"/>
      <c r="G45" s="379"/>
    </row>
    <row r="46" spans="2:14" ht="15.75" thickTop="1">
      <c r="C46" s="96"/>
      <c r="E46" s="96"/>
      <c r="F46" s="96"/>
      <c r="G46" s="96"/>
      <c r="I46" s="354" t="s">
        <v>4</v>
      </c>
      <c r="J46" s="353" t="s">
        <v>5</v>
      </c>
      <c r="K46" s="81" t="s">
        <v>681</v>
      </c>
      <c r="L46" s="82" t="s">
        <v>143</v>
      </c>
      <c r="M46" s="82" t="s">
        <v>155</v>
      </c>
      <c r="N46" s="83" t="s">
        <v>24</v>
      </c>
    </row>
    <row r="47" spans="2:14">
      <c r="B47" s="353" t="s">
        <v>146</v>
      </c>
      <c r="C47" s="587">
        <f>SUM(C48:C49)</f>
        <v>9101399.0879000481</v>
      </c>
      <c r="D47" s="394"/>
      <c r="E47" s="587">
        <f>SUM(E48:E49)</f>
        <v>5649169</v>
      </c>
      <c r="F47" s="362"/>
      <c r="G47" s="388"/>
      <c r="J47" s="160" t="str">
        <f>B47</f>
        <v>Mjete monetare ne banke</v>
      </c>
      <c r="K47" s="85"/>
      <c r="L47" s="86"/>
      <c r="M47" s="86"/>
      <c r="N47" s="87"/>
    </row>
    <row r="48" spans="2:14">
      <c r="B48" s="389" t="s">
        <v>147</v>
      </c>
      <c r="C48" s="394">
        <f>N48</f>
        <v>9101399.0879000481</v>
      </c>
      <c r="D48" s="394"/>
      <c r="E48" s="394">
        <v>5649169</v>
      </c>
      <c r="F48" s="362"/>
      <c r="G48" s="390"/>
      <c r="I48" s="357">
        <v>2239</v>
      </c>
      <c r="J48" s="160" t="str">
        <f>B48</f>
        <v>Llogari rrjedhese</v>
      </c>
      <c r="K48" s="551">
        <f>SUMIF(AL_TB!$L:$L,I48,AL_TB!$K:$K)</f>
        <v>6675220.195400048</v>
      </c>
      <c r="L48" s="552">
        <f>SUMIF(KS_TB!$N:$N,I48,KS_TB!$M:$M)</f>
        <v>300235.75560000003</v>
      </c>
      <c r="M48" s="552">
        <f>SUMIF(MK_TB!$N:$N,I48,MK_TB!$M:$M)</f>
        <v>2125943.1368999998</v>
      </c>
      <c r="N48" s="87">
        <f>SUM(K48:M48)</f>
        <v>9101399.0879000481</v>
      </c>
    </row>
    <row r="49" spans="2:14">
      <c r="B49" s="389" t="s">
        <v>148</v>
      </c>
      <c r="C49" s="393">
        <f>N49</f>
        <v>0</v>
      </c>
      <c r="D49" s="394"/>
      <c r="E49" s="394"/>
      <c r="F49" s="362"/>
      <c r="G49" s="362"/>
      <c r="I49" s="357"/>
      <c r="J49" s="160" t="str">
        <f>B49</f>
        <v>Depozita me afat</v>
      </c>
      <c r="K49" s="85">
        <f>SUMIF(AL_TB!$L:$L,I49,AL_TB!$K:$K)</f>
        <v>0</v>
      </c>
      <c r="L49" s="86">
        <f>SUMIF(KS_TB!$N:$N,I49,KS_TB!$M:$M)</f>
        <v>0</v>
      </c>
      <c r="M49" s="86">
        <f>SUMIF(MK_TB!$N:$N,I49,MK_TB!$M:$M)</f>
        <v>0</v>
      </c>
      <c r="N49" s="87">
        <f>SUM(K49:M49)/1000</f>
        <v>0</v>
      </c>
    </row>
    <row r="50" spans="2:14">
      <c r="B50" s="353" t="s">
        <v>149</v>
      </c>
      <c r="C50" s="587">
        <f>N50</f>
        <v>3286636.6195006496</v>
      </c>
      <c r="D50" s="394"/>
      <c r="E50" s="587">
        <v>990199</v>
      </c>
      <c r="F50" s="362"/>
      <c r="G50" s="388"/>
      <c r="I50" s="357">
        <v>2240</v>
      </c>
      <c r="J50" s="160" t="str">
        <f>B50</f>
        <v>Mjete monetare ne arke</v>
      </c>
      <c r="K50" s="551">
        <f>SUMIF(AL_TB!$L:$L,I50,AL_TB!$K:$K)</f>
        <v>3169170.2386006499</v>
      </c>
      <c r="L50" s="552">
        <f>SUMIF(KS_TB!$N:$N,I50,KS_TB!$M:$M)</f>
        <v>3710.3021999999996</v>
      </c>
      <c r="M50" s="552">
        <f>SUMIF(MK_TB!$N:$N,I50,MK_TB!$M:$M)</f>
        <v>113756.0787</v>
      </c>
      <c r="N50" s="87">
        <f>SUM(K50:M50)</f>
        <v>3286636.6195006496</v>
      </c>
    </row>
    <row r="51" spans="2:14" ht="15.75" thickBot="1">
      <c r="B51" s="384"/>
      <c r="C51" s="394"/>
      <c r="D51" s="394"/>
      <c r="E51" s="394"/>
      <c r="F51" s="362"/>
      <c r="G51" s="362"/>
      <c r="J51" s="95"/>
      <c r="K51" s="88"/>
      <c r="L51" s="89"/>
      <c r="M51" s="89"/>
      <c r="N51" s="90"/>
    </row>
    <row r="52" spans="2:14" ht="16.5" thickTop="1" thickBot="1">
      <c r="C52" s="381">
        <f>IF(ABS((C47+C50)-'1.1 BS_cons'!E17)&lt;1,(C47+C50),"Error")</f>
        <v>12388035.707400698</v>
      </c>
      <c r="D52" s="394"/>
      <c r="E52" s="381">
        <f>IF(ABS((E47+E50)-'1.1 BS_cons'!F17)&lt;1,(E47+E50),"Error")</f>
        <v>6639368</v>
      </c>
      <c r="F52" s="380"/>
      <c r="G52" s="381"/>
      <c r="J52" s="161" t="s">
        <v>25</v>
      </c>
      <c r="K52" s="91">
        <f>SUM(K47:K51)</f>
        <v>9844390.434000697</v>
      </c>
      <c r="L52" s="91">
        <f>SUM(L47:L51)</f>
        <v>303946.05780000001</v>
      </c>
      <c r="M52" s="91">
        <f>SUM(M47:M51)</f>
        <v>2239699.2155999998</v>
      </c>
      <c r="N52" s="93">
        <f>SUM(K52:M52)</f>
        <v>12388035.707400698</v>
      </c>
    </row>
    <row r="53" spans="2:14" ht="15.75" thickTop="1">
      <c r="J53" s="95"/>
    </row>
    <row r="54" spans="2:14">
      <c r="J54" s="95"/>
    </row>
    <row r="55" spans="2:14">
      <c r="B55" s="372" t="s">
        <v>811</v>
      </c>
      <c r="C55" s="373"/>
      <c r="D55" s="373"/>
      <c r="E55" s="373"/>
      <c r="F55" s="373"/>
      <c r="G55" s="373"/>
      <c r="H55" s="373"/>
      <c r="J55" s="95"/>
    </row>
    <row r="56" spans="2:14">
      <c r="B56" s="374"/>
      <c r="J56" s="95"/>
    </row>
    <row r="57" spans="2:14">
      <c r="C57" s="383" t="s">
        <v>1038</v>
      </c>
      <c r="D57" s="376"/>
      <c r="E57" s="383" t="s">
        <v>769</v>
      </c>
      <c r="F57" s="378"/>
      <c r="G57" s="378"/>
      <c r="H57" s="94"/>
      <c r="J57" s="95"/>
    </row>
    <row r="58" spans="2:14" ht="15.75" thickBot="1">
      <c r="C58" s="379" t="s">
        <v>770</v>
      </c>
      <c r="E58" s="379" t="s">
        <v>770</v>
      </c>
      <c r="F58" s="379"/>
      <c r="G58" s="379"/>
      <c r="H58" s="94"/>
      <c r="J58" s="95"/>
    </row>
    <row r="59" spans="2:14" ht="15.75" thickTop="1">
      <c r="C59" s="96"/>
      <c r="E59" s="96"/>
      <c r="F59" s="96"/>
      <c r="G59" s="96"/>
      <c r="H59" s="94"/>
      <c r="I59" s="354" t="s">
        <v>4</v>
      </c>
      <c r="J59" s="95" t="s">
        <v>5</v>
      </c>
      <c r="K59" s="81" t="s">
        <v>681</v>
      </c>
      <c r="L59" s="82" t="s">
        <v>143</v>
      </c>
      <c r="M59" s="82" t="s">
        <v>155</v>
      </c>
      <c r="N59" s="83" t="s">
        <v>24</v>
      </c>
    </row>
    <row r="60" spans="2:14">
      <c r="B60" s="353" t="s">
        <v>807</v>
      </c>
      <c r="C60" s="394">
        <f>N60</f>
        <v>521550339.69849998</v>
      </c>
      <c r="D60" s="394"/>
      <c r="E60" s="394">
        <v>577934222</v>
      </c>
      <c r="F60" s="362"/>
      <c r="G60" s="362"/>
      <c r="H60" s="94"/>
      <c r="I60" s="354">
        <v>2020</v>
      </c>
      <c r="J60" s="160" t="str">
        <f>B60</f>
        <v>Kliente</v>
      </c>
      <c r="K60" s="551">
        <f>SUMIF(AL_TB!$L:$L,I60,AL_TB!$K:$K)</f>
        <v>521550339.69849998</v>
      </c>
      <c r="L60" s="86">
        <f>SUMIF(KS_TB!$N:$N,I60,KS_TB!$M:$M)</f>
        <v>0</v>
      </c>
      <c r="M60" s="86">
        <f>SUMIF(MK_TB!$N:$N,I60,MK_TB!$M:$M)</f>
        <v>0</v>
      </c>
      <c r="N60" s="87">
        <f>SUM(K60:M60)</f>
        <v>521550339.69849998</v>
      </c>
    </row>
    <row r="61" spans="2:14">
      <c r="B61" s="353" t="s">
        <v>810</v>
      </c>
      <c r="C61" s="394">
        <f>N61</f>
        <v>-14444786.460000001</v>
      </c>
      <c r="D61" s="394"/>
      <c r="E61" s="394">
        <f>-14444786</f>
        <v>-14444786</v>
      </c>
      <c r="F61" s="362"/>
      <c r="G61" s="362"/>
      <c r="H61" s="94"/>
      <c r="I61" s="354">
        <v>2021</v>
      </c>
      <c r="J61" s="160" t="str">
        <f>B61</f>
        <v>Zhvleresim i llogarive te arketueshme</v>
      </c>
      <c r="K61" s="551">
        <f>SUMIF(AL_TB!$L:$L,I61,AL_TB!$K:$K)</f>
        <v>-14444786.460000001</v>
      </c>
      <c r="L61" s="86">
        <f>SUMIF(KS_TB!$N:$N,I61,KS_TB!$M:$M)</f>
        <v>0</v>
      </c>
      <c r="M61" s="86">
        <f>SUMIF(MK_TB!$N:$N,I61,MK_TB!$M:$M)</f>
        <v>0</v>
      </c>
      <c r="N61" s="87">
        <f>SUM(K61:M61)</f>
        <v>-14444786.460000001</v>
      </c>
    </row>
    <row r="62" spans="2:14" ht="11.25" customHeight="1" thickBot="1">
      <c r="C62" s="362"/>
      <c r="D62" s="362"/>
      <c r="E62" s="362"/>
      <c r="F62" s="362"/>
      <c r="G62" s="362"/>
      <c r="H62" s="94"/>
      <c r="J62" s="95"/>
      <c r="K62" s="88"/>
      <c r="L62" s="89"/>
      <c r="M62" s="89"/>
      <c r="N62" s="90"/>
    </row>
    <row r="63" spans="2:14" ht="22.5" customHeight="1" thickTop="1" thickBot="1">
      <c r="C63" s="381">
        <f>IF(ABS(SUM(C60:C61)-'1.1 BS_cons'!E14)&lt;1,SUM(C60:C61),"Error")</f>
        <v>507105553.2385</v>
      </c>
      <c r="D63" s="381" t="str">
        <f>IF(ABS(SUM(D60:D61)-'1.1 BS_cons'!F14)&lt;1,SUM(D60:D61),"Error")</f>
        <v>Error</v>
      </c>
      <c r="E63" s="381">
        <f>IF(ABS(SUM(E60:E61)-'1.1 BS_cons'!F14)&lt;1,SUM(E60:E61),"Error")</f>
        <v>563489436</v>
      </c>
      <c r="F63" s="380"/>
      <c r="G63" s="381"/>
      <c r="H63" s="94"/>
      <c r="J63" s="161" t="s">
        <v>25</v>
      </c>
      <c r="K63" s="91">
        <f>SUM(K60:K62)</f>
        <v>507105553.2385</v>
      </c>
      <c r="L63" s="91">
        <f>SUM(L60:L62)</f>
        <v>0</v>
      </c>
      <c r="M63" s="91">
        <f>SUM(M60:M62)</f>
        <v>0</v>
      </c>
      <c r="N63" s="93">
        <f>SUM(K63:M63)</f>
        <v>507105553.2385</v>
      </c>
    </row>
    <row r="64" spans="2:14" ht="15.75" thickTop="1">
      <c r="B64" s="364"/>
      <c r="C64" s="94"/>
      <c r="D64" s="364"/>
      <c r="E64" s="94"/>
      <c r="F64" s="94"/>
      <c r="G64" s="94"/>
      <c r="I64" s="355"/>
      <c r="J64" s="95"/>
    </row>
    <row r="65" spans="2:10">
      <c r="B65" s="391" t="s">
        <v>150</v>
      </c>
      <c r="I65" s="359"/>
      <c r="J65" s="95"/>
    </row>
    <row r="66" spans="2:10">
      <c r="I66" s="360"/>
      <c r="J66" s="411"/>
    </row>
    <row r="67" spans="2:10">
      <c r="C67" s="378" t="str">
        <f>+C26</f>
        <v>2012</v>
      </c>
      <c r="D67" s="376"/>
      <c r="E67" s="378" t="str">
        <f>+E26</f>
        <v>2011</v>
      </c>
      <c r="F67" s="378"/>
      <c r="G67" s="378"/>
      <c r="H67" s="378"/>
      <c r="J67" s="160"/>
    </row>
    <row r="68" spans="2:10">
      <c r="C68" s="379" t="s">
        <v>770</v>
      </c>
      <c r="E68" s="379" t="s">
        <v>770</v>
      </c>
      <c r="F68" s="379"/>
      <c r="G68" s="379"/>
      <c r="H68" s="379"/>
      <c r="J68" s="411"/>
    </row>
    <row r="69" spans="2:10">
      <c r="C69" s="96"/>
      <c r="E69" s="96"/>
      <c r="F69" s="96"/>
      <c r="G69" s="96"/>
      <c r="H69" s="96"/>
      <c r="J69" s="412"/>
    </row>
    <row r="70" spans="2:10">
      <c r="B70" s="353" t="s">
        <v>809</v>
      </c>
      <c r="C70" s="393">
        <f>AL_TB!F81-AL_TB!H82</f>
        <v>14444786.460000001</v>
      </c>
      <c r="D70" s="393"/>
      <c r="E70" s="393">
        <f>30801619-AL_TB!H82</f>
        <v>30801619</v>
      </c>
      <c r="F70" s="355"/>
      <c r="G70" s="355"/>
      <c r="H70" s="362"/>
      <c r="J70" s="413"/>
    </row>
    <row r="71" spans="2:10">
      <c r="B71" s="353" t="s">
        <v>808</v>
      </c>
      <c r="C71" s="393">
        <f>-AL_TB!G81</f>
        <v>0</v>
      </c>
      <c r="D71" s="393"/>
      <c r="E71" s="393">
        <v>0</v>
      </c>
      <c r="F71" s="355"/>
      <c r="G71" s="355"/>
      <c r="H71" s="362"/>
      <c r="J71" s="413"/>
    </row>
    <row r="72" spans="2:10">
      <c r="C72" s="355"/>
      <c r="D72" s="355"/>
      <c r="E72" s="355"/>
      <c r="F72" s="355"/>
      <c r="G72" s="355"/>
      <c r="H72" s="362"/>
      <c r="J72" s="413"/>
    </row>
    <row r="73" spans="2:10" ht="15.75" thickBot="1">
      <c r="B73" s="353" t="s">
        <v>151</v>
      </c>
      <c r="C73" s="392">
        <f>SUM(C70:C72)</f>
        <v>14444786.460000001</v>
      </c>
      <c r="D73" s="377"/>
      <c r="E73" s="392">
        <f>SUM(E70:E72)</f>
        <v>30801619</v>
      </c>
      <c r="F73" s="377"/>
      <c r="G73" s="392"/>
      <c r="H73" s="362"/>
      <c r="J73" s="351"/>
    </row>
    <row r="74" spans="2:10" ht="15.75" thickTop="1">
      <c r="B74" s="95"/>
      <c r="C74" s="393">
        <f>C73+AL_TB!K81</f>
        <v>0</v>
      </c>
      <c r="D74" s="393"/>
      <c r="E74" s="393"/>
      <c r="F74" s="393"/>
      <c r="G74" s="393"/>
      <c r="H74" s="394"/>
      <c r="J74" s="95"/>
    </row>
    <row r="75" spans="2:10">
      <c r="C75" s="361"/>
      <c r="J75" s="95"/>
    </row>
    <row r="76" spans="2:10">
      <c r="B76" s="364"/>
      <c r="C76" s="94"/>
      <c r="D76" s="364"/>
      <c r="E76" s="94"/>
      <c r="F76" s="94"/>
      <c r="G76" s="94"/>
      <c r="J76" s="95"/>
    </row>
    <row r="77" spans="2:10">
      <c r="B77" s="372" t="s">
        <v>812</v>
      </c>
      <c r="C77" s="373"/>
      <c r="D77" s="373"/>
      <c r="E77" s="373"/>
      <c r="F77" s="373"/>
      <c r="G77" s="373"/>
      <c r="H77" s="373"/>
      <c r="J77" s="95"/>
    </row>
    <row r="78" spans="2:10">
      <c r="J78" s="414"/>
    </row>
    <row r="79" spans="2:10">
      <c r="C79" s="378" t="str">
        <f>+C67</f>
        <v>2012</v>
      </c>
      <c r="D79" s="376"/>
      <c r="E79" s="378" t="str">
        <f>+E67</f>
        <v>2011</v>
      </c>
      <c r="F79" s="378"/>
      <c r="G79" s="378"/>
      <c r="J79" s="95"/>
    </row>
    <row r="80" spans="2:10" ht="15.75" thickBot="1">
      <c r="C80" s="379" t="s">
        <v>770</v>
      </c>
      <c r="E80" s="379" t="s">
        <v>770</v>
      </c>
      <c r="F80" s="379"/>
      <c r="G80" s="379"/>
      <c r="J80" s="95"/>
    </row>
    <row r="81" spans="2:18" ht="15.75" thickTop="1">
      <c r="B81" s="384"/>
      <c r="C81" s="96"/>
      <c r="E81" s="96"/>
      <c r="F81" s="96"/>
      <c r="G81" s="96"/>
      <c r="I81" s="354" t="s">
        <v>4</v>
      </c>
      <c r="J81" s="95" t="s">
        <v>5</v>
      </c>
      <c r="K81" s="81" t="s">
        <v>681</v>
      </c>
      <c r="L81" s="82" t="s">
        <v>143</v>
      </c>
      <c r="M81" s="82" t="s">
        <v>155</v>
      </c>
      <c r="N81" s="83" t="s">
        <v>24</v>
      </c>
    </row>
    <row r="82" spans="2:18">
      <c r="B82" s="353" t="s">
        <v>744</v>
      </c>
      <c r="C82" s="394">
        <f>N82</f>
        <v>8411299</v>
      </c>
      <c r="D82" s="394"/>
      <c r="E82" s="394">
        <v>6840493</v>
      </c>
      <c r="F82" s="362"/>
      <c r="G82" s="390"/>
      <c r="I82" s="354">
        <v>2023</v>
      </c>
      <c r="J82" s="160" t="str">
        <f>B82</f>
        <v>Tatim Fitimi</v>
      </c>
      <c r="K82" s="85">
        <f>SUMIF(AL_TB!$L:$L,I82,AL_TB!$K:$K)</f>
        <v>8411299</v>
      </c>
      <c r="L82" s="86">
        <f>SUMIF(KS_TB!$N:$N,I82,KS_TB!$M:$M)</f>
        <v>0</v>
      </c>
      <c r="M82" s="86">
        <f>SUMIF(MK_TB!$N:$N,I82,MK_TB!$M:$M)</f>
        <v>0</v>
      </c>
      <c r="N82" s="87">
        <f t="shared" ref="N82:N87" si="1">SUM(K82:M82)</f>
        <v>8411299</v>
      </c>
    </row>
    <row r="83" spans="2:18">
      <c r="B83" s="353" t="s">
        <v>152</v>
      </c>
      <c r="C83" s="394">
        <f>N83</f>
        <v>412451.78639999998</v>
      </c>
      <c r="D83" s="394"/>
      <c r="E83" s="394">
        <v>290999</v>
      </c>
      <c r="F83" s="362"/>
      <c r="G83" s="390"/>
      <c r="H83" s="426"/>
      <c r="I83" s="354">
        <v>2024</v>
      </c>
      <c r="J83" s="160" t="str">
        <f>B83</f>
        <v>Paradhenie per personelin</v>
      </c>
      <c r="K83" s="551">
        <f>SUMIF(AL_TB!$L:$L,I83,AL_TB!$K:$K)</f>
        <v>408409.26</v>
      </c>
      <c r="L83" s="552">
        <f>SUMIF(KS_TB!$N:$N,I83,KS_TB!$M:$M)</f>
        <v>4042.5264000000002</v>
      </c>
      <c r="M83" s="86">
        <f>SUMIF(MK_TB!$N:$N,I83,MK_TB!$M:$M)</f>
        <v>0</v>
      </c>
      <c r="N83" s="87">
        <f t="shared" si="1"/>
        <v>412451.78639999998</v>
      </c>
    </row>
    <row r="84" spans="2:18">
      <c r="B84" s="353" t="s">
        <v>153</v>
      </c>
      <c r="C84" s="394">
        <f>N84</f>
        <v>8990444.1547999997</v>
      </c>
      <c r="D84" s="394"/>
      <c r="E84" s="394">
        <v>8536815</v>
      </c>
      <c r="F84" s="362"/>
      <c r="G84" s="390"/>
      <c r="H84" s="426"/>
      <c r="I84" s="354">
        <v>2022</v>
      </c>
      <c r="J84" s="160" t="str">
        <f>B84</f>
        <v>Te tjera</v>
      </c>
      <c r="K84" s="85">
        <f>SUMIF(AL_TB!$L:$L,I84,AL_TB!$K:$K)</f>
        <v>8930832.2453000005</v>
      </c>
      <c r="L84" s="86">
        <f>SUMIF(KS_TB!$N:$N,I84,KS_TB!$M:$M)</f>
        <v>0</v>
      </c>
      <c r="M84" s="86">
        <f>SUMIF(MK_TB!$N:$N,I84,MK_TB!$M:$M)</f>
        <v>59611.909500000002</v>
      </c>
      <c r="N84" s="87">
        <f t="shared" si="1"/>
        <v>8990444.1547999997</v>
      </c>
    </row>
    <row r="85" spans="2:18">
      <c r="B85" s="353" t="s">
        <v>813</v>
      </c>
      <c r="C85" s="394">
        <f>N85</f>
        <v>6539880</v>
      </c>
      <c r="D85" s="394"/>
      <c r="E85" s="394">
        <v>11958150</v>
      </c>
      <c r="F85" s="362"/>
      <c r="G85" s="362"/>
      <c r="H85" s="426"/>
      <c r="I85" s="354">
        <v>2025</v>
      </c>
      <c r="J85" s="160" t="str">
        <f>B85</f>
        <v>Garanci</v>
      </c>
      <c r="K85" s="551">
        <f>SUMIF(AL_TB!$L:$L,I85,AL_TB!$K:$K)</f>
        <v>6539880</v>
      </c>
      <c r="L85" s="86">
        <f>SUMIF(KS_TB!$N:$N,I85,KS_TB!$M:$M)</f>
        <v>0</v>
      </c>
      <c r="M85" s="86">
        <f>SUMIF(MK_TB!$N:$N,I85,MK_TB!$M:$M)</f>
        <v>0</v>
      </c>
      <c r="N85" s="87">
        <f t="shared" si="1"/>
        <v>6539880</v>
      </c>
    </row>
    <row r="86" spans="2:18" ht="15.75" thickBot="1">
      <c r="B86" s="384"/>
      <c r="C86" s="362"/>
      <c r="D86" s="362"/>
      <c r="E86" s="362"/>
      <c r="F86" s="362"/>
      <c r="G86" s="362"/>
      <c r="H86" s="426"/>
      <c r="I86" s="359"/>
      <c r="J86" s="95"/>
      <c r="K86" s="85"/>
      <c r="L86" s="86"/>
      <c r="M86" s="86"/>
      <c r="N86" s="87">
        <f t="shared" si="1"/>
        <v>0</v>
      </c>
    </row>
    <row r="87" spans="2:18" ht="16.5" thickTop="1" thickBot="1">
      <c r="B87" s="384"/>
      <c r="C87" s="385">
        <f>IF(ABS(SUM(C82:C85)-'1.1 BS_cons'!E15)&lt;1,SUM(C82:C85),"Error")</f>
        <v>24354074.941199999</v>
      </c>
      <c r="D87" s="385"/>
      <c r="E87" s="385">
        <f>IF(ABS(SUM(E82:E85)-'1.1 BS_cons'!F15)&lt;1,SUM(E82:E85),"Error")</f>
        <v>27626457</v>
      </c>
      <c r="F87" s="380"/>
      <c r="G87" s="381"/>
      <c r="I87" s="359"/>
      <c r="J87" s="161" t="s">
        <v>25</v>
      </c>
      <c r="K87" s="91">
        <f>+SUM(K82:K86)</f>
        <v>24290420.5053</v>
      </c>
      <c r="L87" s="92">
        <f>SUM(L82:L86)</f>
        <v>4042.5264000000002</v>
      </c>
      <c r="M87" s="92">
        <f>SUM(M82:M86)</f>
        <v>59611.909500000002</v>
      </c>
      <c r="N87" s="93">
        <f t="shared" si="1"/>
        <v>24354074.941199999</v>
      </c>
    </row>
    <row r="88" spans="2:18" ht="15.75" thickTop="1">
      <c r="I88" s="362"/>
      <c r="J88" s="95"/>
    </row>
    <row r="89" spans="2:18">
      <c r="B89" s="372" t="s">
        <v>814</v>
      </c>
      <c r="C89" s="373"/>
      <c r="D89" s="373"/>
      <c r="E89" s="373"/>
      <c r="F89" s="373"/>
      <c r="G89" s="373"/>
      <c r="H89" s="373"/>
      <c r="I89" s="353"/>
      <c r="J89" s="95"/>
      <c r="K89" s="356"/>
      <c r="R89" s="359"/>
    </row>
    <row r="90" spans="2:18">
      <c r="I90" s="353"/>
      <c r="J90" s="95"/>
    </row>
    <row r="91" spans="2:18">
      <c r="C91" s="378" t="str">
        <f>+C79</f>
        <v>2012</v>
      </c>
      <c r="D91" s="376"/>
      <c r="E91" s="378" t="str">
        <f>+E79</f>
        <v>2011</v>
      </c>
      <c r="F91" s="378"/>
      <c r="G91" s="378"/>
      <c r="J91" s="160"/>
    </row>
    <row r="92" spans="2:18" ht="15.75" thickBot="1">
      <c r="C92" s="379" t="s">
        <v>770</v>
      </c>
      <c r="E92" s="379" t="s">
        <v>770</v>
      </c>
      <c r="F92" s="379"/>
      <c r="G92" s="379"/>
      <c r="J92" s="95"/>
    </row>
    <row r="93" spans="2:18" ht="15.75" thickTop="1">
      <c r="B93" s="384"/>
      <c r="C93" s="96"/>
      <c r="E93" s="96"/>
      <c r="F93" s="96"/>
      <c r="G93" s="96"/>
      <c r="I93" s="354" t="s">
        <v>4</v>
      </c>
      <c r="J93" s="95" t="s">
        <v>5</v>
      </c>
      <c r="K93" s="81" t="s">
        <v>681</v>
      </c>
      <c r="L93" s="82" t="s">
        <v>143</v>
      </c>
      <c r="M93" s="82" t="s">
        <v>155</v>
      </c>
      <c r="N93" s="83" t="s">
        <v>24</v>
      </c>
    </row>
    <row r="94" spans="2:18">
      <c r="B94" s="353" t="s">
        <v>815</v>
      </c>
      <c r="C94" s="394">
        <f>N94</f>
        <v>1464410.4201000021</v>
      </c>
      <c r="D94" s="394"/>
      <c r="E94" s="394">
        <v>12491869</v>
      </c>
      <c r="F94" s="362"/>
      <c r="G94" s="390"/>
      <c r="I94" s="354">
        <v>2050</v>
      </c>
      <c r="J94" s="160" t="str">
        <f>B94</f>
        <v>Parapagime per furnitoret</v>
      </c>
      <c r="K94" s="551">
        <f>SUMIF(AL_TB!$L:$L,I94,AL_TB!$K:$K)</f>
        <v>1464410.4201000021</v>
      </c>
      <c r="L94" s="86">
        <f>SUMIF(KS_TB!$N:$N,I94,KS_TB!$M:$M)</f>
        <v>0</v>
      </c>
      <c r="M94" s="86">
        <f>SUMIF(MK_TB!$N:$N,I94,MK_TB!$M:$M)</f>
        <v>0</v>
      </c>
      <c r="N94" s="87">
        <f>SUM(K94:M94)</f>
        <v>1464410.4201000021</v>
      </c>
    </row>
    <row r="95" spans="2:18">
      <c r="B95" s="353" t="s">
        <v>816</v>
      </c>
      <c r="C95" s="394">
        <f>N95</f>
        <v>154774937.06240001</v>
      </c>
      <c r="D95" s="394"/>
      <c r="E95" s="394">
        <v>196149758</v>
      </c>
      <c r="F95" s="362"/>
      <c r="G95" s="390"/>
      <c r="I95" s="354">
        <v>2051</v>
      </c>
      <c r="J95" s="160" t="str">
        <f>B95</f>
        <v>Shpenzime te shtyra</v>
      </c>
      <c r="K95" s="551">
        <f>SUMIF(AL_TB!$L:$L,I95,AL_TB!$K:$K)+2</f>
        <v>153477591.79010001</v>
      </c>
      <c r="L95" s="552">
        <f>SUMIF(KS_TB!$N:$N,I95,KS_TB!$M:$M)</f>
        <v>1297345.2722999998</v>
      </c>
      <c r="M95" s="86">
        <f>SUMIF(MK_TB!$N:$N,I95,MK_TB!$M:$M)</f>
        <v>0</v>
      </c>
      <c r="N95" s="87">
        <f>SUM(K95:M95)</f>
        <v>154774937.06240001</v>
      </c>
    </row>
    <row r="96" spans="2:18">
      <c r="B96" s="384"/>
      <c r="C96" s="362"/>
      <c r="D96" s="362"/>
      <c r="E96" s="362"/>
      <c r="F96" s="362"/>
      <c r="G96" s="362"/>
      <c r="J96" s="160"/>
      <c r="K96" s="85">
        <f>SUMIF(AL_TB!$L:$L,I96,AL_TB!$K:$K)</f>
        <v>0</v>
      </c>
      <c r="L96" s="86">
        <f>SUMIF(KS_TB!$N:$N,I96,KS_TB!$M:$M)</f>
        <v>0</v>
      </c>
      <c r="M96" s="86">
        <f>SUMIF(MK_TB!$N:$N,I96,MK_TB!$M:$M)</f>
        <v>0</v>
      </c>
      <c r="N96" s="87">
        <f>SUM(K96:M96)</f>
        <v>0</v>
      </c>
    </row>
    <row r="97" spans="2:27" ht="15.75" thickBot="1">
      <c r="B97" s="384"/>
      <c r="C97" s="385">
        <f>IF(ABS(SUM(C94:C95)-'1.1 BS_cons'!E16)&lt;1,SUM(C94:C95),"Error")</f>
        <v>156239347.48250002</v>
      </c>
      <c r="D97" s="382"/>
      <c r="E97" s="381">
        <f>IF(ABS(SUM(E94:E95)-'1.1 BS_cons'!F16)&lt;1,SUM(E94:E95),"Error")</f>
        <v>208641627</v>
      </c>
      <c r="F97" s="380"/>
      <c r="G97" s="381"/>
      <c r="I97" s="359"/>
      <c r="J97" s="95"/>
      <c r="K97" s="85"/>
      <c r="L97" s="86"/>
      <c r="M97" s="86"/>
      <c r="N97" s="87">
        <f>SUM(K97:M97)</f>
        <v>0</v>
      </c>
    </row>
    <row r="98" spans="2:27" ht="16.5" thickTop="1" thickBot="1">
      <c r="I98" s="359"/>
      <c r="J98" s="161" t="s">
        <v>25</v>
      </c>
      <c r="K98" s="91">
        <f>+SUM(K94:K97)</f>
        <v>154942002.21020001</v>
      </c>
      <c r="L98" s="92">
        <f>SUM(L94:L97)</f>
        <v>1297345.2722999998</v>
      </c>
      <c r="M98" s="92">
        <f>SUM(M94:M97)</f>
        <v>0</v>
      </c>
      <c r="N98" s="93">
        <f>SUM(K98:M98)</f>
        <v>156239347.48250002</v>
      </c>
    </row>
    <row r="99" spans="2:27" ht="15.75" thickTop="1">
      <c r="C99" s="378"/>
      <c r="D99" s="376"/>
      <c r="E99" s="378"/>
      <c r="F99" s="378"/>
      <c r="G99" s="378"/>
      <c r="J99" s="95"/>
    </row>
    <row r="100" spans="2:27">
      <c r="B100" s="372" t="s">
        <v>823</v>
      </c>
      <c r="C100" s="373"/>
      <c r="D100" s="373"/>
      <c r="E100" s="373"/>
      <c r="F100" s="373"/>
      <c r="G100" s="373"/>
      <c r="H100" s="373"/>
      <c r="I100" s="360"/>
      <c r="J100" s="95"/>
      <c r="K100" s="97"/>
      <c r="L100" s="361"/>
      <c r="M100" s="97"/>
      <c r="N100" s="97"/>
    </row>
    <row r="101" spans="2:27">
      <c r="J101" s="95"/>
      <c r="K101" s="361"/>
      <c r="L101" s="361"/>
      <c r="M101" s="361"/>
      <c r="N101" s="97"/>
    </row>
    <row r="102" spans="2:27">
      <c r="C102" s="383" t="s">
        <v>1038</v>
      </c>
      <c r="D102" s="376"/>
      <c r="E102" s="383" t="s">
        <v>769</v>
      </c>
      <c r="F102" s="378"/>
      <c r="G102" s="378"/>
      <c r="J102" s="95"/>
      <c r="K102" s="361"/>
      <c r="L102" s="361"/>
      <c r="M102" s="361"/>
    </row>
    <row r="103" spans="2:27" ht="15.75" thickBot="1">
      <c r="C103" s="379" t="s">
        <v>770</v>
      </c>
      <c r="E103" s="379" t="s">
        <v>770</v>
      </c>
      <c r="F103" s="379"/>
      <c r="G103" s="379"/>
      <c r="J103" s="95"/>
      <c r="M103" s="98"/>
    </row>
    <row r="104" spans="2:27" ht="15.75" thickTop="1">
      <c r="C104" s="96"/>
      <c r="E104" s="96"/>
      <c r="F104" s="96"/>
      <c r="G104" s="96"/>
      <c r="I104" s="354" t="s">
        <v>4</v>
      </c>
      <c r="J104" s="353" t="s">
        <v>5</v>
      </c>
      <c r="K104" s="81" t="s">
        <v>681</v>
      </c>
      <c r="L104" s="82" t="s">
        <v>143</v>
      </c>
      <c r="M104" s="82" t="s">
        <v>155</v>
      </c>
      <c r="N104" s="83" t="s">
        <v>24</v>
      </c>
    </row>
    <row r="105" spans="2:27">
      <c r="B105" s="353" t="s">
        <v>89</v>
      </c>
      <c r="C105" s="394">
        <f>N105</f>
        <v>19698838.430100001</v>
      </c>
      <c r="D105" s="588"/>
      <c r="E105" s="394">
        <v>30168579</v>
      </c>
      <c r="F105" s="363"/>
      <c r="G105" s="363"/>
      <c r="I105" s="354">
        <v>3000</v>
      </c>
      <c r="J105" s="160" t="str">
        <f>B105</f>
        <v>Detyrime te tjera afatgjata</v>
      </c>
      <c r="K105" s="551">
        <f>-SUMIF(AL_TB!$L:$L,I105,AL_TB!$K:$K)</f>
        <v>19698838.430100001</v>
      </c>
      <c r="L105" s="86">
        <f>-SUMIF(KS_TB!$N:$N,I105,KS_TB!$M:$M)</f>
        <v>0</v>
      </c>
      <c r="M105" s="86">
        <f>-SUMIF(MK_TB!$N:$N,I105,MK_TB!$M:$M)</f>
        <v>0</v>
      </c>
      <c r="N105" s="87">
        <f>SUM(K105:M105)</f>
        <v>19698838.430100001</v>
      </c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</row>
    <row r="106" spans="2:27" ht="15.75" thickBot="1">
      <c r="B106" s="384"/>
      <c r="C106" s="363"/>
      <c r="D106" s="363"/>
      <c r="E106" s="363"/>
      <c r="F106" s="363"/>
      <c r="G106" s="363"/>
      <c r="J106" s="160"/>
      <c r="K106" s="85">
        <f>-SUMIF(AL_TB!$L:$L,I106,AL_TB!$K:$K)</f>
        <v>0</v>
      </c>
      <c r="L106" s="86">
        <f>-SUMIF(KS_TB!$N:$N,I106,KS_TB!$M:$M)</f>
        <v>0</v>
      </c>
      <c r="M106" s="86">
        <f>-SUMIF(MK_TB!$N:$N,I106,MK_TB!$M:$M)</f>
        <v>0</v>
      </c>
      <c r="N106" s="8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</row>
    <row r="107" spans="2:27" ht="16.5" thickTop="1" thickBot="1">
      <c r="B107" s="384"/>
      <c r="C107" s="381">
        <f>IF(ABS(SUM(C105)-'1.1 BS_cons'!E38)&lt;1,SUM(C105),"Error")</f>
        <v>19698838.430100001</v>
      </c>
      <c r="D107" s="381"/>
      <c r="E107" s="381">
        <f>IF(ABS(SUM(E105)-'1.1 BS_cons'!F38)&lt;1,SUM(E105),"Error")</f>
        <v>30168579</v>
      </c>
      <c r="F107" s="380"/>
      <c r="G107" s="381"/>
      <c r="I107" s="359"/>
      <c r="J107" s="161" t="s">
        <v>25</v>
      </c>
      <c r="K107" s="91">
        <f>+SUM(K105:K106)</f>
        <v>19698838.430100001</v>
      </c>
      <c r="L107" s="92">
        <f>SUM(L105:L106)</f>
        <v>0</v>
      </c>
      <c r="M107" s="92">
        <f>SUM(M105:M106)</f>
        <v>0</v>
      </c>
      <c r="N107" s="93">
        <f>SUM(K107:M107)</f>
        <v>19698838.430100001</v>
      </c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</row>
    <row r="108" spans="2:27" ht="15.75" thickTop="1"/>
    <row r="109" spans="2:27">
      <c r="M109" s="359"/>
    </row>
    <row r="110" spans="2:27">
      <c r="M110" s="359"/>
    </row>
    <row r="111" spans="2:27">
      <c r="B111" s="372" t="s">
        <v>824</v>
      </c>
      <c r="C111" s="373"/>
      <c r="D111" s="373"/>
      <c r="E111" s="373"/>
      <c r="F111" s="373"/>
      <c r="G111" s="373"/>
      <c r="H111" s="373"/>
      <c r="I111" s="360"/>
      <c r="K111" s="97"/>
      <c r="L111" s="361"/>
      <c r="M111" s="97"/>
      <c r="N111" s="97"/>
    </row>
    <row r="112" spans="2:27">
      <c r="K112" s="361"/>
      <c r="L112" s="361"/>
      <c r="M112" s="361"/>
      <c r="N112" s="97"/>
    </row>
    <row r="113" spans="2:27">
      <c r="C113" s="383" t="s">
        <v>1038</v>
      </c>
      <c r="D113" s="376"/>
      <c r="E113" s="383" t="s">
        <v>769</v>
      </c>
      <c r="F113" s="378"/>
      <c r="G113" s="378"/>
      <c r="K113" s="361"/>
      <c r="L113" s="361"/>
      <c r="M113" s="361"/>
    </row>
    <row r="114" spans="2:27" ht="15.75" thickBot="1">
      <c r="C114" s="379" t="s">
        <v>770</v>
      </c>
      <c r="E114" s="379" t="s">
        <v>770</v>
      </c>
      <c r="F114" s="379"/>
      <c r="G114" s="379"/>
      <c r="M114" s="98"/>
    </row>
    <row r="115" spans="2:27" ht="15.75" thickTop="1">
      <c r="C115" s="96"/>
      <c r="E115" s="96"/>
      <c r="F115" s="96"/>
      <c r="G115" s="96"/>
      <c r="I115" s="354" t="s">
        <v>4</v>
      </c>
      <c r="J115" s="353" t="s">
        <v>5</v>
      </c>
      <c r="K115" s="81" t="s">
        <v>681</v>
      </c>
      <c r="L115" s="82" t="s">
        <v>143</v>
      </c>
      <c r="M115" s="82" t="s">
        <v>155</v>
      </c>
      <c r="N115" s="83" t="s">
        <v>24</v>
      </c>
    </row>
    <row r="116" spans="2:27">
      <c r="B116" s="353" t="s">
        <v>827</v>
      </c>
      <c r="C116" s="394">
        <f>N116</f>
        <v>458230485.69410002</v>
      </c>
      <c r="D116" s="588"/>
      <c r="E116" s="394">
        <f>344403584-1</f>
        <v>344403583</v>
      </c>
      <c r="F116" s="363"/>
      <c r="G116" s="363"/>
      <c r="I116" s="354">
        <v>3001</v>
      </c>
      <c r="J116" s="160" t="str">
        <f>B116</f>
        <v>Furnitore</v>
      </c>
      <c r="K116" s="551">
        <f>-SUMIF(AL_TB!$L:$L,I116,AL_TB!$K:$K)</f>
        <v>437036900.324</v>
      </c>
      <c r="L116" s="552">
        <f>-SUMIF(KS_TB!$N:$N,I116,KS_TB!$M:$M)</f>
        <v>21157173.318600003</v>
      </c>
      <c r="M116" s="552">
        <f>-SUMIF(MK_TB!$N:$N,I116,MK_TB!$M:$M)</f>
        <v>36412.051500000001</v>
      </c>
      <c r="N116" s="87">
        <f>SUM(K116:M116)</f>
        <v>458230485.69410002</v>
      </c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</row>
    <row r="117" spans="2:27" ht="15.75" thickBot="1">
      <c r="B117" s="384"/>
      <c r="C117" s="363"/>
      <c r="D117" s="363"/>
      <c r="E117" s="363"/>
      <c r="F117" s="363"/>
      <c r="G117" s="363"/>
      <c r="J117" s="160"/>
      <c r="K117" s="85">
        <f>-SUMIF(AL_TB!$L:$L,I117,AL_TB!$K:$K)</f>
        <v>0</v>
      </c>
      <c r="L117" s="86">
        <f>-SUMIF(KS_TB!$N:$N,I117,KS_TB!$M:$M)</f>
        <v>0</v>
      </c>
      <c r="M117" s="86">
        <f>-SUMIF(MK_TB!$N:$N,I117,MK_TB!$M:$M)</f>
        <v>0</v>
      </c>
      <c r="N117" s="8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</row>
    <row r="118" spans="2:27" ht="16.5" thickTop="1" thickBot="1">
      <c r="B118" s="384"/>
      <c r="C118" s="381">
        <f>IF(ABS(SUM(C116)-'1.1 BS_cons'!E42)&lt;1,SUM(C116),"Error")</f>
        <v>458230485.69410002</v>
      </c>
      <c r="D118" s="363"/>
      <c r="E118" s="381">
        <f>IF(ABS(SUM(E116)-'1.1 BS_cons'!F42)&lt;1,SUM(E116),"Error")</f>
        <v>344403583</v>
      </c>
      <c r="F118" s="380"/>
      <c r="G118" s="381"/>
      <c r="I118" s="359"/>
      <c r="J118" s="161" t="s">
        <v>25</v>
      </c>
      <c r="K118" s="91">
        <f>+SUM(K116:K117)</f>
        <v>437036900.324</v>
      </c>
      <c r="L118" s="92">
        <f>SUM(L116:L117)</f>
        <v>21157173.318600003</v>
      </c>
      <c r="M118" s="92">
        <f>SUM(M116:M117)</f>
        <v>36412.051500000001</v>
      </c>
      <c r="N118" s="93">
        <f>SUM(K118:M118)</f>
        <v>458230485.69410002</v>
      </c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</row>
    <row r="119" spans="2:27" ht="15.75" thickTop="1"/>
    <row r="120" spans="2:27">
      <c r="M120" s="359"/>
    </row>
    <row r="121" spans="2:27">
      <c r="B121" s="372" t="s">
        <v>828</v>
      </c>
      <c r="C121" s="373"/>
      <c r="D121" s="373"/>
      <c r="E121" s="373"/>
      <c r="F121" s="373"/>
      <c r="G121" s="373"/>
      <c r="H121" s="373"/>
      <c r="I121" s="360"/>
      <c r="K121" s="97"/>
      <c r="L121" s="361"/>
      <c r="M121" s="97"/>
      <c r="N121" s="97"/>
    </row>
    <row r="122" spans="2:27">
      <c r="K122" s="361"/>
      <c r="L122" s="361"/>
      <c r="M122" s="361"/>
      <c r="N122" s="97"/>
    </row>
    <row r="123" spans="2:27">
      <c r="C123" s="383" t="s">
        <v>1038</v>
      </c>
      <c r="D123" s="376"/>
      <c r="E123" s="383" t="s">
        <v>769</v>
      </c>
      <c r="F123" s="378"/>
      <c r="G123" s="378"/>
      <c r="K123" s="361"/>
      <c r="L123" s="361"/>
      <c r="M123" s="361"/>
    </row>
    <row r="124" spans="2:27" ht="15.75" thickBot="1">
      <c r="C124" s="379" t="s">
        <v>770</v>
      </c>
      <c r="E124" s="379" t="s">
        <v>770</v>
      </c>
      <c r="F124" s="379"/>
      <c r="G124" s="379"/>
      <c r="M124" s="98"/>
    </row>
    <row r="125" spans="2:27" ht="15.75" thickTop="1">
      <c r="C125" s="96"/>
      <c r="E125" s="96"/>
      <c r="F125" s="96"/>
      <c r="G125" s="96"/>
      <c r="I125" s="354" t="s">
        <v>4</v>
      </c>
      <c r="J125" s="353" t="s">
        <v>5</v>
      </c>
      <c r="K125" s="81" t="s">
        <v>681</v>
      </c>
      <c r="L125" s="82" t="s">
        <v>143</v>
      </c>
      <c r="M125" s="82" t="s">
        <v>155</v>
      </c>
      <c r="N125" s="83" t="s">
        <v>24</v>
      </c>
    </row>
    <row r="126" spans="2:27">
      <c r="B126" s="353" t="s">
        <v>230</v>
      </c>
      <c r="C126" s="394">
        <f>N126</f>
        <v>66144122.831399992</v>
      </c>
      <c r="D126" s="588"/>
      <c r="E126" s="394">
        <v>32595159</v>
      </c>
      <c r="F126" s="363"/>
      <c r="G126" s="363"/>
      <c r="I126" s="354">
        <v>3002</v>
      </c>
      <c r="J126" s="160" t="str">
        <f>B126</f>
        <v>Parapagime te marra</v>
      </c>
      <c r="K126" s="85">
        <f>-SUMIF(AL_TB!$L:$L,I126,AL_TB!$K:$K)</f>
        <v>66144122.831399992</v>
      </c>
      <c r="L126" s="86">
        <f>-SUMIF(KS_TB!$N:$N,I126,KS_TB!$M:$M)</f>
        <v>0</v>
      </c>
      <c r="M126" s="86">
        <f>-SUMIF(MK_TB!$N:$N,I126,MK_TB!$M:$M)</f>
        <v>0</v>
      </c>
      <c r="N126" s="87">
        <f>SUM(K126:M126)</f>
        <v>66144122.831399992</v>
      </c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</row>
    <row r="127" spans="2:27" ht="15.75" thickBot="1">
      <c r="B127" s="384"/>
      <c r="C127" s="363"/>
      <c r="D127" s="363"/>
      <c r="E127" s="363"/>
      <c r="F127" s="363"/>
      <c r="G127" s="363"/>
      <c r="J127" s="160"/>
      <c r="K127" s="85">
        <f>-SUMIF(AL_TB!$L:$L,I127,AL_TB!$K:$K)</f>
        <v>0</v>
      </c>
      <c r="L127" s="86">
        <f>-SUMIF(KS_TB!$N:$N,I127,KS_TB!$M:$M)</f>
        <v>0</v>
      </c>
      <c r="M127" s="86">
        <f>-SUMIF(MK_TB!$N:$N,I127,MK_TB!$M:$M)</f>
        <v>0</v>
      </c>
      <c r="N127" s="8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</row>
    <row r="128" spans="2:27" ht="21" customHeight="1" thickTop="1" thickBot="1">
      <c r="B128" s="384"/>
      <c r="C128" s="381">
        <f>IF(ABS(SUM(C126)-'1.1 BS_cons'!E43)&lt;1,SUM(C126),"Error")</f>
        <v>66144122.831399992</v>
      </c>
      <c r="D128" s="381" t="str">
        <f>IF(ABS(SUM(D126)-'1.1 BS_cons'!F43)&lt;1,SUM(D126),"Error")</f>
        <v>Error</v>
      </c>
      <c r="E128" s="381">
        <f>IF(ABS(SUM(E126)-'1.1 BS_cons'!F43)&lt;1,SUM(E126),"Error")</f>
        <v>32595159</v>
      </c>
      <c r="F128" s="380"/>
      <c r="G128" s="381"/>
      <c r="I128" s="359"/>
      <c r="J128" s="161" t="s">
        <v>25</v>
      </c>
      <c r="K128" s="91">
        <f>+SUM(K126:K127)</f>
        <v>66144122.831399992</v>
      </c>
      <c r="L128" s="92">
        <f>SUM(L126:L127)</f>
        <v>0</v>
      </c>
      <c r="M128" s="92">
        <f>SUM(M126:M127)</f>
        <v>0</v>
      </c>
      <c r="N128" s="93">
        <f>SUM(K128:M128)</f>
        <v>66144122.831399992</v>
      </c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</row>
    <row r="129" spans="2:27" ht="15.75" thickTop="1"/>
    <row r="130" spans="2:27">
      <c r="M130" s="359"/>
    </row>
    <row r="131" spans="2:27">
      <c r="B131" s="372" t="s">
        <v>836</v>
      </c>
      <c r="C131" s="373"/>
      <c r="D131" s="373"/>
      <c r="E131" s="373"/>
      <c r="F131" s="373"/>
      <c r="G131" s="373"/>
      <c r="H131" s="373"/>
      <c r="I131" s="360"/>
      <c r="K131" s="97"/>
      <c r="L131" s="361"/>
      <c r="M131" s="97"/>
      <c r="N131" s="97"/>
    </row>
    <row r="132" spans="2:27">
      <c r="K132" s="361"/>
      <c r="L132" s="361"/>
      <c r="M132" s="361"/>
      <c r="N132" s="97"/>
    </row>
    <row r="133" spans="2:27">
      <c r="C133" s="383" t="str">
        <f>C123</f>
        <v>2012</v>
      </c>
      <c r="D133" s="376"/>
      <c r="E133" s="383" t="str">
        <f>E123</f>
        <v>2011</v>
      </c>
      <c r="F133" s="378"/>
      <c r="G133" s="378"/>
      <c r="K133" s="361"/>
      <c r="L133" s="361"/>
      <c r="M133" s="361"/>
    </row>
    <row r="134" spans="2:27" ht="15.75" thickBot="1">
      <c r="C134" s="379" t="s">
        <v>770</v>
      </c>
      <c r="E134" s="379" t="s">
        <v>770</v>
      </c>
      <c r="F134" s="379"/>
      <c r="G134" s="379"/>
      <c r="M134" s="98"/>
    </row>
    <row r="135" spans="2:27" ht="15.75" thickTop="1">
      <c r="C135" s="96"/>
      <c r="E135" s="96"/>
      <c r="F135" s="96"/>
      <c r="G135" s="96"/>
      <c r="I135" s="354" t="s">
        <v>4</v>
      </c>
      <c r="J135" s="353" t="s">
        <v>5</v>
      </c>
      <c r="K135" s="81" t="s">
        <v>681</v>
      </c>
      <c r="L135" s="82" t="s">
        <v>143</v>
      </c>
      <c r="M135" s="82" t="s">
        <v>155</v>
      </c>
      <c r="N135" s="83" t="s">
        <v>24</v>
      </c>
    </row>
    <row r="136" spans="2:27">
      <c r="B136" s="353" t="s">
        <v>705</v>
      </c>
      <c r="C136" s="394">
        <f>N136</f>
        <v>551088.69999999995</v>
      </c>
      <c r="D136" s="588"/>
      <c r="E136" s="588">
        <v>1114789</v>
      </c>
      <c r="F136" s="363"/>
      <c r="G136" s="363"/>
      <c r="I136" s="354">
        <v>3003</v>
      </c>
      <c r="J136" s="160" t="str">
        <f>B136</f>
        <v>Grante dhe te ardhura te shtyra</v>
      </c>
      <c r="K136" s="551">
        <f>-SUMIF(AL_TB!$L:$L,I136,AL_TB!$K:$K)</f>
        <v>551088.69999999995</v>
      </c>
      <c r="L136" s="86">
        <f>-SUMIF(KS_TB!$N:$N,I136,KS_TB!$M:$M)</f>
        <v>0</v>
      </c>
      <c r="M136" s="86">
        <f>-SUMIF(MK_TB!$N:$N,I136,MK_TB!$M:$M)</f>
        <v>0</v>
      </c>
      <c r="N136" s="87">
        <f>SUM(K136:M136)</f>
        <v>551088.69999999995</v>
      </c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</row>
    <row r="137" spans="2:27">
      <c r="B137" s="353" t="s">
        <v>830</v>
      </c>
      <c r="C137" s="394">
        <f>N137</f>
        <v>537120.61250000005</v>
      </c>
      <c r="D137" s="588"/>
      <c r="E137" s="588">
        <v>777114</v>
      </c>
      <c r="F137" s="363"/>
      <c r="G137" s="363"/>
      <c r="I137" s="354">
        <v>3004</v>
      </c>
      <c r="J137" s="160" t="str">
        <f>B137</f>
        <v>Interesa te perllogaritura</v>
      </c>
      <c r="K137" s="551">
        <f>-SUMIF(AL_TB!$L:$L,I137,AL_TB!$K:$K)</f>
        <v>537120.61250000005</v>
      </c>
      <c r="L137" s="86">
        <f>-SUMIF(KS_TB!$N:$N,I137,KS_TB!$M:$M)</f>
        <v>0</v>
      </c>
      <c r="M137" s="86">
        <f>-SUMIF(MK_TB!$N:$N,I137,MK_TB!$M:$M)</f>
        <v>0</v>
      </c>
      <c r="N137" s="87">
        <f>SUM(K137:M137)</f>
        <v>537120.61250000005</v>
      </c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</row>
    <row r="138" spans="2:27" ht="15.75" thickBot="1">
      <c r="B138" s="384"/>
      <c r="C138" s="363"/>
      <c r="D138" s="363"/>
      <c r="E138" s="363"/>
      <c r="F138" s="363"/>
      <c r="G138" s="363"/>
      <c r="J138" s="160"/>
      <c r="K138" s="85">
        <f>-SUMIF(AL_TB!$L:$L,I138,AL_TB!$K:$K)</f>
        <v>0</v>
      </c>
      <c r="L138" s="86">
        <f>-SUMIF(KS_TB!$N:$N,I138,KS_TB!$M:$M)</f>
        <v>0</v>
      </c>
      <c r="M138" s="86">
        <f>-SUMIF(MK_TB!$N:$N,I138,MK_TB!$M:$M)</f>
        <v>0</v>
      </c>
      <c r="N138" s="8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</row>
    <row r="139" spans="2:27" ht="16.5" thickTop="1" thickBot="1">
      <c r="B139" s="384"/>
      <c r="C139" s="381">
        <f>IF(ABS(SUM(C136:C137)-'1.1 BS_cons'!E44)&lt;1,SUM(C136:C137),"Error")</f>
        <v>1088209.3125</v>
      </c>
      <c r="D139" s="363"/>
      <c r="E139" s="381">
        <f>IF(ABS(SUM(E136:E137)-'1.1 BS_cons'!F44)&lt;1,SUM(E136:E137),"Error")</f>
        <v>1891903</v>
      </c>
      <c r="F139" s="380"/>
      <c r="G139" s="381"/>
      <c r="I139" s="359"/>
      <c r="J139" s="161" t="s">
        <v>25</v>
      </c>
      <c r="K139" s="91">
        <f>+SUM(K136:K138)</f>
        <v>1088209.3125</v>
      </c>
      <c r="L139" s="92">
        <f>SUM(L136:L138)</f>
        <v>0</v>
      </c>
      <c r="M139" s="92">
        <f>SUM(M136:M138)</f>
        <v>0</v>
      </c>
      <c r="N139" s="93">
        <f>SUM(K139:M139)</f>
        <v>1088209.3125</v>
      </c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</row>
    <row r="140" spans="2:27" ht="15.75" thickTop="1"/>
    <row r="141" spans="2:27">
      <c r="M141" s="359"/>
    </row>
    <row r="142" spans="2:27">
      <c r="B142" s="372" t="s">
        <v>835</v>
      </c>
      <c r="C142" s="373"/>
      <c r="D142" s="373"/>
      <c r="E142" s="373"/>
      <c r="F142" s="373"/>
      <c r="G142" s="373"/>
      <c r="H142" s="373"/>
      <c r="I142" s="360"/>
      <c r="K142" s="97"/>
      <c r="L142" s="361"/>
      <c r="M142" s="97"/>
      <c r="N142" s="97"/>
    </row>
    <row r="143" spans="2:27">
      <c r="K143" s="361"/>
      <c r="L143" s="361"/>
      <c r="M143" s="361"/>
      <c r="N143" s="97"/>
    </row>
    <row r="144" spans="2:27">
      <c r="C144" s="383" t="str">
        <f>C133</f>
        <v>2012</v>
      </c>
      <c r="D144" s="376"/>
      <c r="E144" s="383" t="str">
        <f>E133</f>
        <v>2011</v>
      </c>
      <c r="F144" s="378"/>
      <c r="G144" s="378"/>
      <c r="K144" s="361"/>
      <c r="L144" s="361"/>
      <c r="M144" s="361"/>
    </row>
    <row r="145" spans="2:27" ht="15.75" thickBot="1">
      <c r="C145" s="379" t="s">
        <v>770</v>
      </c>
      <c r="E145" s="379" t="s">
        <v>770</v>
      </c>
      <c r="F145" s="379"/>
      <c r="G145" s="379"/>
      <c r="M145" s="98"/>
    </row>
    <row r="146" spans="2:27" ht="15.75" thickTop="1">
      <c r="C146" s="582"/>
      <c r="D146" s="95"/>
      <c r="E146" s="582"/>
      <c r="F146" s="96"/>
      <c r="G146" s="96"/>
      <c r="I146" s="354" t="s">
        <v>4</v>
      </c>
      <c r="J146" s="353" t="s">
        <v>5</v>
      </c>
      <c r="K146" s="81" t="s">
        <v>681</v>
      </c>
      <c r="L146" s="82" t="s">
        <v>143</v>
      </c>
      <c r="M146" s="82" t="s">
        <v>155</v>
      </c>
      <c r="N146" s="83" t="s">
        <v>24</v>
      </c>
    </row>
    <row r="147" spans="2:27">
      <c r="B147" s="353" t="s">
        <v>831</v>
      </c>
      <c r="C147" s="394">
        <f t="shared" ref="C147:C153" si="2">N147</f>
        <v>3003958.1214000322</v>
      </c>
      <c r="D147" s="588"/>
      <c r="E147" s="588">
        <v>2192116</v>
      </c>
      <c r="F147" s="363"/>
      <c r="G147" s="363"/>
      <c r="I147" s="354">
        <v>3005</v>
      </c>
      <c r="J147" s="160" t="str">
        <f t="shared" ref="J147:J153" si="3">B147</f>
        <v>Paga per t'u paguar</v>
      </c>
      <c r="K147" s="551">
        <f>-SUMIF(AL_TB!$L:$L,I147,AL_TB!$K:$K)</f>
        <v>3003958.1214000322</v>
      </c>
      <c r="L147" s="86">
        <f>-SUMIF(KS_TB!$N:$N,I147,KS_TB!$M:$M)</f>
        <v>0</v>
      </c>
      <c r="M147" s="86">
        <f>-SUMIF(MK_TB!$N:$N,I147,MK_TB!$M:$M)</f>
        <v>0</v>
      </c>
      <c r="N147" s="87">
        <f t="shared" ref="N147:N153" si="4">SUM(K147:M147)</f>
        <v>3003958.1214000322</v>
      </c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</row>
    <row r="148" spans="2:27">
      <c r="B148" s="353" t="s">
        <v>832</v>
      </c>
      <c r="C148" s="394">
        <f t="shared" si="2"/>
        <v>10366743.158399999</v>
      </c>
      <c r="D148" s="588"/>
      <c r="E148" s="588">
        <v>9781415</v>
      </c>
      <c r="F148" s="363"/>
      <c r="G148" s="363"/>
      <c r="I148" s="354">
        <v>3006</v>
      </c>
      <c r="J148" s="160" t="str">
        <f t="shared" si="3"/>
        <v>Detyrime per sigurime shoqerore &amp; shendetesore</v>
      </c>
      <c r="K148" s="551">
        <f>-SUMIF(AL_TB!$L:$L,I148,AL_TB!$K:$K)</f>
        <v>10230816</v>
      </c>
      <c r="L148" s="552">
        <f>-SUMIF(KS_TB!$N:$N,I148,KS_TB!$M:$M)</f>
        <v>135927.15840000001</v>
      </c>
      <c r="M148" s="86">
        <f>-SUMIF(MK_TB!$N:$N,I148,MK_TB!$M:$M)</f>
        <v>0</v>
      </c>
      <c r="N148" s="87">
        <f t="shared" si="4"/>
        <v>10366743.158399999</v>
      </c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7"/>
    </row>
    <row r="149" spans="2:27">
      <c r="B149" s="353" t="s">
        <v>838</v>
      </c>
      <c r="C149" s="394">
        <f t="shared" si="2"/>
        <v>5425583.7149</v>
      </c>
      <c r="D149" s="588"/>
      <c r="E149" s="588">
        <v>5191114</v>
      </c>
      <c r="F149" s="363"/>
      <c r="G149" s="363"/>
      <c r="I149" s="354">
        <v>3007</v>
      </c>
      <c r="J149" s="160" t="str">
        <f t="shared" si="3"/>
        <v>Detyrime per tatimin mbi te ardhurat personale</v>
      </c>
      <c r="K149" s="551">
        <f>-SUMIF(AL_TB!$L:$L,I149,AL_TB!$K:$K)</f>
        <v>5327297</v>
      </c>
      <c r="L149" s="552">
        <f>-SUMIF(KS_TB!$N:$N,I149,KS_TB!$M:$M)</f>
        <v>98286.714900000006</v>
      </c>
      <c r="M149" s="86">
        <f>-SUMIF(MK_TB!$N:$N,I149,MK_TB!$M:$M)</f>
        <v>0</v>
      </c>
      <c r="N149" s="87">
        <f t="shared" si="4"/>
        <v>5425583.7149</v>
      </c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</row>
    <row r="150" spans="2:27">
      <c r="B150" s="353" t="s">
        <v>41</v>
      </c>
      <c r="C150" s="394">
        <f t="shared" si="2"/>
        <v>117702.41110000649</v>
      </c>
      <c r="D150" s="588"/>
      <c r="E150" s="588">
        <v>889775</v>
      </c>
      <c r="F150" s="363"/>
      <c r="G150" s="363"/>
      <c r="I150" s="354">
        <v>3008</v>
      </c>
      <c r="J150" s="160" t="str">
        <f t="shared" si="3"/>
        <v>Tatim ne burim</v>
      </c>
      <c r="K150" s="551">
        <f>-SUMIF(AL_TB!$L:$L,I150,AL_TB!$K:$K)</f>
        <v>112180.23070000649</v>
      </c>
      <c r="L150" s="552">
        <f>-SUMIF(KS_TB!$N:$N,I150,KS_TB!$M:$M)</f>
        <v>5522.1804000000002</v>
      </c>
      <c r="M150" s="86">
        <f>-SUMIF(MK_TB!$N:$N,I150,MK_TB!$M:$M)</f>
        <v>0</v>
      </c>
      <c r="N150" s="87">
        <f t="shared" si="4"/>
        <v>117702.41110000649</v>
      </c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</row>
    <row r="151" spans="2:27">
      <c r="B151" s="353" t="s">
        <v>833</v>
      </c>
      <c r="C151" s="394">
        <f t="shared" si="2"/>
        <v>1022338.8676000023</v>
      </c>
      <c r="D151" s="588"/>
      <c r="E151" s="588">
        <v>4199916</v>
      </c>
      <c r="F151" s="363"/>
      <c r="G151" s="363"/>
      <c r="I151" s="354">
        <v>3009</v>
      </c>
      <c r="J151" s="160" t="str">
        <f t="shared" si="3"/>
        <v>TVSH per t'u paguar</v>
      </c>
      <c r="K151" s="551">
        <f>-SUMIF(AL_TB!$L:$L,I151,AL_TB!$K:$K)</f>
        <v>1022338.8676000023</v>
      </c>
      <c r="L151" s="86">
        <f>-SUMIF(KS_TB!$N:$N,I151,KS_TB!$M:$M)</f>
        <v>0</v>
      </c>
      <c r="M151" s="86">
        <f>-SUMIF(MK_TB!$N:$N,I151,MK_TB!$M:$M)</f>
        <v>0</v>
      </c>
      <c r="N151" s="87">
        <f t="shared" si="4"/>
        <v>1022338.8676000023</v>
      </c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</row>
    <row r="152" spans="2:27">
      <c r="B152" s="353" t="s">
        <v>1374</v>
      </c>
      <c r="C152" s="394">
        <f t="shared" si="2"/>
        <v>5234.625</v>
      </c>
      <c r="D152" s="588"/>
      <c r="E152" s="588">
        <v>5210</v>
      </c>
      <c r="F152" s="363"/>
      <c r="G152" s="363"/>
      <c r="I152" s="354">
        <v>3333</v>
      </c>
      <c r="J152" s="160" t="str">
        <f t="shared" si="3"/>
        <v>Tatim fitimi Kosove</v>
      </c>
      <c r="K152" s="85">
        <f>-SUMIF(AL_TB!$L:$L,I152,AL_TB!$K:$K)</f>
        <v>0</v>
      </c>
      <c r="L152" s="552">
        <f>-SUMIF(KS_TB!$N:$N,I152,KS_TB!$M:$M)</f>
        <v>5234.625</v>
      </c>
      <c r="M152" s="86">
        <f>-SUMIF(MK_TB!$N:$N,I152,MK_TB!$M:$M)</f>
        <v>0</v>
      </c>
      <c r="N152" s="87">
        <f t="shared" si="4"/>
        <v>5234.625</v>
      </c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</row>
    <row r="153" spans="2:27">
      <c r="B153" s="353" t="s">
        <v>834</v>
      </c>
      <c r="C153" s="394">
        <f t="shared" si="2"/>
        <v>342341.88029999856</v>
      </c>
      <c r="D153" s="588"/>
      <c r="E153" s="588">
        <v>293786</v>
      </c>
      <c r="F153" s="363"/>
      <c r="G153" s="363"/>
      <c r="I153" s="354">
        <v>3010</v>
      </c>
      <c r="J153" s="160" t="str">
        <f t="shared" si="3"/>
        <v>Debitore &amp; kreditore te tjere</v>
      </c>
      <c r="K153" s="551">
        <f>-SUMIF(AL_TB!$L:$L,I153,AL_TB!$K:$K)</f>
        <v>342341.88029999856</v>
      </c>
      <c r="L153" s="86">
        <f>-SUMIF(KS_TB!$N:$N,I153,KS_TB!$M:$M)</f>
        <v>0</v>
      </c>
      <c r="M153" s="86">
        <f>-SUMIF(MK_TB!$N:$N,I153,MK_TB!$M:$M)</f>
        <v>0</v>
      </c>
      <c r="N153" s="87">
        <f t="shared" si="4"/>
        <v>342341.88029999856</v>
      </c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</row>
    <row r="154" spans="2:27" ht="15.75" thickBot="1">
      <c r="B154" s="384"/>
      <c r="C154" s="363"/>
      <c r="D154" s="363"/>
      <c r="E154" s="363"/>
      <c r="F154" s="363"/>
      <c r="G154" s="363"/>
      <c r="J154" s="160"/>
      <c r="K154" s="85">
        <f>-SUMIF(AL_TB!$L:$L,I154,AL_TB!$K:$K)</f>
        <v>0</v>
      </c>
      <c r="L154" s="86">
        <f>-SUMIF(KS_TB!$N:$N,I154,KS_TB!$M:$M)</f>
        <v>0</v>
      </c>
      <c r="M154" s="86">
        <f>-SUMIF(MK_TB!$N:$N,I154,MK_TB!$M:$M)</f>
        <v>0</v>
      </c>
      <c r="N154" s="8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</row>
    <row r="155" spans="2:27" ht="16.5" thickTop="1" thickBot="1">
      <c r="B155" s="384"/>
      <c r="C155" s="381">
        <f>IF(ABS(SUM(C147:C153)-'1.1 BS_cons'!E45)&lt;1,SUM(C147:C153),"Error")-1</f>
        <v>20283901.778700039</v>
      </c>
      <c r="D155" s="363"/>
      <c r="E155" s="381">
        <f>IF(ABS(SUM(E147:E153)-'1.1 BS_cons'!F45)&lt;1,SUM(E147:E153),"Error")</f>
        <v>22553332</v>
      </c>
      <c r="F155" s="380"/>
      <c r="G155" s="381"/>
      <c r="I155" s="359"/>
      <c r="J155" s="161" t="s">
        <v>25</v>
      </c>
      <c r="K155" s="91">
        <f>+SUM(K147:K154)</f>
        <v>20038932.100000039</v>
      </c>
      <c r="L155" s="92">
        <f>+SUM(L147:L154)</f>
        <v>244970.67870000005</v>
      </c>
      <c r="M155" s="92">
        <f>+SUM(M147:M154)</f>
        <v>0</v>
      </c>
      <c r="N155" s="93">
        <f>+SUM(N147:N154)</f>
        <v>20283902.778700039</v>
      </c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</row>
    <row r="156" spans="2:27" ht="15.75" thickTop="1"/>
    <row r="157" spans="2:27">
      <c r="B157" s="372" t="s">
        <v>837</v>
      </c>
      <c r="C157" s="373"/>
      <c r="D157" s="373"/>
      <c r="E157" s="373"/>
      <c r="F157" s="373"/>
      <c r="G157" s="373"/>
      <c r="H157" s="373"/>
      <c r="M157" s="359"/>
    </row>
    <row r="158" spans="2:27">
      <c r="K158" s="442"/>
      <c r="M158" s="359"/>
    </row>
    <row r="159" spans="2:27">
      <c r="C159" s="383" t="str">
        <f>C144</f>
        <v>2012</v>
      </c>
      <c r="D159" s="376"/>
      <c r="E159" s="383" t="str">
        <f>E144</f>
        <v>2011</v>
      </c>
      <c r="F159" s="378"/>
      <c r="G159" s="378"/>
      <c r="K159" s="442"/>
      <c r="M159" s="359"/>
    </row>
    <row r="160" spans="2:27" ht="15.75" thickBot="1">
      <c r="C160" s="379" t="s">
        <v>770</v>
      </c>
      <c r="E160" s="379" t="s">
        <v>770</v>
      </c>
      <c r="F160" s="379"/>
      <c r="G160" s="379"/>
    </row>
    <row r="161" spans="2:14" ht="15.75" thickTop="1">
      <c r="C161" s="96"/>
      <c r="D161" s="395"/>
      <c r="E161" s="395"/>
      <c r="F161" s="395"/>
      <c r="G161" s="395"/>
      <c r="I161" s="354" t="s">
        <v>4</v>
      </c>
      <c r="J161" s="353" t="s">
        <v>5</v>
      </c>
      <c r="K161" s="81" t="s">
        <v>681</v>
      </c>
      <c r="L161" s="82" t="s">
        <v>143</v>
      </c>
      <c r="M161" s="82" t="s">
        <v>155</v>
      </c>
      <c r="N161" s="83" t="s">
        <v>24</v>
      </c>
    </row>
    <row r="162" spans="2:14">
      <c r="B162" s="404" t="s">
        <v>494</v>
      </c>
      <c r="C162" s="394">
        <f t="shared" ref="C162:C168" si="5">N162</f>
        <v>1131368257.1748009</v>
      </c>
      <c r="D162" s="394"/>
      <c r="E162" s="394">
        <v>1301027238</v>
      </c>
      <c r="F162" s="362"/>
      <c r="G162" s="396"/>
      <c r="I162" s="357">
        <v>7001</v>
      </c>
      <c r="J162" s="160" t="str">
        <f t="shared" ref="J162:J168" si="6">B162</f>
        <v>Te ardhura nga reklamat</v>
      </c>
      <c r="K162" s="551">
        <f>-SUMIF(AL_TB!$L:$L,I162,AL_TB!$K:$K)</f>
        <v>1131368257.1748009</v>
      </c>
      <c r="L162" s="86">
        <f>-SUMIF(KS_TB!$N:$N,I162,KS_TB!$M:$M)</f>
        <v>0</v>
      </c>
      <c r="M162" s="86">
        <f>-SUMIF(MK_TB!$N:$N,I162,MK_TB!$M:$M)</f>
        <v>0</v>
      </c>
      <c r="N162" s="87">
        <f t="shared" ref="N162:N169" si="7">SUM(K162:M162)</f>
        <v>1131368257.1748009</v>
      </c>
    </row>
    <row r="163" spans="2:14">
      <c r="B163" s="404" t="s">
        <v>495</v>
      </c>
      <c r="C163" s="394">
        <f t="shared" si="5"/>
        <v>37577525.146199986</v>
      </c>
      <c r="D163" s="394"/>
      <c r="E163" s="394">
        <v>26848810</v>
      </c>
      <c r="F163" s="362"/>
      <c r="G163" s="396"/>
      <c r="I163" s="357">
        <v>7002</v>
      </c>
      <c r="J163" s="160" t="str">
        <f t="shared" si="6"/>
        <v>Te ardhura nga te dreja e transmetimi</v>
      </c>
      <c r="K163" s="551">
        <f>-SUMIF(AL_TB!$L:$L,I163,AL_TB!$K:$K)</f>
        <v>37577525.146199986</v>
      </c>
      <c r="L163" s="86">
        <f>-SUMIF(KS_TB!$N:$N,I163,KS_TB!$M:$M)</f>
        <v>0</v>
      </c>
      <c r="M163" s="86">
        <f>-SUMIF(MK_TB!$N:$N,I163,MK_TB!$M:$M)</f>
        <v>0</v>
      </c>
      <c r="N163" s="87">
        <f t="shared" si="7"/>
        <v>37577525.146199986</v>
      </c>
    </row>
    <row r="164" spans="2:14">
      <c r="B164" s="404" t="s">
        <v>496</v>
      </c>
      <c r="C164" s="394">
        <f t="shared" si="5"/>
        <v>233593747.85960004</v>
      </c>
      <c r="D164" s="394"/>
      <c r="E164" s="394">
        <v>273137742</v>
      </c>
      <c r="F164" s="362"/>
      <c r="G164" s="362"/>
      <c r="I164" s="357">
        <v>7003</v>
      </c>
      <c r="J164" s="160" t="str">
        <f t="shared" si="6"/>
        <v>Te ardhura nga sherbime te ndryshme</v>
      </c>
      <c r="K164" s="551">
        <f>-SUMIF(AL_TB!$L:$L,I164,AL_TB!$K:$K)</f>
        <v>233593747.85960004</v>
      </c>
      <c r="L164" s="86">
        <f>-SUMIF(KS_TB!$N:$N,I164,KS_TB!$M:$M)</f>
        <v>0</v>
      </c>
      <c r="M164" s="86">
        <f>-SUMIF(MK_TB!$N:$N,I164,MK_TB!$M:$M)</f>
        <v>0</v>
      </c>
      <c r="N164" s="87">
        <f t="shared" si="7"/>
        <v>233593747.85960004</v>
      </c>
    </row>
    <row r="165" spans="2:14">
      <c r="B165" s="404" t="s">
        <v>572</v>
      </c>
      <c r="C165" s="394">
        <f t="shared" si="5"/>
        <v>4271799</v>
      </c>
      <c r="D165" s="394"/>
      <c r="E165" s="394">
        <v>4766195</v>
      </c>
      <c r="F165" s="362"/>
      <c r="G165" s="362"/>
      <c r="I165" s="357">
        <v>7004</v>
      </c>
      <c r="J165" s="160" t="str">
        <f t="shared" si="6"/>
        <v>Te ardhura nga sms</v>
      </c>
      <c r="K165" s="551">
        <f>-SUMIF(AL_TB!$L:$L,I165,AL_TB!$K:$K)</f>
        <v>4271799</v>
      </c>
      <c r="L165" s="86">
        <f>-SUMIF(KS_TB!$N:$N,I165,KS_TB!$M:$M)</f>
        <v>0</v>
      </c>
      <c r="M165" s="86">
        <f>-SUMIF(MK_TB!$N:$N,I165,MK_TB!$M:$M)</f>
        <v>0</v>
      </c>
      <c r="N165" s="87">
        <f>SUM(K165:M165)</f>
        <v>4271799</v>
      </c>
    </row>
    <row r="166" spans="2:14">
      <c r="B166" s="404" t="s">
        <v>499</v>
      </c>
      <c r="C166" s="394">
        <f t="shared" si="5"/>
        <v>3816324</v>
      </c>
      <c r="D166" s="394"/>
      <c r="E166" s="394">
        <v>3425683</v>
      </c>
      <c r="F166" s="362"/>
      <c r="G166" s="362"/>
      <c r="I166" s="357">
        <v>7005</v>
      </c>
      <c r="J166" s="160" t="str">
        <f t="shared" si="6"/>
        <v>Te ardhura nga qeraja</v>
      </c>
      <c r="K166" s="551">
        <f>-SUMIF(AL_TB!$L:$L,I166,AL_TB!$K:$K)</f>
        <v>3816324</v>
      </c>
      <c r="L166" s="86">
        <f>-SUMIF(KS_TB!$N:$N,I166,KS_TB!$M:$M)</f>
        <v>0</v>
      </c>
      <c r="M166" s="86">
        <f>-SUMIF(MK_TB!$N:$N,I166,MK_TB!$M:$M)</f>
        <v>0</v>
      </c>
      <c r="N166" s="87">
        <f>SUM(K166:M166)</f>
        <v>3816324</v>
      </c>
    </row>
    <row r="167" spans="2:14">
      <c r="B167" s="404" t="s">
        <v>842</v>
      </c>
      <c r="C167" s="394">
        <f t="shared" si="5"/>
        <v>1749166.63</v>
      </c>
      <c r="D167" s="394"/>
      <c r="E167" s="394">
        <f>5725365-0.5</f>
        <v>5725364.5</v>
      </c>
      <c r="F167" s="362"/>
      <c r="G167" s="362"/>
      <c r="I167" s="357">
        <v>7006</v>
      </c>
      <c r="J167" s="160" t="str">
        <f t="shared" si="6"/>
        <v>Të ardhura nga shitje te tjera</v>
      </c>
      <c r="K167" s="551">
        <f>-SUMIF(AL_TB!$L:$L,I167,AL_TB!$K:$K)</f>
        <v>1749166.63</v>
      </c>
      <c r="L167" s="86">
        <f>-SUMIF(KS_TB!$N:$N,I167,KS_TB!$M:$M)</f>
        <v>0</v>
      </c>
      <c r="M167" s="86">
        <f>-SUMIF(MK_TB!$N:$N,I167,MK_TB!$M:$M)</f>
        <v>0</v>
      </c>
      <c r="N167" s="87">
        <f>SUM(K167:M167)</f>
        <v>1749166.63</v>
      </c>
    </row>
    <row r="168" spans="2:14">
      <c r="B168" s="404" t="s">
        <v>845</v>
      </c>
      <c r="C168" s="394">
        <f t="shared" si="5"/>
        <v>131315.83329999997</v>
      </c>
      <c r="D168" s="394"/>
      <c r="E168" s="394">
        <v>146061</v>
      </c>
      <c r="F168" s="362"/>
      <c r="G168" s="362"/>
      <c r="I168" s="357">
        <v>7007</v>
      </c>
      <c r="J168" s="160" t="str">
        <f t="shared" si="6"/>
        <v>Te ardhura nga shitja e materialeve te arkives</v>
      </c>
      <c r="K168" s="551">
        <f>-SUMIF(AL_TB!$L:$L,I168,AL_TB!$K:$K)</f>
        <v>131315.83329999997</v>
      </c>
      <c r="L168" s="86">
        <f>-SUMIF(KS_TB!$N:$N,I168,KS_TB!$M:$M)</f>
        <v>0</v>
      </c>
      <c r="M168" s="86">
        <f>-SUMIF(MK_TB!$N:$N,I168,MK_TB!$M:$M)</f>
        <v>0</v>
      </c>
      <c r="N168" s="87">
        <f>SUM(K168:M168)</f>
        <v>131315.83329999997</v>
      </c>
    </row>
    <row r="169" spans="2:14" ht="15.75" thickBot="1">
      <c r="B169" s="384"/>
      <c r="C169" s="362"/>
      <c r="D169" s="362"/>
      <c r="E169" s="362"/>
      <c r="F169" s="362"/>
      <c r="G169" s="362"/>
      <c r="I169" s="357"/>
      <c r="J169" s="160"/>
      <c r="K169" s="551">
        <f>-SUMIF(AL_TB!$L:$L,I169,AL_TB!$K:$K)</f>
        <v>0</v>
      </c>
      <c r="L169" s="89">
        <f>-SUMIF(KS_TB!$N:$N,I169,KS_TB!$M:$M)</f>
        <v>0</v>
      </c>
      <c r="M169" s="89">
        <f>-SUMIF(MK_TB!$N:$N,I169,MK_TB!$M:$M)</f>
        <v>0</v>
      </c>
      <c r="N169" s="90">
        <f t="shared" si="7"/>
        <v>0</v>
      </c>
    </row>
    <row r="170" spans="2:14" ht="16.5" thickTop="1" thickBot="1">
      <c r="B170" s="384"/>
      <c r="C170" s="381">
        <f>IF(ABS(SUM(C162:C168)-'2.1 IS_cons'!E6)&lt;1,SUM(C162:C168),"Error")</f>
        <v>1412508135.6439011</v>
      </c>
      <c r="D170" s="381"/>
      <c r="E170" s="381">
        <f>IF(ABS(SUM(E162:E168)-'2.1 IS_cons'!F6)&lt;1,SUM(E162:E168),"Error")</f>
        <v>1615077093.5</v>
      </c>
      <c r="F170" s="380"/>
      <c r="G170" s="381"/>
      <c r="J170" s="161" t="s">
        <v>25</v>
      </c>
      <c r="K170" s="91">
        <f>SUM(K162:K169)</f>
        <v>1412508135.6439011</v>
      </c>
      <c r="L170" s="92">
        <f>SUM(L162:L169)</f>
        <v>0</v>
      </c>
      <c r="M170" s="92">
        <f>SUM(M162:M169)</f>
        <v>0</v>
      </c>
      <c r="N170" s="93">
        <f>SUM(K170:M170)</f>
        <v>1412508135.6439011</v>
      </c>
    </row>
    <row r="171" spans="2:14" ht="15.75" thickTop="1">
      <c r="B171" s="384"/>
      <c r="C171" s="397"/>
      <c r="D171" s="397"/>
      <c r="E171" s="397"/>
      <c r="F171" s="397"/>
      <c r="G171" s="397"/>
      <c r="J171" s="95"/>
    </row>
    <row r="172" spans="2:14" ht="17.25">
      <c r="B172" s="364"/>
      <c r="C172" s="94"/>
      <c r="D172" s="364"/>
      <c r="E172" s="94"/>
      <c r="F172" s="94"/>
      <c r="G172" s="94"/>
      <c r="J172" s="405" t="s">
        <v>839</v>
      </c>
      <c r="K172" s="406">
        <v>1538021698.46</v>
      </c>
      <c r="L172" s="356"/>
      <c r="M172" s="356"/>
    </row>
    <row r="173" spans="2:14">
      <c r="B173" s="364"/>
      <c r="C173" s="94"/>
      <c r="D173" s="364"/>
      <c r="E173" s="94"/>
      <c r="F173" s="94"/>
      <c r="G173" s="94"/>
      <c r="J173" s="407" t="s">
        <v>840</v>
      </c>
      <c r="K173" s="355">
        <v>-32595159</v>
      </c>
    </row>
    <row r="174" spans="2:14">
      <c r="B174" s="364"/>
      <c r="C174" s="94"/>
      <c r="D174" s="364"/>
      <c r="E174" s="94"/>
      <c r="F174" s="94"/>
      <c r="G174" s="94"/>
      <c r="J174" s="407" t="s">
        <v>841</v>
      </c>
      <c r="K174" s="355">
        <f>66299623-155500</f>
        <v>66144123</v>
      </c>
    </row>
    <row r="175" spans="2:14">
      <c r="B175" s="364"/>
      <c r="C175" s="94"/>
      <c r="D175" s="364"/>
      <c r="E175" s="94"/>
      <c r="F175" s="94"/>
      <c r="G175" s="94"/>
      <c r="J175" s="407" t="s">
        <v>1375</v>
      </c>
      <c r="K175" s="355">
        <v>155500</v>
      </c>
    </row>
    <row r="176" spans="2:14">
      <c r="B176" s="364"/>
      <c r="C176" s="94"/>
      <c r="D176" s="364"/>
      <c r="E176" s="94"/>
      <c r="F176" s="94"/>
      <c r="G176" s="94"/>
      <c r="J176" s="407" t="s">
        <v>1346</v>
      </c>
      <c r="K176" s="355">
        <v>275906</v>
      </c>
    </row>
    <row r="177" spans="2:14">
      <c r="B177" s="364"/>
      <c r="C177" s="94"/>
      <c r="D177" s="364"/>
      <c r="E177" s="94"/>
      <c r="F177" s="94"/>
      <c r="G177" s="94"/>
      <c r="J177" s="407" t="s">
        <v>1347</v>
      </c>
      <c r="K177" s="355">
        <f>AL_TB!J475</f>
        <v>110000</v>
      </c>
    </row>
    <row r="178" spans="2:14">
      <c r="B178" s="364"/>
      <c r="C178" s="94"/>
      <c r="D178" s="364"/>
      <c r="E178" s="94"/>
      <c r="F178" s="94"/>
      <c r="G178" s="94"/>
      <c r="J178" s="407" t="s">
        <v>1363</v>
      </c>
      <c r="K178" s="355">
        <v>-14698.86</v>
      </c>
    </row>
    <row r="179" spans="2:14">
      <c r="B179" s="364"/>
      <c r="C179" s="94"/>
      <c r="D179" s="364"/>
      <c r="E179" s="94"/>
      <c r="F179" s="94"/>
      <c r="G179" s="94"/>
      <c r="J179" s="358" t="s">
        <v>843</v>
      </c>
      <c r="K179" s="355">
        <f>AL_TB!J456</f>
        <v>91437891.680000007</v>
      </c>
    </row>
    <row r="180" spans="2:14">
      <c r="B180" s="364"/>
      <c r="C180" s="94"/>
      <c r="D180" s="364"/>
      <c r="E180" s="94"/>
      <c r="F180" s="94"/>
      <c r="G180" s="94"/>
      <c r="J180" s="407" t="s">
        <v>844</v>
      </c>
      <c r="K180" s="553">
        <f>(K170-K172)+SUM(K173:K179)</f>
        <v>3.9010792970657349E-3</v>
      </c>
    </row>
    <row r="181" spans="2:14">
      <c r="B181" s="364"/>
      <c r="C181" s="94"/>
      <c r="D181" s="364"/>
      <c r="E181" s="94"/>
      <c r="F181" s="94"/>
      <c r="G181" s="94"/>
      <c r="K181" s="355"/>
    </row>
    <row r="182" spans="2:14">
      <c r="B182" s="372" t="s">
        <v>846</v>
      </c>
      <c r="C182" s="373"/>
      <c r="D182" s="373"/>
      <c r="E182" s="373"/>
      <c r="F182" s="373"/>
      <c r="G182" s="373"/>
      <c r="H182" s="373"/>
    </row>
    <row r="183" spans="2:14">
      <c r="B183" s="384"/>
      <c r="C183" s="397"/>
      <c r="D183" s="397"/>
      <c r="E183" s="397"/>
      <c r="F183" s="397"/>
      <c r="G183" s="397"/>
    </row>
    <row r="184" spans="2:14">
      <c r="C184" s="383" t="str">
        <f>C159</f>
        <v>2012</v>
      </c>
      <c r="D184" s="376"/>
      <c r="E184" s="383" t="str">
        <f>E159</f>
        <v>2011</v>
      </c>
      <c r="F184" s="378"/>
      <c r="G184" s="378"/>
    </row>
    <row r="185" spans="2:14" ht="15.75" thickBot="1">
      <c r="C185" s="379" t="s">
        <v>770</v>
      </c>
      <c r="E185" s="379" t="s">
        <v>770</v>
      </c>
      <c r="F185" s="379"/>
      <c r="G185" s="379"/>
    </row>
    <row r="186" spans="2:14" ht="15.75" thickTop="1">
      <c r="C186" s="398"/>
      <c r="D186" s="365"/>
      <c r="E186" s="398"/>
      <c r="F186" s="398"/>
      <c r="G186" s="398"/>
      <c r="J186" s="353" t="s">
        <v>5</v>
      </c>
      <c r="K186" s="81" t="s">
        <v>681</v>
      </c>
      <c r="L186" s="82" t="s">
        <v>143</v>
      </c>
      <c r="M186" s="82" t="s">
        <v>155</v>
      </c>
      <c r="N186" s="83" t="s">
        <v>24</v>
      </c>
    </row>
    <row r="187" spans="2:14">
      <c r="B187" s="353" t="s">
        <v>145</v>
      </c>
      <c r="C187" s="351">
        <f>N187</f>
        <v>0</v>
      </c>
      <c r="D187" s="351"/>
      <c r="E187" s="351">
        <v>4446199</v>
      </c>
      <c r="F187" s="351"/>
      <c r="G187" s="351"/>
      <c r="I187" s="354">
        <v>4000</v>
      </c>
      <c r="J187" s="160" t="str">
        <f>B187</f>
        <v>Mallra</v>
      </c>
      <c r="K187" s="85">
        <f>SUMIF(AL_TB!$L:$L,I187,AL_TB!$K:$K)</f>
        <v>0</v>
      </c>
      <c r="L187" s="86">
        <f>SUMIF(KS_TB!$N:$N,I187,KS_TB!$M:$M)</f>
        <v>0</v>
      </c>
      <c r="M187" s="86">
        <f>SUMIF(MK_TB!$N:$N,I187,MK_TB!$M:$M)</f>
        <v>0</v>
      </c>
      <c r="N187" s="87">
        <f>SUM(K187:M187)</f>
        <v>0</v>
      </c>
    </row>
    <row r="188" spans="2:14">
      <c r="B188" s="353" t="s">
        <v>412</v>
      </c>
      <c r="C188" s="351">
        <f t="shared" ref="C188:C206" si="8">N188</f>
        <v>14151448.202</v>
      </c>
      <c r="D188" s="351"/>
      <c r="E188" s="351">
        <v>15169214</v>
      </c>
      <c r="F188" s="351"/>
      <c r="G188" s="351"/>
      <c r="I188" s="354">
        <v>4001</v>
      </c>
      <c r="J188" s="160" t="str">
        <f t="shared" ref="J188:J206" si="9">B188</f>
        <v>Blerje,energji,avull,uje</v>
      </c>
      <c r="K188" s="551">
        <f>SUMIF(AL_TB!$L:$L,I188,AL_TB!$K:$K)</f>
        <v>13976569.85</v>
      </c>
      <c r="L188" s="86">
        <f>SUMIF(KS_TB!$N:$N,I188,KS_TB!$M:$M)</f>
        <v>174878.35199999998</v>
      </c>
      <c r="M188" s="86">
        <f>SUMIF(MK_TB!$N:$N,I188,MK_TB!$M:$M)</f>
        <v>0</v>
      </c>
      <c r="N188" s="87">
        <f>SUM(K188:M188)</f>
        <v>14151448.202</v>
      </c>
    </row>
    <row r="189" spans="2:14">
      <c r="B189" s="353" t="s">
        <v>847</v>
      </c>
      <c r="C189" s="351">
        <f t="shared" si="8"/>
        <v>14835433.32</v>
      </c>
      <c r="D189" s="351"/>
      <c r="E189" s="351">
        <v>11324300</v>
      </c>
      <c r="F189" s="351"/>
      <c r="G189" s="351"/>
      <c r="I189" s="354">
        <v>4002</v>
      </c>
      <c r="J189" s="160" t="str">
        <f t="shared" si="9"/>
        <v>Shpenz. karburanti</v>
      </c>
      <c r="K189" s="551">
        <f>SUMIF(AL_TB!$L:$L,I189,AL_TB!$K:$K)</f>
        <v>14835433.32</v>
      </c>
      <c r="L189" s="86">
        <f>SUMIF(KS_TB!$N:$N,I189,KS_TB!$M:$M)</f>
        <v>0</v>
      </c>
      <c r="M189" s="86">
        <f>SUMIF(MK_TB!$N:$N,I189,MK_TB!$M:$M)</f>
        <v>0</v>
      </c>
      <c r="N189" s="87">
        <f t="shared" ref="N189:N206" si="10">SUM(K189:M189)</f>
        <v>14835433.32</v>
      </c>
    </row>
    <row r="190" spans="2:14">
      <c r="B190" s="353" t="s">
        <v>848</v>
      </c>
      <c r="C190" s="351">
        <f t="shared" si="8"/>
        <v>10756111.507999999</v>
      </c>
      <c r="D190" s="351"/>
      <c r="E190" s="351">
        <v>10282227</v>
      </c>
      <c r="F190" s="351"/>
      <c r="G190" s="351"/>
      <c r="I190" s="354">
        <v>4003</v>
      </c>
      <c r="J190" s="160" t="str">
        <f t="shared" si="9"/>
        <v>Blerje te pastokushme</v>
      </c>
      <c r="K190" s="551">
        <f>SUMIF(AL_TB!$L:$L,I190,AL_TB!$K:$K)</f>
        <v>10756111.507999999</v>
      </c>
      <c r="L190" s="86">
        <f>SUMIF(KS_TB!$N:$N,I190,KS_TB!$M:$M)</f>
        <v>0</v>
      </c>
      <c r="M190" s="86">
        <f>SUMIF(MK_TB!$N:$N,I190,MK_TB!$M:$M)</f>
        <v>0</v>
      </c>
      <c r="N190" s="87">
        <f t="shared" si="10"/>
        <v>10756111.507999999</v>
      </c>
    </row>
    <row r="191" spans="2:14">
      <c r="B191" s="353" t="s">
        <v>849</v>
      </c>
      <c r="C191" s="351">
        <f t="shared" si="8"/>
        <v>2445627.88</v>
      </c>
      <c r="D191" s="351"/>
      <c r="E191" s="351">
        <v>1956263</v>
      </c>
      <c r="F191" s="351"/>
      <c r="G191" s="351"/>
      <c r="I191" s="354">
        <v>4004</v>
      </c>
      <c r="J191" s="160" t="str">
        <f t="shared" si="9"/>
        <v>Shpenz. Kancelari</v>
      </c>
      <c r="K191" s="551">
        <f>SUMIF(AL_TB!$L:$L,I191,AL_TB!$K:$K)</f>
        <v>2445627.88</v>
      </c>
      <c r="L191" s="86">
        <f>SUMIF(KS_TB!$N:$N,I191,KS_TB!$M:$M)</f>
        <v>0</v>
      </c>
      <c r="M191" s="86">
        <f>SUMIF(MK_TB!$N:$N,I191,MK_TB!$M:$M)</f>
        <v>0</v>
      </c>
      <c r="N191" s="87">
        <f t="shared" si="10"/>
        <v>2445627.88</v>
      </c>
    </row>
    <row r="192" spans="2:14">
      <c r="B192" s="353" t="s">
        <v>419</v>
      </c>
      <c r="C192" s="351">
        <f t="shared" si="8"/>
        <v>173487.04</v>
      </c>
      <c r="D192" s="351"/>
      <c r="E192" s="351">
        <v>2622746</v>
      </c>
      <c r="F192" s="351"/>
      <c r="G192" s="351"/>
      <c r="I192" s="354">
        <v>4005</v>
      </c>
      <c r="J192" s="160" t="str">
        <f t="shared" si="9"/>
        <v>Shp skenografi,instalime</v>
      </c>
      <c r="K192" s="551">
        <f>SUMIF(AL_TB!$L:$L,I192,AL_TB!$K:$K)</f>
        <v>173487.04</v>
      </c>
      <c r="L192" s="86">
        <f>SUMIF(KS_TB!$N:$N,I192,KS_TB!$M:$M)</f>
        <v>0</v>
      </c>
      <c r="M192" s="86">
        <f>SUMIF(MK_TB!$N:$N,I192,MK_TB!$M:$M)</f>
        <v>0</v>
      </c>
      <c r="N192" s="87">
        <f t="shared" si="10"/>
        <v>173487.04</v>
      </c>
    </row>
    <row r="193" spans="2:14">
      <c r="B193" s="353" t="s">
        <v>421</v>
      </c>
      <c r="C193" s="351">
        <f t="shared" si="8"/>
        <v>1702614</v>
      </c>
      <c r="D193" s="351"/>
      <c r="E193" s="351">
        <v>1705977</v>
      </c>
      <c r="F193" s="351"/>
      <c r="G193" s="351"/>
      <c r="I193" s="354">
        <v>4006</v>
      </c>
      <c r="J193" s="160" t="str">
        <f t="shared" si="9"/>
        <v>Abonime gazeta,revista</v>
      </c>
      <c r="K193" s="551">
        <f>SUMIF(AL_TB!$L:$L,I193,AL_TB!$K:$K)</f>
        <v>1702614</v>
      </c>
      <c r="L193" s="86">
        <f>SUMIF(KS_TB!$N:$N,I193,KS_TB!$M:$M)</f>
        <v>0</v>
      </c>
      <c r="M193" s="86">
        <f>SUMIF(MK_TB!$N:$N,I193,MK_TB!$M:$M)</f>
        <v>0</v>
      </c>
      <c r="N193" s="87">
        <f t="shared" si="10"/>
        <v>1702614</v>
      </c>
    </row>
    <row r="194" spans="2:14">
      <c r="B194" s="353" t="s">
        <v>850</v>
      </c>
      <c r="C194" s="351">
        <f t="shared" si="8"/>
        <v>88045930.77170001</v>
      </c>
      <c r="D194" s="351"/>
      <c r="E194" s="351">
        <v>97125947</v>
      </c>
      <c r="F194" s="351"/>
      <c r="G194" s="351"/>
      <c r="I194" s="354">
        <v>4007</v>
      </c>
      <c r="J194" s="160" t="str">
        <f t="shared" si="9"/>
        <v>Shpenz. Qera</v>
      </c>
      <c r="K194" s="551">
        <f>SUMIF(AL_TB!$L:$L,I194,AL_TB!$K:$K)</f>
        <v>84548363.731700003</v>
      </c>
      <c r="L194" s="86">
        <f>SUMIF(KS_TB!$N:$N,I194,KS_TB!$M:$M)</f>
        <v>3497567.04</v>
      </c>
      <c r="M194" s="86">
        <f>SUMIF(MK_TB!$N:$N,I194,MK_TB!$M:$M)</f>
        <v>0</v>
      </c>
      <c r="N194" s="87">
        <f t="shared" si="10"/>
        <v>88045930.77170001</v>
      </c>
    </row>
    <row r="195" spans="2:14">
      <c r="B195" s="353" t="s">
        <v>428</v>
      </c>
      <c r="C195" s="351">
        <f t="shared" si="8"/>
        <v>10589632.284599999</v>
      </c>
      <c r="D195" s="351"/>
      <c r="E195" s="351">
        <v>12158150</v>
      </c>
      <c r="F195" s="351"/>
      <c r="G195" s="351"/>
      <c r="I195" s="354">
        <v>4008</v>
      </c>
      <c r="J195" s="160" t="str">
        <f t="shared" si="9"/>
        <v>Mirëmbajtje dhe riparime</v>
      </c>
      <c r="K195" s="551">
        <f>SUMIF(AL_TB!$L:$L,I195,AL_TB!$K:$K)</f>
        <v>10589632.284599999</v>
      </c>
      <c r="L195" s="86">
        <f>SUMIF(KS_TB!$N:$N,I195,KS_TB!$M:$M)</f>
        <v>0</v>
      </c>
      <c r="M195" s="86">
        <f>SUMIF(MK_TB!$N:$N,I195,MK_TB!$M:$M)</f>
        <v>0</v>
      </c>
      <c r="N195" s="87">
        <f t="shared" si="10"/>
        <v>10589632.284599999</v>
      </c>
    </row>
    <row r="196" spans="2:14">
      <c r="B196" s="353" t="s">
        <v>433</v>
      </c>
      <c r="C196" s="351">
        <f t="shared" si="8"/>
        <v>16241664.0693</v>
      </c>
      <c r="D196" s="351"/>
      <c r="E196" s="351">
        <v>17634153</v>
      </c>
      <c r="F196" s="351"/>
      <c r="G196" s="351"/>
      <c r="I196" s="354">
        <v>4009</v>
      </c>
      <c r="J196" s="160" t="str">
        <f t="shared" si="9"/>
        <v>Sigurime</v>
      </c>
      <c r="K196" s="551">
        <f>SUMIF(AL_TB!$L:$L,I196,AL_TB!$K:$K)</f>
        <v>14195934.93</v>
      </c>
      <c r="L196" s="86">
        <f>SUMIF(KS_TB!$N:$N,I196,KS_TB!$M:$M)</f>
        <v>2045729.1393000002</v>
      </c>
      <c r="M196" s="86">
        <f>SUMIF(MK_TB!$N:$N,I196,MK_TB!$M:$M)</f>
        <v>0</v>
      </c>
      <c r="N196" s="87">
        <f t="shared" si="10"/>
        <v>16241664.0693</v>
      </c>
    </row>
    <row r="197" spans="2:14">
      <c r="B197" s="353" t="s">
        <v>851</v>
      </c>
      <c r="C197" s="351">
        <f t="shared" si="8"/>
        <v>53777607.998300016</v>
      </c>
      <c r="D197" s="351"/>
      <c r="E197" s="351">
        <v>67724143</v>
      </c>
      <c r="F197" s="351"/>
      <c r="G197" s="351"/>
      <c r="I197" s="354">
        <v>4010</v>
      </c>
      <c r="J197" s="160" t="str">
        <f t="shared" si="9"/>
        <v>Koeficent kreditimi/veshje etj</v>
      </c>
      <c r="K197" s="551">
        <f>SUMIF(AL_TB!$L:$L,I197,AL_TB!$K:$K)</f>
        <v>53777607.998300016</v>
      </c>
      <c r="L197" s="86">
        <f>SUMIF(KS_TB!$N:$N,I197,KS_TB!$M:$M)</f>
        <v>0</v>
      </c>
      <c r="M197" s="86">
        <f>SUMIF(MK_TB!$N:$N,I197,MK_TB!$M:$M)</f>
        <v>0</v>
      </c>
      <c r="N197" s="87">
        <f t="shared" si="10"/>
        <v>53777607.998300016</v>
      </c>
    </row>
    <row r="198" spans="2:14">
      <c r="B198" s="353" t="s">
        <v>435</v>
      </c>
      <c r="C198" s="351">
        <f t="shared" si="8"/>
        <v>122650840.87750001</v>
      </c>
      <c r="D198" s="351"/>
      <c r="E198" s="351">
        <v>203710568</v>
      </c>
      <c r="F198" s="351"/>
      <c r="G198" s="351"/>
      <c r="I198" s="354">
        <v>4011</v>
      </c>
      <c r="J198" s="160" t="str">
        <f t="shared" si="9"/>
        <v>Te drejta sherbime</v>
      </c>
      <c r="K198" s="551">
        <f>SUMIF(AL_TB!$L:$L,I198,AL_TB!$K:$K)</f>
        <v>122650840.87750001</v>
      </c>
      <c r="L198" s="86">
        <f>SUMIF(KS_TB!$N:$N,I198,KS_TB!$M:$M)</f>
        <v>0</v>
      </c>
      <c r="M198" s="86">
        <f>SUMIF(MK_TB!$N:$N,I198,MK_TB!$M:$M)</f>
        <v>0</v>
      </c>
      <c r="N198" s="87">
        <f t="shared" si="10"/>
        <v>122650840.87750001</v>
      </c>
    </row>
    <row r="199" spans="2:14">
      <c r="B199" s="353" t="s">
        <v>445</v>
      </c>
      <c r="C199" s="351">
        <f t="shared" si="8"/>
        <v>11923004.092700003</v>
      </c>
      <c r="D199" s="351"/>
      <c r="E199" s="351">
        <v>11338210</v>
      </c>
      <c r="F199" s="351"/>
      <c r="G199" s="351"/>
      <c r="I199" s="354">
        <v>4012</v>
      </c>
      <c r="J199" s="160" t="str">
        <f t="shared" si="9"/>
        <v>Sherbim roje private</v>
      </c>
      <c r="K199" s="551">
        <f>SUMIF(AL_TB!$L:$L,I199,AL_TB!$K:$K)</f>
        <v>11923004.092700003</v>
      </c>
      <c r="L199" s="86">
        <f>SUMIF(KS_TB!$N:$N,I199,KS_TB!$M:$M)</f>
        <v>0</v>
      </c>
      <c r="M199" s="86">
        <f>SUMIF(MK_TB!$N:$N,I199,MK_TB!$M:$M)</f>
        <v>0</v>
      </c>
      <c r="N199" s="87">
        <f t="shared" si="10"/>
        <v>11923004.092700003</v>
      </c>
    </row>
    <row r="200" spans="2:14">
      <c r="B200" s="353" t="s">
        <v>448</v>
      </c>
      <c r="C200" s="351">
        <f t="shared" si="8"/>
        <v>108881593.14220001</v>
      </c>
      <c r="D200" s="351"/>
      <c r="E200" s="351">
        <v>99763156</v>
      </c>
      <c r="F200" s="351"/>
      <c r="G200" s="351"/>
      <c r="I200" s="354">
        <v>4013</v>
      </c>
      <c r="J200" s="160" t="str">
        <f t="shared" si="9"/>
        <v>Shp per honorare</v>
      </c>
      <c r="K200" s="551">
        <f>SUMIF(AL_TB!$L:$L,I200,AL_TB!$K:$K)</f>
        <v>84966579.278800011</v>
      </c>
      <c r="L200" s="86">
        <f>SUMIF(KS_TB!$N:$N,I200,KS_TB!$M:$M)</f>
        <v>18185533.938000001</v>
      </c>
      <c r="M200" s="86">
        <f>SUMIF(MK_TB!$N:$N,I200,MK_TB!$M:$M)</f>
        <v>5729479.9254000001</v>
      </c>
      <c r="N200" s="87">
        <f t="shared" si="10"/>
        <v>108881593.14220001</v>
      </c>
    </row>
    <row r="201" spans="2:14">
      <c r="B201" s="353" t="s">
        <v>450</v>
      </c>
      <c r="C201" s="351">
        <f t="shared" si="8"/>
        <v>8551467.5700000003</v>
      </c>
      <c r="D201" s="351"/>
      <c r="E201" s="351">
        <v>8124550</v>
      </c>
      <c r="F201" s="351"/>
      <c r="G201" s="351"/>
      <c r="I201" s="354">
        <v>4014</v>
      </c>
      <c r="J201" s="160" t="str">
        <f t="shared" si="9"/>
        <v>Konsulence/Auditim+sherbime te tjera</v>
      </c>
      <c r="K201" s="551">
        <f>SUMIF(AL_TB!$L:$L,I201,AL_TB!$K:$K)</f>
        <v>8551467.5700000003</v>
      </c>
      <c r="L201" s="86">
        <f>SUMIF(KS_TB!$N:$N,I201,KS_TB!$M:$M)</f>
        <v>0</v>
      </c>
      <c r="M201" s="86">
        <f>SUMIF(MK_TB!$N:$N,I201,MK_TB!$M:$M)</f>
        <v>0</v>
      </c>
      <c r="N201" s="87">
        <f t="shared" si="10"/>
        <v>8551467.5700000003</v>
      </c>
    </row>
    <row r="202" spans="2:14">
      <c r="B202" s="353" t="s">
        <v>453</v>
      </c>
      <c r="C202" s="351">
        <f t="shared" si="8"/>
        <v>17544201.5</v>
      </c>
      <c r="D202" s="351"/>
      <c r="E202" s="351">
        <v>14430840</v>
      </c>
      <c r="F202" s="351"/>
      <c r="G202" s="351"/>
      <c r="I202" s="354">
        <v>4015</v>
      </c>
      <c r="J202" s="160" t="str">
        <f t="shared" si="9"/>
        <v>Publicitet, reklama</v>
      </c>
      <c r="K202" s="551">
        <f>SUMIF(AL_TB!$L:$L,I202,AL_TB!$K:$K)</f>
        <v>17544201.5</v>
      </c>
      <c r="L202" s="86">
        <f>SUMIF(KS_TB!$N:$N,I202,KS_TB!$M:$M)</f>
        <v>0</v>
      </c>
      <c r="M202" s="86">
        <f>SUMIF(MK_TB!$N:$N,I202,MK_TB!$M:$M)</f>
        <v>0</v>
      </c>
      <c r="N202" s="87">
        <f t="shared" si="10"/>
        <v>17544201.5</v>
      </c>
    </row>
    <row r="203" spans="2:14">
      <c r="B203" s="353" t="s">
        <v>457</v>
      </c>
      <c r="C203" s="351">
        <f t="shared" si="8"/>
        <v>33123479.7348</v>
      </c>
      <c r="D203" s="351"/>
      <c r="E203" s="351">
        <v>35725506</v>
      </c>
      <c r="F203" s="351"/>
      <c r="G203" s="351"/>
      <c r="I203" s="354">
        <v>4016</v>
      </c>
      <c r="J203" s="160" t="str">
        <f t="shared" si="9"/>
        <v>Telefon fikse</v>
      </c>
      <c r="K203" s="551">
        <f>SUMIF(AL_TB!$L:$L,I203,AL_TB!$K:$K)</f>
        <v>29644896.934799999</v>
      </c>
      <c r="L203" s="86">
        <f>SUMIF(KS_TB!$N:$N,I203,KS_TB!$M:$M)</f>
        <v>3478582.8000000003</v>
      </c>
      <c r="M203" s="86">
        <f>SUMIF(MK_TB!$N:$N,I203,MK_TB!$M:$M)</f>
        <v>0</v>
      </c>
      <c r="N203" s="87">
        <f t="shared" si="10"/>
        <v>33123479.7348</v>
      </c>
    </row>
    <row r="204" spans="2:14">
      <c r="B204" s="353" t="s">
        <v>463</v>
      </c>
      <c r="C204" s="351">
        <f t="shared" si="8"/>
        <v>6657803.1617000019</v>
      </c>
      <c r="D204" s="351"/>
      <c r="E204" s="351">
        <v>4973757</v>
      </c>
      <c r="F204" s="351"/>
      <c r="G204" s="351"/>
      <c r="I204" s="354">
        <v>4017</v>
      </c>
      <c r="J204" s="160" t="str">
        <f t="shared" si="9"/>
        <v>Shpenzime transpoti</v>
      </c>
      <c r="K204" s="551">
        <f>SUMIF(AL_TB!$L:$L,I204,AL_TB!$K:$K)</f>
        <v>6657803.1617000019</v>
      </c>
      <c r="L204" s="86">
        <f>SUMIF(KS_TB!$N:$N,I204,KS_TB!$M:$M)</f>
        <v>0</v>
      </c>
      <c r="M204" s="86">
        <f>SUMIF(MK_TB!$N:$N,I204,MK_TB!$M:$M)</f>
        <v>0</v>
      </c>
      <c r="N204" s="87">
        <f t="shared" si="10"/>
        <v>6657803.1617000019</v>
      </c>
    </row>
    <row r="205" spans="2:14">
      <c r="B205" s="353" t="s">
        <v>875</v>
      </c>
      <c r="C205" s="351">
        <f t="shared" si="8"/>
        <v>0</v>
      </c>
      <c r="D205" s="351"/>
      <c r="E205" s="351"/>
      <c r="F205" s="351"/>
      <c r="G205" s="351"/>
      <c r="J205" s="160" t="str">
        <f t="shared" si="9"/>
        <v>Komisione bankare dhe te tjera</v>
      </c>
      <c r="K205" s="85">
        <f>SUMIF(AL_TB!$L:$L,I205,AL_TB!$K:$K)</f>
        <v>0</v>
      </c>
      <c r="L205" s="86">
        <f>SUMIF(KS_TB!$N:$N,I205,KS_TB!$M:$M)</f>
        <v>0</v>
      </c>
      <c r="M205" s="86">
        <f>SUMIF(MK_TB!$N:$N,I205,MK_TB!$M:$M)</f>
        <v>0</v>
      </c>
      <c r="N205" s="87">
        <f>SUM(K205:M205)</f>
        <v>0</v>
      </c>
    </row>
    <row r="206" spans="2:14">
      <c r="B206" s="353" t="s">
        <v>153</v>
      </c>
      <c r="C206" s="351">
        <f t="shared" si="8"/>
        <v>25171060.881300002</v>
      </c>
      <c r="D206" s="351"/>
      <c r="E206" s="351">
        <v>55299147</v>
      </c>
      <c r="F206" s="351"/>
      <c r="G206" s="351"/>
      <c r="I206" s="354">
        <v>4019</v>
      </c>
      <c r="J206" s="160" t="str">
        <f t="shared" si="9"/>
        <v>Te tjera</v>
      </c>
      <c r="K206" s="551">
        <f>SUMIF(AL_TB!$L:$L,I206,AL_TB!$K:$K)</f>
        <v>25171060.881300002</v>
      </c>
      <c r="L206" s="86">
        <f>SUMIF(KS_TB!$N:$N,I206,KS_TB!$M:$M)</f>
        <v>0</v>
      </c>
      <c r="M206" s="86">
        <f>SUMIF(MK_TB!$N:$N,I206,MK_TB!$M:$M)</f>
        <v>0</v>
      </c>
      <c r="N206" s="87">
        <f t="shared" si="10"/>
        <v>25171060.881300002</v>
      </c>
    </row>
    <row r="207" spans="2:14" ht="15.75" thickBot="1">
      <c r="C207" s="365"/>
      <c r="D207" s="365"/>
      <c r="E207" s="365"/>
      <c r="F207" s="365"/>
      <c r="G207" s="365"/>
      <c r="J207" s="95"/>
      <c r="K207" s="85">
        <f>SUMIF(AL_TB!$L:$L,I207,AL_TB!$K:$K)</f>
        <v>0</v>
      </c>
      <c r="L207" s="86">
        <f>SUMIF(KS_TB!$N:$N,I207,KS_TB!$M:$M)</f>
        <v>0</v>
      </c>
      <c r="M207" s="86">
        <f>SUMIF(MK_TB!$N:$N,I207,MK_TB!$M:$M)</f>
        <v>0</v>
      </c>
      <c r="N207" s="87">
        <f>SUM(K207:M207)</f>
        <v>0</v>
      </c>
    </row>
    <row r="208" spans="2:14" ht="16.5" thickTop="1" thickBot="1">
      <c r="C208" s="381">
        <f>IF(ABS(SUM(C187:C206)+'2.1 IS_cons'!E8)&lt;1,SUM(C187:C206),"Error")</f>
        <v>547223008.03410006</v>
      </c>
      <c r="D208" s="382"/>
      <c r="E208" s="381">
        <f>IF(ABS(SUM(E187:E206)+'2.1 IS_cons'!F8)&lt;1,SUM(E187:E206),"Error")</f>
        <v>675515053</v>
      </c>
      <c r="F208" s="380"/>
      <c r="G208" s="381"/>
      <c r="J208" s="161" t="s">
        <v>25</v>
      </c>
      <c r="K208" s="91">
        <f>SUM(K187:K207)</f>
        <v>514111236.83940005</v>
      </c>
      <c r="L208" s="92">
        <f>SUM(L187:L207)</f>
        <v>27382291.269300003</v>
      </c>
      <c r="M208" s="92">
        <f>SUM(M187:M207)</f>
        <v>5729479.9254000001</v>
      </c>
      <c r="N208" s="93">
        <f>SUM(K208:M208)</f>
        <v>547223008.03410006</v>
      </c>
    </row>
    <row r="209" spans="2:14" ht="15.75" thickTop="1"/>
    <row r="210" spans="2:14">
      <c r="B210" s="364"/>
      <c r="C210" s="94"/>
      <c r="D210" s="364"/>
      <c r="E210" s="94"/>
      <c r="F210" s="94"/>
      <c r="G210" s="94"/>
      <c r="I210" s="357"/>
      <c r="N210" s="354"/>
    </row>
    <row r="211" spans="2:14">
      <c r="B211" s="372" t="s">
        <v>852</v>
      </c>
      <c r="C211" s="373"/>
      <c r="D211" s="373"/>
      <c r="E211" s="373"/>
      <c r="F211" s="373"/>
      <c r="G211" s="373"/>
      <c r="H211" s="373"/>
      <c r="I211" s="357"/>
    </row>
    <row r="212" spans="2:14">
      <c r="I212" s="357"/>
    </row>
    <row r="213" spans="2:14">
      <c r="C213" s="383" t="str">
        <f>+C184</f>
        <v>2012</v>
      </c>
      <c r="D213" s="376"/>
      <c r="E213" s="383" t="str">
        <f>+E184</f>
        <v>2011</v>
      </c>
      <c r="F213" s="378"/>
      <c r="G213" s="378"/>
    </row>
    <row r="214" spans="2:14" ht="15.75" thickBot="1">
      <c r="C214" s="379" t="s">
        <v>770</v>
      </c>
      <c r="E214" s="379" t="s">
        <v>770</v>
      </c>
      <c r="F214" s="379"/>
      <c r="G214" s="379"/>
      <c r="I214" s="359"/>
    </row>
    <row r="215" spans="2:14" ht="15.75" thickTop="1">
      <c r="C215" s="96"/>
      <c r="E215" s="96"/>
      <c r="F215" s="96"/>
      <c r="G215" s="96"/>
      <c r="I215" s="359" t="s">
        <v>4</v>
      </c>
      <c r="J215" s="353" t="s">
        <v>5</v>
      </c>
      <c r="K215" s="81" t="s">
        <v>681</v>
      </c>
      <c r="L215" s="82" t="s">
        <v>143</v>
      </c>
      <c r="M215" s="82" t="s">
        <v>155</v>
      </c>
      <c r="N215" s="83" t="s">
        <v>24</v>
      </c>
    </row>
    <row r="216" spans="2:14">
      <c r="B216" s="353" t="s">
        <v>853</v>
      </c>
      <c r="C216" s="394">
        <f>N216</f>
        <v>601598643</v>
      </c>
      <c r="D216" s="362"/>
      <c r="E216" s="362">
        <v>538397197</v>
      </c>
      <c r="F216" s="362"/>
      <c r="G216" s="396"/>
      <c r="I216" s="354">
        <v>4020</v>
      </c>
      <c r="J216" s="160" t="str">
        <f>B216</f>
        <v>Shpenzime per paga</v>
      </c>
      <c r="K216" s="551">
        <f>SUMIF(AL_TB!$L:$L,I216,AL_TB!$K:$K)</f>
        <v>601598643</v>
      </c>
      <c r="L216" s="86">
        <f>SUMIF(KS_TB!$N:$N,I216,KS_TB!$M:$M)</f>
        <v>0</v>
      </c>
      <c r="M216" s="86">
        <f>SUMIF(MK_TB!$N:$N,I216,MK_TB!$M:$M)</f>
        <v>0</v>
      </c>
      <c r="N216" s="87">
        <f>SUM(K216:M216)</f>
        <v>601598643</v>
      </c>
    </row>
    <row r="217" spans="2:14">
      <c r="B217" s="353" t="s">
        <v>854</v>
      </c>
      <c r="C217" s="394">
        <f>N217</f>
        <v>68842362.5</v>
      </c>
      <c r="D217" s="362"/>
      <c r="E217" s="362">
        <v>63512166</v>
      </c>
      <c r="F217" s="362"/>
      <c r="G217" s="396"/>
      <c r="I217" s="354">
        <v>4021</v>
      </c>
      <c r="J217" s="160" t="str">
        <f>B217</f>
        <v>Shpenzime per sigurime shoqerore e shendetesore</v>
      </c>
      <c r="K217" s="551">
        <f>SUMIF(AL_TB!$L:$L,I217,AL_TB!$K:$K)</f>
        <v>68842362.5</v>
      </c>
      <c r="L217" s="86">
        <f>SUMIF(KS_TB!$N:$N,I217,KS_TB!$M:$M)</f>
        <v>0</v>
      </c>
      <c r="M217" s="86">
        <f>SUMIF(MK_TB!$N:$N,I217,MK_TB!$M:$M)</f>
        <v>0</v>
      </c>
      <c r="N217" s="87">
        <f>SUM(K217:M217)</f>
        <v>68842362.5</v>
      </c>
    </row>
    <row r="218" spans="2:14">
      <c r="B218" s="353" t="s">
        <v>884</v>
      </c>
      <c r="C218" s="393">
        <v>0</v>
      </c>
      <c r="D218" s="362"/>
      <c r="E218" s="362"/>
      <c r="F218" s="362"/>
      <c r="G218" s="396"/>
      <c r="J218" s="160"/>
      <c r="K218" s="551"/>
      <c r="L218" s="86"/>
      <c r="M218" s="86"/>
      <c r="N218" s="87"/>
    </row>
    <row r="219" spans="2:14">
      <c r="B219" s="384"/>
      <c r="C219" s="362"/>
      <c r="D219" s="362"/>
      <c r="E219" s="362"/>
      <c r="F219" s="362"/>
      <c r="G219" s="362"/>
      <c r="J219" s="160"/>
      <c r="K219" s="85">
        <f>SUMIF(AL_TB!$L:$L,I219,AL_TB!$K:$K)</f>
        <v>0</v>
      </c>
      <c r="L219" s="86">
        <f>SUMIF(KS_TB!$N:$N,I219,KS_TB!$M:$M)</f>
        <v>0</v>
      </c>
      <c r="M219" s="86">
        <f>SUMIF(MK_TB!$N:$N,I219,MK_TB!$M:$M)</f>
        <v>0</v>
      </c>
      <c r="N219" s="87">
        <f>SUM(K219:M219)</f>
        <v>0</v>
      </c>
    </row>
    <row r="220" spans="2:14" ht="15.75" thickBot="1">
      <c r="B220" s="384"/>
      <c r="C220" s="381">
        <f>IF(ABS(SUM(C216:C217)+'2.1 IS_cons'!E9)&lt;1,SUM(C216:C217),"Error")</f>
        <v>670441005.5</v>
      </c>
      <c r="D220" s="382"/>
      <c r="E220" s="381">
        <f>IF(ABS(SUM(E216:E218)+'2.1 IS_cons'!F9)&lt;1,SUM(E216:E218),"Error")</f>
        <v>601909363</v>
      </c>
      <c r="F220" s="380"/>
      <c r="G220" s="381"/>
      <c r="J220" s="160" t="s">
        <v>25</v>
      </c>
      <c r="K220" s="88">
        <f>SUM(K216:K219)</f>
        <v>670441005.5</v>
      </c>
      <c r="L220" s="89">
        <f>SUM(L216:L219)</f>
        <v>0</v>
      </c>
      <c r="M220" s="89">
        <f>SUM(M216:M219)</f>
        <v>0</v>
      </c>
      <c r="N220" s="90">
        <f>SUM(N216:N219)</f>
        <v>670441005.5</v>
      </c>
    </row>
    <row r="221" spans="2:14" ht="15.75" thickTop="1">
      <c r="B221" s="384"/>
      <c r="C221" s="380"/>
      <c r="D221" s="382"/>
      <c r="E221" s="380"/>
      <c r="F221" s="380"/>
      <c r="G221" s="380"/>
    </row>
    <row r="222" spans="2:14" ht="17.25">
      <c r="B222" s="384"/>
      <c r="C222" s="380"/>
      <c r="D222" s="382"/>
      <c r="E222" s="380"/>
      <c r="F222" s="380"/>
      <c r="G222" s="380"/>
      <c r="J222" s="405" t="s">
        <v>855</v>
      </c>
      <c r="K222" s="406">
        <f>601598643+68842362</f>
        <v>670441005</v>
      </c>
      <c r="L222" s="351">
        <v>68842364.568000004</v>
      </c>
      <c r="M222" s="356"/>
    </row>
    <row r="223" spans="2:14">
      <c r="B223" s="384"/>
      <c r="C223" s="380"/>
      <c r="D223" s="382"/>
      <c r="E223" s="380"/>
      <c r="F223" s="380"/>
      <c r="G223" s="380"/>
      <c r="I223" s="366"/>
      <c r="J223" s="409" t="s">
        <v>844</v>
      </c>
      <c r="K223" s="410">
        <f>K220-K222</f>
        <v>0.5</v>
      </c>
      <c r="L223" s="351"/>
      <c r="M223" s="351"/>
      <c r="N223" s="352"/>
    </row>
    <row r="224" spans="2:14">
      <c r="B224" s="384"/>
      <c r="C224" s="380"/>
      <c r="D224" s="382"/>
      <c r="E224" s="380"/>
      <c r="F224" s="380"/>
      <c r="G224" s="380"/>
      <c r="I224" s="366"/>
      <c r="J224" s="84"/>
      <c r="K224" s="351"/>
      <c r="L224" s="351"/>
      <c r="M224" s="351"/>
      <c r="N224" s="352"/>
    </row>
    <row r="225" spans="2:14">
      <c r="B225" s="372" t="s">
        <v>856</v>
      </c>
      <c r="C225" s="373"/>
      <c r="D225" s="373"/>
      <c r="E225" s="373"/>
      <c r="F225" s="373"/>
      <c r="G225" s="373"/>
      <c r="H225" s="373"/>
      <c r="I225" s="357"/>
    </row>
    <row r="226" spans="2:14">
      <c r="I226" s="357"/>
      <c r="K226" s="355"/>
    </row>
    <row r="227" spans="2:14">
      <c r="C227" s="383" t="str">
        <f>C213</f>
        <v>2012</v>
      </c>
      <c r="D227" s="376"/>
      <c r="E227" s="383" t="str">
        <f>E213</f>
        <v>2011</v>
      </c>
      <c r="F227" s="378"/>
      <c r="G227" s="378"/>
    </row>
    <row r="228" spans="2:14" ht="15.75" thickBot="1">
      <c r="C228" s="379" t="s">
        <v>770</v>
      </c>
      <c r="E228" s="379" t="s">
        <v>770</v>
      </c>
      <c r="F228" s="379"/>
      <c r="G228" s="379"/>
      <c r="I228" s="359"/>
    </row>
    <row r="229" spans="2:14" ht="15.75" thickTop="1">
      <c r="C229" s="96"/>
      <c r="E229" s="96"/>
      <c r="F229" s="96"/>
      <c r="G229" s="96"/>
      <c r="I229" s="359" t="s">
        <v>4</v>
      </c>
      <c r="J229" s="353" t="s">
        <v>5</v>
      </c>
      <c r="K229" s="81" t="s">
        <v>681</v>
      </c>
      <c r="L229" s="82" t="s">
        <v>143</v>
      </c>
      <c r="M229" s="82" t="s">
        <v>155</v>
      </c>
      <c r="N229" s="83" t="s">
        <v>24</v>
      </c>
    </row>
    <row r="230" spans="2:14">
      <c r="B230" s="353" t="s">
        <v>857</v>
      </c>
      <c r="C230" s="394">
        <f>N230</f>
        <v>119726757</v>
      </c>
      <c r="D230" s="394"/>
      <c r="E230" s="393">
        <f>135753137</f>
        <v>135753137</v>
      </c>
      <c r="F230" s="362"/>
      <c r="G230" s="396"/>
      <c r="H230" s="356"/>
      <c r="I230" s="354">
        <v>5000</v>
      </c>
      <c r="J230" s="160" t="str">
        <f>B230</f>
        <v>Shpenzime amortizimi</v>
      </c>
      <c r="K230" s="551">
        <f>SUMIF(AL_TB!$L:$L,I230,AL_TB!$K:$K)</f>
        <v>119726757</v>
      </c>
      <c r="L230" s="86">
        <f>SUMIF(KS_TB!$N:$N,I230,KS_TB!$M:$M)</f>
        <v>0</v>
      </c>
      <c r="M230" s="86">
        <f>SUMIF(MK_TB!$N:$N,I230,MK_TB!$M:$M)</f>
        <v>0</v>
      </c>
      <c r="N230" s="87">
        <f>SUM(K230:M230)</f>
        <v>119726757</v>
      </c>
    </row>
    <row r="231" spans="2:14">
      <c r="B231" s="353" t="s">
        <v>860</v>
      </c>
      <c r="C231" s="394">
        <f>N231</f>
        <v>93078876.349999994</v>
      </c>
      <c r="D231" s="394"/>
      <c r="E231" s="393">
        <f>85746105.5</f>
        <v>85746105.5</v>
      </c>
      <c r="F231" s="362"/>
      <c r="G231" s="396"/>
      <c r="I231" s="354">
        <v>5001</v>
      </c>
      <c r="J231" s="160" t="str">
        <f>B231</f>
        <v>Kuota pjese e shpenzimeve per t'u shperndare</v>
      </c>
      <c r="K231" s="551">
        <f>SUMIF(AL_TB!$L:$L,I231,AL_TB!$K:$K)</f>
        <v>93078876.349999994</v>
      </c>
      <c r="L231" s="86">
        <f>SUMIF(KS_TB!$N:$N,I231,KS_TB!$M:$M)</f>
        <v>0</v>
      </c>
      <c r="M231" s="86">
        <f>SUMIF(MK_TB!$N:$N,I231,MK_TB!$M:$M)</f>
        <v>0</v>
      </c>
      <c r="N231" s="87">
        <f>SUM(K231:M231)</f>
        <v>93078876.349999994</v>
      </c>
    </row>
    <row r="232" spans="2:14">
      <c r="B232" s="353" t="s">
        <v>858</v>
      </c>
      <c r="C232" s="394">
        <f>N232</f>
        <v>-563700</v>
      </c>
      <c r="D232" s="394"/>
      <c r="E232" s="393">
        <f>(-563659)</f>
        <v>-563659</v>
      </c>
      <c r="F232" s="362"/>
      <c r="G232" s="396"/>
      <c r="I232" s="354">
        <v>5002</v>
      </c>
      <c r="J232" s="160" t="str">
        <f>B232</f>
        <v>Te ardhura nga Grantet</v>
      </c>
      <c r="K232" s="551">
        <f>SUMIF(AL_TB!$L:$L,I232,AL_TB!$K:$K)</f>
        <v>-563700</v>
      </c>
      <c r="L232" s="86">
        <f>SUMIF(KS_TB!$N:$N,I232,KS_TB!$M:$M)</f>
        <v>0</v>
      </c>
      <c r="M232" s="86">
        <f>SUMIF(MK_TB!$N:$N,I232,MK_TB!$M:$M)</f>
        <v>0</v>
      </c>
      <c r="N232" s="87">
        <f>SUM(K232:M232)</f>
        <v>-563700</v>
      </c>
    </row>
    <row r="233" spans="2:14">
      <c r="B233" s="384"/>
      <c r="C233" s="362"/>
      <c r="D233" s="362"/>
      <c r="E233" s="362"/>
      <c r="F233" s="362"/>
      <c r="G233" s="362"/>
      <c r="J233" s="160"/>
      <c r="K233" s="551">
        <f>SUMIF(AL_TB!$L:$L,I233,AL_TB!$K:$K)</f>
        <v>0</v>
      </c>
      <c r="L233" s="86">
        <f>SUMIF(KS_TB!$N:$N,I233,KS_TB!$M:$M)</f>
        <v>0</v>
      </c>
      <c r="M233" s="86">
        <f>SUMIF(MK_TB!$N:$N,I233,MK_TB!$M:$M)</f>
        <v>0</v>
      </c>
      <c r="N233" s="87">
        <f>SUM(K233:M233)</f>
        <v>0</v>
      </c>
    </row>
    <row r="234" spans="2:14" ht="15.75" thickBot="1">
      <c r="B234" s="384"/>
      <c r="C234" s="381">
        <f>IF(ABS(SUM(C230:C232)+'2.1 IS_cons'!E10)&lt;1,SUM(C230:C232),"Error")</f>
        <v>212241933.34999999</v>
      </c>
      <c r="D234" s="382"/>
      <c r="E234" s="381">
        <f>IF(ABS(SUM(E230:E232)+'2.1 IS_cons'!F10)&lt;1,SUM(E230:E232),"Error")</f>
        <v>220935583.5</v>
      </c>
      <c r="F234" s="380"/>
      <c r="G234" s="381"/>
      <c r="J234" s="160" t="s">
        <v>25</v>
      </c>
      <c r="K234" s="88">
        <f>SUM(K230:K233)</f>
        <v>212241933.34999999</v>
      </c>
      <c r="L234" s="89">
        <f>SUM(L230:L233)</f>
        <v>0</v>
      </c>
      <c r="M234" s="89">
        <f>SUM(M230:M233)</f>
        <v>0</v>
      </c>
      <c r="N234" s="90">
        <f>SUM(N230:N233)</f>
        <v>212241933.34999999</v>
      </c>
    </row>
    <row r="235" spans="2:14" ht="15.75" thickTop="1">
      <c r="B235" s="384"/>
      <c r="C235" s="380"/>
      <c r="D235" s="382"/>
      <c r="E235" s="380"/>
      <c r="F235" s="380"/>
      <c r="G235" s="380"/>
      <c r="J235" s="95"/>
    </row>
    <row r="236" spans="2:14">
      <c r="I236" s="366"/>
      <c r="J236" s="84"/>
      <c r="K236" s="351"/>
      <c r="L236" s="351"/>
      <c r="M236" s="351"/>
      <c r="N236" s="352"/>
    </row>
    <row r="237" spans="2:14">
      <c r="I237" s="366"/>
      <c r="J237" s="84"/>
      <c r="K237" s="351"/>
      <c r="L237" s="351"/>
      <c r="M237" s="351"/>
      <c r="N237" s="352"/>
    </row>
    <row r="238" spans="2:14">
      <c r="B238" s="372" t="s">
        <v>859</v>
      </c>
      <c r="C238" s="373"/>
      <c r="D238" s="373"/>
      <c r="E238" s="373"/>
      <c r="F238" s="373"/>
      <c r="G238" s="373"/>
      <c r="H238" s="373"/>
      <c r="I238" s="357"/>
    </row>
    <row r="239" spans="2:14">
      <c r="I239" s="357"/>
    </row>
    <row r="240" spans="2:14">
      <c r="C240" s="383" t="str">
        <f>C227</f>
        <v>2012</v>
      </c>
      <c r="D240" s="376"/>
      <c r="E240" s="383" t="str">
        <f>E227</f>
        <v>2011</v>
      </c>
      <c r="F240" s="378"/>
      <c r="G240" s="378"/>
    </row>
    <row r="241" spans="2:14" ht="15.75" thickBot="1">
      <c r="C241" s="379" t="s">
        <v>770</v>
      </c>
      <c r="E241" s="379" t="s">
        <v>770</v>
      </c>
      <c r="F241" s="379"/>
      <c r="G241" s="379"/>
      <c r="I241" s="359"/>
    </row>
    <row r="242" spans="2:14" ht="15.75" thickTop="1">
      <c r="C242" s="96"/>
      <c r="E242" s="96"/>
      <c r="F242" s="96"/>
      <c r="G242" s="96"/>
      <c r="I242" s="359" t="s">
        <v>4</v>
      </c>
      <c r="J242" s="353" t="s">
        <v>5</v>
      </c>
      <c r="K242" s="81" t="s">
        <v>681</v>
      </c>
      <c r="L242" s="82" t="s">
        <v>143</v>
      </c>
      <c r="M242" s="82" t="s">
        <v>155</v>
      </c>
      <c r="N242" s="83" t="s">
        <v>24</v>
      </c>
    </row>
    <row r="243" spans="2:14">
      <c r="B243" s="353" t="s">
        <v>861</v>
      </c>
      <c r="C243" s="394">
        <f>N243</f>
        <v>8835129.9550000001</v>
      </c>
      <c r="D243" s="362"/>
      <c r="E243" s="394">
        <v>7891092</v>
      </c>
      <c r="F243" s="362"/>
      <c r="G243" s="396"/>
      <c r="I243" s="354">
        <v>5003</v>
      </c>
      <c r="J243" s="160" t="str">
        <f>B243</f>
        <v>Taksa te ndryshme</v>
      </c>
      <c r="K243" s="551">
        <f>SUMIF(AL_TB!$L:$L,I243,AL_TB!$K:$K)</f>
        <v>8835129.9550000001</v>
      </c>
      <c r="L243" s="86">
        <f>SUMIF(KS_TB!$N:$N,I243,KS_TB!$M:$M)</f>
        <v>0</v>
      </c>
      <c r="M243" s="86">
        <f>SUMIF(MK_TB!$N:$N,I243,MK_TB!$M:$M)</f>
        <v>0</v>
      </c>
      <c r="N243" s="87">
        <f>SUM(K243:M243)</f>
        <v>8835129.9550000001</v>
      </c>
    </row>
    <row r="244" spans="2:14">
      <c r="B244" s="353" t="s">
        <v>862</v>
      </c>
      <c r="C244" s="394">
        <f>N244</f>
        <v>5934.1079</v>
      </c>
      <c r="D244" s="362"/>
      <c r="E244" s="394">
        <v>8297870</v>
      </c>
      <c r="F244" s="362"/>
      <c r="G244" s="396"/>
      <c r="I244" s="354">
        <v>5004</v>
      </c>
      <c r="J244" s="160" t="str">
        <f>B244</f>
        <v>Gjoba te ndryshme</v>
      </c>
      <c r="K244" s="551">
        <f>SUMIF(AL_TB!$L:$L,I244,AL_TB!$K:$K)</f>
        <v>5934.1079</v>
      </c>
      <c r="L244" s="86">
        <f>SUMIF(KS_TB!$N:$N,I244,KS_TB!$M:$M)</f>
        <v>0</v>
      </c>
      <c r="M244" s="86">
        <f>SUMIF(MK_TB!$N:$N,I244,MK_TB!$M:$M)</f>
        <v>0</v>
      </c>
      <c r="N244" s="87">
        <f>SUM(K244:M244)</f>
        <v>5934.1079</v>
      </c>
    </row>
    <row r="245" spans="2:14">
      <c r="B245" s="353" t="s">
        <v>875</v>
      </c>
      <c r="C245" s="351">
        <f>N245</f>
        <v>8409785.7875000034</v>
      </c>
      <c r="D245" s="351"/>
      <c r="E245" s="351">
        <v>8237257</v>
      </c>
      <c r="F245" s="351"/>
      <c r="G245" s="351"/>
      <c r="I245" s="354">
        <v>4018</v>
      </c>
      <c r="J245" s="160" t="str">
        <f>B245</f>
        <v>Komisione bankare dhe te tjera</v>
      </c>
      <c r="K245" s="551">
        <f>SUMIF(AL_TB!$L:$L,I245,AL_TB!$K:$K)</f>
        <v>8359374.2549000038</v>
      </c>
      <c r="L245" s="86">
        <f>SUMIF(KS_TB!$N:$N,I245,KS_TB!$M:$M)</f>
        <v>19599.831900000001</v>
      </c>
      <c r="M245" s="86">
        <f>SUMIF(MK_TB!$N:$N,I245,MK_TB!$M:$M)</f>
        <v>30811.700699999998</v>
      </c>
      <c r="N245" s="87">
        <f>SUM(K245:M245)</f>
        <v>8409785.7875000034</v>
      </c>
    </row>
    <row r="246" spans="2:14">
      <c r="B246" s="353" t="s">
        <v>106</v>
      </c>
      <c r="C246" s="394">
        <f>N246</f>
        <v>18819622.719000001</v>
      </c>
      <c r="D246" s="362"/>
      <c r="E246" s="394">
        <v>24336783</v>
      </c>
      <c r="F246" s="362"/>
      <c r="G246" s="396"/>
      <c r="I246" s="354">
        <v>5005</v>
      </c>
      <c r="J246" s="160" t="str">
        <f>B246</f>
        <v>Shpenzime te tjera</v>
      </c>
      <c r="K246" s="551">
        <f>SUMIF(AL_TB!$L:$L,I246,AL_TB!$K:$K)</f>
        <v>13258671.1965</v>
      </c>
      <c r="L246" s="86">
        <f>SUMIF(KS_TB!$N:$N,I246,KS_TB!$M:$M)</f>
        <v>5560951.5225</v>
      </c>
      <c r="M246" s="86">
        <f>SUMIF(MK_TB!$N:$N,I246,MK_TB!$M:$M)</f>
        <v>0</v>
      </c>
      <c r="N246" s="87">
        <f>SUM(K246:M246)</f>
        <v>18819622.719000001</v>
      </c>
    </row>
    <row r="247" spans="2:14">
      <c r="B247" s="384"/>
      <c r="C247" s="362"/>
      <c r="D247" s="362"/>
      <c r="E247" s="362"/>
      <c r="F247" s="362"/>
      <c r="G247" s="362"/>
      <c r="J247" s="160"/>
      <c r="K247" s="85">
        <f>SUMIF(AL_TB!$L:$L,I247,AL_TB!$K:$K)</f>
        <v>0</v>
      </c>
      <c r="L247" s="86">
        <f>SUMIF(KS_TB!$N:$N,I247,KS_TB!$M:$M)</f>
        <v>0</v>
      </c>
      <c r="M247" s="86">
        <f>SUMIF(MK_TB!$N:$N,I247,MK_TB!$M:$M)</f>
        <v>0</v>
      </c>
      <c r="N247" s="87">
        <f>SUM(K247:M247)</f>
        <v>0</v>
      </c>
    </row>
    <row r="248" spans="2:14" ht="15.75" thickBot="1">
      <c r="B248" s="384"/>
      <c r="C248" s="381">
        <f>IF(ABS(SUM(C243:C246)+'2.1 IS_cons'!E11)&lt;1,SUM(C243:C246),"Error")</f>
        <v>36070472.569399998</v>
      </c>
      <c r="D248" s="382"/>
      <c r="E248" s="381">
        <f>IF(ABS(SUM(E243:E246)+'2.1 IS_cons'!F11)&lt;1,SUM(E243:E246),"Error")</f>
        <v>48763002</v>
      </c>
      <c r="F248" s="380"/>
      <c r="G248" s="381"/>
      <c r="J248" s="160" t="s">
        <v>25</v>
      </c>
      <c r="K248" s="88">
        <f>SUM(K243:K247)</f>
        <v>30459109.514300004</v>
      </c>
      <c r="L248" s="89">
        <f>SUM(L243:L247)</f>
        <v>5580551.3543999996</v>
      </c>
      <c r="M248" s="89">
        <f>SUM(M243:M247)</f>
        <v>30811.700699999998</v>
      </c>
      <c r="N248" s="90">
        <f>SUM(N243:N247)</f>
        <v>36070472.569399998</v>
      </c>
    </row>
    <row r="249" spans="2:14" ht="15.75" thickTop="1">
      <c r="B249" s="384"/>
      <c r="C249" s="380"/>
      <c r="D249" s="382"/>
      <c r="E249" s="380"/>
      <c r="F249" s="380"/>
      <c r="G249" s="380"/>
      <c r="J249" s="95"/>
      <c r="N249" s="355"/>
    </row>
    <row r="250" spans="2:14">
      <c r="C250" s="359"/>
      <c r="D250" s="359"/>
      <c r="E250" s="359"/>
      <c r="F250" s="359"/>
      <c r="G250" s="359"/>
      <c r="J250" s="95"/>
    </row>
    <row r="251" spans="2:14">
      <c r="C251" s="359"/>
      <c r="D251" s="359"/>
      <c r="E251" s="359"/>
      <c r="F251" s="359"/>
      <c r="G251" s="359"/>
    </row>
    <row r="252" spans="2:14">
      <c r="B252" s="408" t="s">
        <v>863</v>
      </c>
      <c r="C252" s="359"/>
      <c r="D252" s="359"/>
      <c r="E252" s="359"/>
      <c r="F252" s="359"/>
      <c r="G252" s="359"/>
      <c r="I252" s="366"/>
      <c r="J252" s="84"/>
      <c r="K252" s="351"/>
      <c r="L252" s="351"/>
      <c r="M252" s="351"/>
      <c r="N252" s="352"/>
    </row>
    <row r="253" spans="2:14">
      <c r="I253" s="366"/>
      <c r="J253" s="84"/>
      <c r="K253" s="351"/>
      <c r="L253" s="351"/>
      <c r="M253" s="351"/>
      <c r="N253" s="352"/>
    </row>
    <row r="254" spans="2:14">
      <c r="B254" s="353" t="s">
        <v>864</v>
      </c>
      <c r="C254" s="393">
        <f>-(AL_TB!K475+AL_TB!K476)</f>
        <v>110000</v>
      </c>
      <c r="I254" s="366"/>
      <c r="J254" s="84"/>
      <c r="K254" s="351"/>
      <c r="L254" s="351"/>
      <c r="M254" s="351"/>
      <c r="N254" s="352"/>
    </row>
    <row r="255" spans="2:14">
      <c r="B255" s="353" t="s">
        <v>865</v>
      </c>
      <c r="C255" s="393">
        <f>-(AL_TB!K443+AL_TB!K444)</f>
        <v>-136220</v>
      </c>
      <c r="I255" s="366"/>
      <c r="J255" s="84"/>
      <c r="K255" s="351"/>
      <c r="L255" s="351"/>
      <c r="M255" s="351"/>
      <c r="N255" s="352"/>
    </row>
    <row r="256" spans="2:14" ht="15.75" thickBot="1">
      <c r="B256" s="350" t="s">
        <v>866</v>
      </c>
      <c r="C256" s="392">
        <f>SUM(C254:C255)</f>
        <v>-26220</v>
      </c>
      <c r="I256" s="366"/>
      <c r="J256" s="84"/>
      <c r="K256" s="351"/>
      <c r="L256" s="351"/>
      <c r="M256" s="351"/>
      <c r="N256" s="352"/>
    </row>
    <row r="257" spans="2:14" ht="15.75" thickTop="1">
      <c r="C257" s="355"/>
      <c r="I257" s="366"/>
      <c r="J257" s="84"/>
      <c r="K257" s="351"/>
      <c r="L257" s="351"/>
      <c r="M257" s="351"/>
      <c r="N257" s="352"/>
    </row>
    <row r="258" spans="2:14">
      <c r="C258" s="355"/>
      <c r="I258" s="366"/>
      <c r="J258" s="84"/>
      <c r="K258" s="351"/>
      <c r="L258" s="351"/>
      <c r="M258" s="351"/>
      <c r="N258" s="352"/>
    </row>
    <row r="259" spans="2:14">
      <c r="C259" s="355"/>
      <c r="I259" s="366"/>
      <c r="J259" s="84"/>
      <c r="K259" s="351"/>
      <c r="L259" s="351"/>
      <c r="M259" s="351"/>
      <c r="N259" s="352"/>
    </row>
    <row r="260" spans="2:14">
      <c r="B260" s="372" t="s">
        <v>867</v>
      </c>
      <c r="C260" s="373"/>
      <c r="D260" s="373"/>
      <c r="E260" s="373"/>
      <c r="F260" s="373"/>
      <c r="G260" s="373"/>
      <c r="H260" s="373"/>
      <c r="I260" s="357"/>
    </row>
    <row r="261" spans="2:14">
      <c r="I261" s="357"/>
    </row>
    <row r="262" spans="2:14">
      <c r="C262" s="383" t="str">
        <f>C240</f>
        <v>2012</v>
      </c>
      <c r="D262" s="376"/>
      <c r="E262" s="383" t="str">
        <f>+E240</f>
        <v>2011</v>
      </c>
      <c r="F262" s="378"/>
      <c r="G262" s="378"/>
    </row>
    <row r="263" spans="2:14" ht="15.75" thickBot="1">
      <c r="C263" s="379" t="s">
        <v>770</v>
      </c>
      <c r="E263" s="379" t="s">
        <v>770</v>
      </c>
      <c r="F263" s="379"/>
      <c r="G263" s="379"/>
      <c r="I263" s="359"/>
    </row>
    <row r="264" spans="2:14" ht="15.75" thickTop="1">
      <c r="C264" s="96"/>
      <c r="E264" s="96"/>
      <c r="F264" s="96"/>
      <c r="G264" s="96"/>
      <c r="I264" s="359" t="s">
        <v>4</v>
      </c>
      <c r="J264" s="353" t="s">
        <v>5</v>
      </c>
      <c r="K264" s="81" t="s">
        <v>681</v>
      </c>
      <c r="L264" s="82" t="s">
        <v>143</v>
      </c>
      <c r="M264" s="82" t="s">
        <v>155</v>
      </c>
      <c r="N264" s="83" t="s">
        <v>24</v>
      </c>
    </row>
    <row r="265" spans="2:14">
      <c r="B265" s="353" t="s">
        <v>868</v>
      </c>
      <c r="C265" s="394">
        <f>N265</f>
        <v>8470793.0141999982</v>
      </c>
      <c r="D265" s="362"/>
      <c r="E265" s="394">
        <v>7136366</v>
      </c>
      <c r="F265" s="362"/>
      <c r="G265" s="396"/>
      <c r="I265" s="354">
        <v>5006</v>
      </c>
      <c r="J265" s="160" t="str">
        <f>B265</f>
        <v>Te ardhura dhe shpenzime financiare nga njesite  e kontrolluara</v>
      </c>
      <c r="K265" s="85">
        <f>SUMIF(AL_TB!$L:$L,I265,AL_TB!$K:$K)</f>
        <v>0</v>
      </c>
      <c r="L265" s="86">
        <f>SUMIF(KS_TB!$N:$N,I265,KS_TB!$M:$M)</f>
        <v>5050274.0706000002</v>
      </c>
      <c r="M265" s="86">
        <f>SUMIF(MK_TB!$N:$N,I265,MK_TB!$M:$M)</f>
        <v>3420518.943599999</v>
      </c>
      <c r="N265" s="87">
        <f>SUM(K265:M265)</f>
        <v>8470793.0141999982</v>
      </c>
    </row>
    <row r="266" spans="2:14">
      <c r="B266" s="384"/>
      <c r="C266" s="362"/>
      <c r="D266" s="362"/>
      <c r="E266" s="362"/>
      <c r="F266" s="362"/>
      <c r="G266" s="362"/>
      <c r="J266" s="160"/>
      <c r="K266" s="85">
        <f>SUMIF(AL_TB!$L:$L,I266,AL_TB!$K:$K)</f>
        <v>0</v>
      </c>
      <c r="L266" s="86">
        <f>SUMIF(KS_TB!$N:$N,I266,KS_TB!$M:$M)</f>
        <v>0</v>
      </c>
      <c r="M266" s="86">
        <f>SUMIF(MK_TB!$N:$N,I266,MK_TB!$M:$M)</f>
        <v>0</v>
      </c>
      <c r="N266" s="87">
        <f>SUM(K266:M266)</f>
        <v>0</v>
      </c>
    </row>
    <row r="267" spans="2:14" ht="15.75" thickBot="1">
      <c r="B267" s="384"/>
      <c r="C267" s="381">
        <f>IF(ABS(SUM(C265:C265)+'2.1 IS_cons'!E14)&lt;1,SUM(C265:C265),"Error")</f>
        <v>8470793.0141999982</v>
      </c>
      <c r="D267" s="382"/>
      <c r="E267" s="381">
        <f>IF(ABS(SUM(E265:E265)+'2.1 IS_cons'!F14)&lt;1,SUM(E265:E265),"Error")</f>
        <v>7136366</v>
      </c>
      <c r="F267" s="380"/>
      <c r="G267" s="381"/>
      <c r="J267" s="160" t="s">
        <v>25</v>
      </c>
      <c r="K267" s="88">
        <f>SUM(K265:K266)</f>
        <v>0</v>
      </c>
      <c r="L267" s="89">
        <f>SUM(L265:L266)</f>
        <v>5050274.0706000002</v>
      </c>
      <c r="M267" s="89">
        <f>SUM(M265:M266)</f>
        <v>3420518.943599999</v>
      </c>
      <c r="N267" s="90">
        <f>SUM(N265:N266)</f>
        <v>8470793.0141999982</v>
      </c>
    </row>
    <row r="268" spans="2:14" ht="15.75" thickTop="1">
      <c r="B268" s="384"/>
      <c r="C268" s="380"/>
      <c r="D268" s="382"/>
      <c r="E268" s="380"/>
      <c r="F268" s="380"/>
      <c r="G268" s="380"/>
      <c r="J268" s="95"/>
    </row>
    <row r="269" spans="2:14">
      <c r="C269" s="355"/>
      <c r="J269" s="95"/>
    </row>
    <row r="270" spans="2:14">
      <c r="B270" s="372" t="s">
        <v>869</v>
      </c>
      <c r="C270" s="373"/>
      <c r="D270" s="373"/>
      <c r="E270" s="373"/>
      <c r="F270" s="373"/>
      <c r="G270" s="373"/>
      <c r="H270" s="373"/>
      <c r="I270" s="357"/>
    </row>
    <row r="271" spans="2:14">
      <c r="I271" s="357"/>
    </row>
    <row r="272" spans="2:14">
      <c r="C272" s="383" t="s">
        <v>1038</v>
      </c>
      <c r="D272" s="376"/>
      <c r="E272" s="383" t="s">
        <v>769</v>
      </c>
      <c r="F272" s="378"/>
      <c r="G272" s="378"/>
    </row>
    <row r="273" spans="2:14" ht="15.75" thickBot="1">
      <c r="C273" s="379" t="s">
        <v>770</v>
      </c>
      <c r="E273" s="379" t="s">
        <v>770</v>
      </c>
      <c r="F273" s="379"/>
      <c r="G273" s="379"/>
      <c r="I273" s="359"/>
    </row>
    <row r="274" spans="2:14" ht="15.75" thickTop="1">
      <c r="C274" s="96"/>
      <c r="E274" s="96"/>
      <c r="F274" s="96"/>
      <c r="G274" s="96"/>
      <c r="I274" s="359" t="s">
        <v>4</v>
      </c>
      <c r="J274" s="353" t="s">
        <v>5</v>
      </c>
      <c r="K274" s="81" t="s">
        <v>681</v>
      </c>
      <c r="L274" s="82" t="s">
        <v>143</v>
      </c>
      <c r="M274" s="82" t="s">
        <v>155</v>
      </c>
      <c r="N274" s="83" t="s">
        <v>24</v>
      </c>
    </row>
    <row r="275" spans="2:14">
      <c r="B275" s="353" t="s">
        <v>870</v>
      </c>
      <c r="C275" s="394">
        <f t="shared" ref="C275:C280" si="11">N275</f>
        <v>19001564.657700002</v>
      </c>
      <c r="D275" s="394"/>
      <c r="E275" s="394">
        <v>38025178</v>
      </c>
      <c r="F275" s="362"/>
      <c r="G275" s="396"/>
      <c r="I275" s="354">
        <v>5007</v>
      </c>
      <c r="J275" s="160" t="str">
        <f t="shared" ref="J275:J280" si="12">B275</f>
        <v>Shpenzime per interesa</v>
      </c>
      <c r="K275" s="551">
        <f>SUMIF(AL_TB!$L:$L,I275,AL_TB!$K:$K)</f>
        <v>19001564.657700002</v>
      </c>
      <c r="L275" s="86">
        <f>SUMIF(KS_TB!$N:$N,I275,KS_TB!$M:$M)</f>
        <v>0</v>
      </c>
      <c r="M275" s="86">
        <f>SUMIF(MK_TB!$N:$N,I275,MK_TB!$M:$M)</f>
        <v>0</v>
      </c>
      <c r="N275" s="87">
        <f t="shared" ref="N275:N281" si="13">SUM(K275:M275)</f>
        <v>19001564.657700002</v>
      </c>
    </row>
    <row r="276" spans="2:14">
      <c r="B276" s="353" t="s">
        <v>40</v>
      </c>
      <c r="C276" s="394">
        <f t="shared" si="11"/>
        <v>-3588584.81</v>
      </c>
      <c r="D276" s="394"/>
      <c r="E276" s="394">
        <f>-7117</f>
        <v>-7117</v>
      </c>
      <c r="F276" s="362"/>
      <c r="G276" s="396"/>
      <c r="I276" s="354">
        <v>5012</v>
      </c>
      <c r="J276" s="160" t="str">
        <f t="shared" si="12"/>
        <v>Te ardhura nga interesat</v>
      </c>
      <c r="K276" s="551">
        <f>SUMIF(AL_TB!$L:$L,I276,AL_TB!$K:$K)</f>
        <v>-3588584.81</v>
      </c>
      <c r="L276" s="86">
        <f>SUMIF(KS_TB!$N:$N,I276,KS_TB!$M:$M)</f>
        <v>0</v>
      </c>
      <c r="M276" s="86">
        <f>SUMIF(MK_TB!$N:$N,I276,MK_TB!$M:$M)</f>
        <v>0</v>
      </c>
      <c r="N276" s="87">
        <f>SUM(K276:M276)</f>
        <v>-3588584.81</v>
      </c>
    </row>
    <row r="277" spans="2:14">
      <c r="B277" s="353" t="s">
        <v>872</v>
      </c>
      <c r="C277" s="394">
        <f t="shared" si="11"/>
        <v>17648319.124700002</v>
      </c>
      <c r="D277" s="394"/>
      <c r="E277" s="394">
        <f>22206126</f>
        <v>22206126</v>
      </c>
      <c r="F277" s="362"/>
      <c r="G277" s="396"/>
      <c r="I277" s="354">
        <v>5008</v>
      </c>
      <c r="J277" s="160" t="str">
        <f t="shared" si="12"/>
        <v>Humbje nga kembimet valutote</v>
      </c>
      <c r="K277" s="551">
        <f>SUMIF(AL_TB!$L:$L,I277,AL_TB!$K:$K)</f>
        <v>17648319.124700002</v>
      </c>
      <c r="L277" s="86">
        <f>SUMIF(KS_TB!$N:$N,I277,KS_TB!$M:$M)</f>
        <v>0</v>
      </c>
      <c r="M277" s="86">
        <f>SUMIF(MK_TB!$N:$N,I277,MK_TB!$M:$M)</f>
        <v>0</v>
      </c>
      <c r="N277" s="87">
        <f t="shared" si="13"/>
        <v>17648319.124700002</v>
      </c>
    </row>
    <row r="278" spans="2:14">
      <c r="B278" s="353" t="s">
        <v>873</v>
      </c>
      <c r="C278" s="394">
        <f t="shared" si="11"/>
        <v>-12335047.523499999</v>
      </c>
      <c r="D278" s="394"/>
      <c r="E278" s="394">
        <f>-20423951</f>
        <v>-20423951</v>
      </c>
      <c r="F278" s="362"/>
      <c r="G278" s="396"/>
      <c r="I278" s="354">
        <v>5009</v>
      </c>
      <c r="J278" s="160" t="str">
        <f t="shared" si="12"/>
        <v>Te ardhura nga kembimet valutore</v>
      </c>
      <c r="K278" s="551">
        <f>SUMIF(AL_TB!$L:$L,I278,AL_TB!$K:$K)</f>
        <v>-12335047.523499999</v>
      </c>
      <c r="L278" s="86">
        <f>SUMIF(KS_TB!$N:$N,I278,KS_TB!$M:$M)</f>
        <v>0</v>
      </c>
      <c r="M278" s="86">
        <f>SUMIF(MK_TB!$N:$N,I278,MK_TB!$M:$M)</f>
        <v>0</v>
      </c>
      <c r="N278" s="87">
        <f t="shared" si="13"/>
        <v>-12335047.523499999</v>
      </c>
    </row>
    <row r="279" spans="2:14">
      <c r="B279" s="353" t="s">
        <v>871</v>
      </c>
      <c r="C279" s="394">
        <f t="shared" si="11"/>
        <v>0</v>
      </c>
      <c r="D279" s="394"/>
      <c r="E279" s="394">
        <f>-7729442</f>
        <v>-7729442</v>
      </c>
      <c r="F279" s="362"/>
      <c r="G279" s="396"/>
      <c r="I279" s="354">
        <v>5010</v>
      </c>
      <c r="J279" s="160" t="str">
        <f t="shared" si="12"/>
        <v>Te ardhura nga rrimarje provizioni</v>
      </c>
      <c r="K279" s="85">
        <f>SUMIF(AL_TB!$L:$L,I279,AL_TB!$K:$K)</f>
        <v>0</v>
      </c>
      <c r="L279" s="86">
        <f>SUMIF(KS_TB!$N:$N,I279,KS_TB!$M:$M)</f>
        <v>0</v>
      </c>
      <c r="M279" s="86">
        <f>SUMIF(MK_TB!$N:$N,I279,MK_TB!$M:$M)</f>
        <v>0</v>
      </c>
      <c r="N279" s="87">
        <f>SUM(K279:M279)</f>
        <v>0</v>
      </c>
    </row>
    <row r="280" spans="2:14">
      <c r="B280" s="353" t="s">
        <v>874</v>
      </c>
      <c r="C280" s="394">
        <f t="shared" si="11"/>
        <v>-2885178.0868999995</v>
      </c>
      <c r="D280" s="394"/>
      <c r="E280" s="394">
        <v>6633655.5</v>
      </c>
      <c r="F280" s="362"/>
      <c r="G280" s="396"/>
      <c r="I280" s="354">
        <v>5011</v>
      </c>
      <c r="J280" s="160" t="str">
        <f t="shared" si="12"/>
        <v xml:space="preserve">Te tjera </v>
      </c>
      <c r="K280" s="551">
        <f>SUMIF(AL_TB!$L:$L,I280,AL_TB!$K:$K)</f>
        <v>-2885178.0868999995</v>
      </c>
      <c r="L280" s="86">
        <f>SUMIF(KS_TB!$N:$N,I280,KS_TB!$M:$M)</f>
        <v>0</v>
      </c>
      <c r="M280" s="86">
        <f>SUMIF(MK_TB!$N:$N,I280,MK_TB!$M:$M)</f>
        <v>0</v>
      </c>
      <c r="N280" s="87">
        <f>SUM(K280:M280)</f>
        <v>-2885178.0868999995</v>
      </c>
    </row>
    <row r="281" spans="2:14">
      <c r="B281" s="384"/>
      <c r="C281" s="362"/>
      <c r="D281" s="362"/>
      <c r="E281" s="362"/>
      <c r="F281" s="362"/>
      <c r="G281" s="362"/>
      <c r="J281" s="160"/>
      <c r="K281" s="85">
        <f>SUMIF(AL_TB!$L:$L,I281,AL_TB!$K:$K)</f>
        <v>0</v>
      </c>
      <c r="L281" s="86">
        <f>SUMIF(KS_TB!$N:$N,I281,KS_TB!$M:$M)</f>
        <v>0</v>
      </c>
      <c r="M281" s="86">
        <f>SUMIF(MK_TB!$N:$N,I281,MK_TB!$M:$M)</f>
        <v>0</v>
      </c>
      <c r="N281" s="87">
        <f t="shared" si="13"/>
        <v>0</v>
      </c>
    </row>
    <row r="282" spans="2:14" ht="15.75" thickBot="1">
      <c r="B282" s="384"/>
      <c r="C282" s="381">
        <f>IF(ABS(SUM(C275:C280)+'2.1 IS_cons'!E15)&lt;1,SUM(C275:C280),"Error")</f>
        <v>17841073.362000003</v>
      </c>
      <c r="D282" s="382"/>
      <c r="E282" s="381">
        <f>IF(ABS(SUM(E275:E280)+'2.1 IS_cons'!F15)&lt;1,SUM(E275:E280),"Error")</f>
        <v>38704449.5</v>
      </c>
      <c r="F282" s="380"/>
      <c r="G282" s="381"/>
      <c r="J282" s="160" t="s">
        <v>25</v>
      </c>
      <c r="K282" s="88">
        <f>SUM(K275:K281)</f>
        <v>17841073.362000003</v>
      </c>
      <c r="L282" s="89">
        <f>SUM(L275:L281)</f>
        <v>0</v>
      </c>
      <c r="M282" s="89">
        <f>SUM(M275:M281)</f>
        <v>0</v>
      </c>
      <c r="N282" s="90">
        <f>SUM(N275:N281)</f>
        <v>17841073.362000003</v>
      </c>
    </row>
    <row r="283" spans="2:14" ht="15.75" thickTop="1">
      <c r="B283" s="384"/>
      <c r="C283" s="380"/>
      <c r="D283" s="382"/>
      <c r="E283" s="380"/>
      <c r="F283" s="380"/>
      <c r="G283" s="380"/>
      <c r="J283" s="95"/>
    </row>
  </sheetData>
  <sheetCalcPr fullCalcOnLoad="1"/>
  <phoneticPr fontId="68" type="noConversion"/>
  <printOptions horizontalCentered="1"/>
  <pageMargins left="0.74803149606299202" right="0.74803149606299202" top="0.98425196850393704" bottom="0.98425196850393704" header="0.511811023622047" footer="0.511811023622047"/>
  <pageSetup fitToHeight="0" orientation="portrait" r:id="rId1"/>
  <headerFooter alignWithMargins="0">
    <oddFooter>&amp;CPAGE &amp;P OF &amp;N</oddFooter>
  </headerFooter>
  <rowBreaks count="8" manualBreakCount="8">
    <brk id="41" min="1" max="7" man="1"/>
    <brk id="63" min="1" max="7" man="1"/>
    <brk id="88" min="1" max="7" man="1"/>
    <brk id="99" min="1" max="7" man="1"/>
    <brk id="130" min="1" max="7" man="1"/>
    <brk id="140" min="1" max="7" man="1"/>
    <brk id="181" min="1" max="7" man="1"/>
    <brk id="209" min="1" max="7" man="1"/>
  </rowBreaks>
  <ignoredErrors>
    <ignoredError sqref="C10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tabColor rgb="FF00B050"/>
    <pageSetUpPr fitToPage="1"/>
  </sheetPr>
  <dimension ref="A1:Q114"/>
  <sheetViews>
    <sheetView view="pageBreakPreview" topLeftCell="A7" zoomScale="90" zoomScaleSheetLayoutView="90" workbookViewId="0">
      <selection activeCell="I30" sqref="I30"/>
    </sheetView>
  </sheetViews>
  <sheetFormatPr defaultRowHeight="15"/>
  <cols>
    <col min="1" max="1" width="1.28515625" style="61" customWidth="1"/>
    <col min="2" max="2" width="42.85546875" style="115" customWidth="1"/>
    <col min="3" max="3" width="17.7109375" style="115" bestFit="1" customWidth="1"/>
    <col min="4" max="4" width="11.7109375" style="115" customWidth="1"/>
    <col min="5" max="5" width="15.140625" style="590" bestFit="1" customWidth="1"/>
    <col min="6" max="6" width="0.85546875" style="590" customWidth="1"/>
    <col min="7" max="7" width="15" style="590" bestFit="1" customWidth="1"/>
    <col min="8" max="8" width="1.28515625" style="115" customWidth="1"/>
    <col min="9" max="9" width="9.85546875" style="115" hidden="1" customWidth="1"/>
    <col min="10" max="10" width="9.7109375" style="320" customWidth="1"/>
    <col min="11" max="12" width="15.28515625" style="115" bestFit="1" customWidth="1"/>
    <col min="13" max="13" width="14.42578125" style="115" customWidth="1"/>
    <col min="14" max="14" width="10" style="61" bestFit="1" customWidth="1"/>
    <col min="15" max="15" width="11.42578125" style="61" customWidth="1"/>
    <col min="16" max="16" width="10" style="61" bestFit="1" customWidth="1"/>
    <col min="17" max="16384" width="9.140625" style="61"/>
  </cols>
  <sheetData>
    <row r="1" spans="1:17">
      <c r="A1" s="66"/>
      <c r="B1" s="112"/>
      <c r="C1" s="132"/>
      <c r="D1" s="132"/>
      <c r="E1" s="589"/>
      <c r="K1" s="133" t="s">
        <v>36</v>
      </c>
    </row>
    <row r="2" spans="1:17" ht="18.75">
      <c r="A2" s="66"/>
      <c r="B2" s="157" t="str">
        <f>Index!C4</f>
        <v>TOP CHANNEL sh.a</v>
      </c>
      <c r="C2" s="132"/>
      <c r="D2" s="132"/>
      <c r="E2" s="589"/>
    </row>
    <row r="3" spans="1:17" ht="4.5" customHeight="1">
      <c r="A3" s="66"/>
      <c r="B3" s="134"/>
      <c r="C3" s="134"/>
      <c r="D3" s="134"/>
      <c r="E3" s="134"/>
      <c r="F3" s="134"/>
      <c r="G3" s="134"/>
      <c r="H3" s="134"/>
      <c r="I3" s="134"/>
      <c r="J3" s="321"/>
    </row>
    <row r="4" spans="1:17">
      <c r="A4" s="66"/>
      <c r="B4" s="135"/>
      <c r="C4" s="132"/>
      <c r="D4" s="132"/>
      <c r="E4" s="589"/>
    </row>
    <row r="5" spans="1:17">
      <c r="A5" s="66"/>
      <c r="B5" s="158" t="s">
        <v>819</v>
      </c>
      <c r="C5" s="136"/>
      <c r="D5" s="136"/>
      <c r="E5" s="591"/>
      <c r="F5" s="591"/>
      <c r="G5" s="591"/>
      <c r="H5" s="136"/>
      <c r="I5" s="136"/>
      <c r="J5" s="322"/>
    </row>
    <row r="7" spans="1:17">
      <c r="B7" s="115" t="s">
        <v>682</v>
      </c>
    </row>
    <row r="8" spans="1:17">
      <c r="M8" s="168"/>
      <c r="N8" s="62"/>
      <c r="O8" s="725" t="s">
        <v>732</v>
      </c>
    </row>
    <row r="9" spans="1:17">
      <c r="C9" s="724" t="s">
        <v>679</v>
      </c>
      <c r="D9" s="724" t="s">
        <v>680</v>
      </c>
      <c r="E9" s="592" t="s">
        <v>1038</v>
      </c>
      <c r="F9" s="593"/>
      <c r="G9" s="592" t="s">
        <v>769</v>
      </c>
      <c r="H9" s="116" t="e">
        <f>+#REF!</f>
        <v>#REF!</v>
      </c>
      <c r="I9" s="116" t="e">
        <f>'II-Shenimet'!#REF!</f>
        <v>#REF!</v>
      </c>
      <c r="J9" s="323"/>
      <c r="K9" s="117" t="s">
        <v>681</v>
      </c>
      <c r="L9" s="117" t="s">
        <v>143</v>
      </c>
      <c r="M9" s="117" t="s">
        <v>155</v>
      </c>
      <c r="N9" s="62"/>
      <c r="O9" s="725"/>
      <c r="P9" s="336" t="s">
        <v>690</v>
      </c>
    </row>
    <row r="10" spans="1:17">
      <c r="C10" s="724"/>
      <c r="D10" s="724"/>
      <c r="E10" s="594" t="s">
        <v>770</v>
      </c>
      <c r="G10" s="594" t="s">
        <v>770</v>
      </c>
      <c r="H10" s="116"/>
      <c r="I10" s="116" t="s">
        <v>27</v>
      </c>
      <c r="J10" s="323"/>
      <c r="N10" s="63"/>
    </row>
    <row r="11" spans="1:17">
      <c r="E11" s="595"/>
      <c r="F11" s="595"/>
      <c r="G11" s="595"/>
      <c r="H11" s="118"/>
      <c r="I11" s="118"/>
      <c r="N11" s="65"/>
    </row>
    <row r="12" spans="1:17">
      <c r="B12" s="119" t="s">
        <v>683</v>
      </c>
      <c r="E12" s="595"/>
      <c r="F12" s="595"/>
      <c r="G12" s="595"/>
      <c r="H12" s="118"/>
      <c r="I12" s="118"/>
      <c r="K12" s="120"/>
      <c r="L12" s="120"/>
      <c r="M12" s="120"/>
      <c r="N12" s="64"/>
      <c r="O12" s="319"/>
    </row>
    <row r="13" spans="1:17">
      <c r="B13" s="121" t="s">
        <v>735</v>
      </c>
      <c r="C13" s="402"/>
      <c r="D13" s="335"/>
      <c r="E13" s="595">
        <f>+SUM(K13:M13)</f>
        <v>757508586.12</v>
      </c>
      <c r="F13" s="595"/>
      <c r="G13" s="595">
        <f>SUMIF(AL_TB!$L:$L,J13,AL_TB!$F:$F)</f>
        <v>528739932.93000001</v>
      </c>
      <c r="H13" s="118"/>
      <c r="I13" s="118">
        <v>132394.79999999999</v>
      </c>
      <c r="J13" s="320">
        <v>1001</v>
      </c>
      <c r="K13" s="122">
        <f>-SUMIF(AL_TB!$L:$L,J13,AL_TB!$K:$K)+20938500</f>
        <v>757508586.12</v>
      </c>
      <c r="L13" s="122">
        <v>0</v>
      </c>
      <c r="M13" s="122">
        <v>0</v>
      </c>
      <c r="N13" s="64"/>
      <c r="O13" s="319">
        <v>5426668</v>
      </c>
      <c r="P13" s="318">
        <f>E13/O13</f>
        <v>139.59</v>
      </c>
      <c r="Q13" s="61" t="s">
        <v>733</v>
      </c>
    </row>
    <row r="14" spans="1:17">
      <c r="B14" s="166" t="s">
        <v>736</v>
      </c>
      <c r="C14" s="402"/>
      <c r="D14" s="334">
        <v>42510</v>
      </c>
      <c r="E14" s="595">
        <f>+SUM(K15:M15)</f>
        <v>73663347.396200016</v>
      </c>
      <c r="F14" s="595"/>
      <c r="G14" s="595">
        <f>SUMIF(AL_TB!$L:$L,J15,AL_TB!$F:$F)</f>
        <v>91395549.243900001</v>
      </c>
      <c r="H14" s="118"/>
      <c r="I14" s="118"/>
      <c r="J14" s="320">
        <v>1007</v>
      </c>
      <c r="K14" s="122">
        <f>-SUMIF(AL_TB!$L:$L,J14,AL_TB!$K:$K)</f>
        <v>-3.4999996423721313E-3</v>
      </c>
      <c r="L14" s="122"/>
      <c r="M14" s="122"/>
      <c r="N14" s="64"/>
      <c r="O14" s="319"/>
      <c r="P14" s="318"/>
    </row>
    <row r="15" spans="1:17">
      <c r="B15" s="121" t="s">
        <v>821</v>
      </c>
      <c r="C15" s="402"/>
      <c r="D15" s="334"/>
      <c r="E15" s="595">
        <f>+SUM(K17:M17)</f>
        <v>10000000</v>
      </c>
      <c r="F15" s="595"/>
      <c r="G15" s="595">
        <f>SUMIF(AL_TB!$L:$L,J17,AL_TB!$F:$F)</f>
        <v>10000000</v>
      </c>
      <c r="H15" s="118"/>
      <c r="I15" s="118"/>
      <c r="J15" s="320">
        <v>1000</v>
      </c>
      <c r="K15" s="122">
        <f>-SUMIF(AL_TB!$L:$L,J15,AL_TB!$K:$K)+19380379</f>
        <v>73663347.396200016</v>
      </c>
      <c r="L15" s="122">
        <v>0</v>
      </c>
      <c r="M15" s="122">
        <v>0</v>
      </c>
      <c r="N15" s="64"/>
      <c r="O15" s="319">
        <v>527712.21</v>
      </c>
      <c r="P15" s="318">
        <f>E14/O15</f>
        <v>139.59000000435847</v>
      </c>
      <c r="Q15" s="61" t="s">
        <v>733</v>
      </c>
    </row>
    <row r="16" spans="1:17" ht="15.75" thickBot="1">
      <c r="B16" s="121"/>
      <c r="C16" s="317"/>
      <c r="E16" s="164">
        <f>SUM(E13:E15)</f>
        <v>841171933.51620007</v>
      </c>
      <c r="F16" s="162"/>
      <c r="G16" s="164">
        <f>SUM(G13:G15)</f>
        <v>630135482.17390001</v>
      </c>
      <c r="H16" s="118"/>
      <c r="I16" s="118">
        <v>215937.83275</v>
      </c>
      <c r="J16" s="320">
        <v>1002</v>
      </c>
      <c r="K16" s="122">
        <f>-SUMIF(AL_TB!$L:$L,J16,AL_TB!$K:$K)</f>
        <v>0</v>
      </c>
      <c r="L16" s="122">
        <v>0</v>
      </c>
      <c r="M16" s="122">
        <v>0</v>
      </c>
      <c r="N16" s="64"/>
      <c r="O16" s="319"/>
      <c r="P16" s="318"/>
    </row>
    <row r="17" spans="2:17" ht="15.75" thickTop="1">
      <c r="H17" s="118"/>
      <c r="I17" s="118"/>
      <c r="J17" s="320">
        <v>1011</v>
      </c>
      <c r="K17" s="122">
        <f>-SUMIF(AL_TB!$L:$L,J17,AL_TB!$K:$K)</f>
        <v>10000000</v>
      </c>
      <c r="L17" s="122">
        <v>0</v>
      </c>
      <c r="M17" s="122">
        <v>0</v>
      </c>
      <c r="N17" s="64"/>
      <c r="O17" s="319">
        <v>10000000</v>
      </c>
      <c r="P17" s="318">
        <f>O17/K17</f>
        <v>1</v>
      </c>
      <c r="Q17" s="61" t="s">
        <v>734</v>
      </c>
    </row>
    <row r="18" spans="2:17" ht="15.75" thickBot="1">
      <c r="H18" s="118"/>
      <c r="I18" s="118"/>
      <c r="K18" s="125">
        <f>SUM(K13:K17)</f>
        <v>841171933.51270008</v>
      </c>
      <c r="L18" s="125">
        <f>SUM(L13:L16)</f>
        <v>0</v>
      </c>
      <c r="M18" s="125">
        <f>SUM(M13:M16)</f>
        <v>0</v>
      </c>
      <c r="N18" s="64"/>
      <c r="O18" s="319"/>
    </row>
    <row r="19" spans="2:17" ht="15.75" thickTop="1">
      <c r="B19" s="121"/>
      <c r="C19" s="317"/>
      <c r="E19" s="400"/>
      <c r="F19" s="596"/>
      <c r="G19" s="400"/>
      <c r="H19" s="118"/>
      <c r="I19" s="118"/>
      <c r="K19" s="124"/>
      <c r="L19" s="124"/>
      <c r="M19" s="124"/>
      <c r="N19" s="64"/>
      <c r="O19" s="319"/>
    </row>
    <row r="20" spans="2:17">
      <c r="B20" s="372" t="s">
        <v>818</v>
      </c>
      <c r="C20" s="136"/>
      <c r="D20" s="136"/>
      <c r="E20" s="591"/>
      <c r="F20" s="591"/>
      <c r="G20" s="591"/>
      <c r="H20" s="136"/>
      <c r="I20" s="118"/>
      <c r="K20" s="124"/>
      <c r="L20" s="124"/>
      <c r="M20" s="124"/>
      <c r="N20" s="64"/>
      <c r="O20" s="319"/>
    </row>
    <row r="21" spans="2:17">
      <c r="B21" s="121"/>
      <c r="C21" s="317"/>
      <c r="E21" s="592" t="s">
        <v>1038</v>
      </c>
      <c r="F21" s="593"/>
      <c r="G21" s="592" t="str">
        <f>G9</f>
        <v>2011</v>
      </c>
      <c r="H21" s="118"/>
      <c r="I21" s="118"/>
      <c r="K21" s="124"/>
      <c r="L21" s="124"/>
      <c r="M21" s="124"/>
      <c r="N21" s="64"/>
      <c r="O21" s="319"/>
    </row>
    <row r="22" spans="2:17">
      <c r="B22" s="121"/>
      <c r="C22" s="317"/>
      <c r="E22" s="594" t="s">
        <v>770</v>
      </c>
      <c r="G22" s="594" t="s">
        <v>770</v>
      </c>
      <c r="H22" s="118"/>
      <c r="I22" s="118"/>
      <c r="K22" s="122"/>
      <c r="L22" s="122"/>
      <c r="M22" s="122"/>
      <c r="N22" s="64"/>
      <c r="O22" s="319"/>
    </row>
    <row r="23" spans="2:17">
      <c r="B23" s="123" t="s">
        <v>684</v>
      </c>
      <c r="C23" s="317"/>
      <c r="E23" s="595"/>
      <c r="F23" s="595"/>
      <c r="G23" s="595"/>
      <c r="H23" s="118"/>
      <c r="I23" s="118"/>
      <c r="K23" s="122"/>
      <c r="L23" s="122"/>
      <c r="M23" s="122"/>
      <c r="N23" s="64"/>
      <c r="O23" s="319"/>
    </row>
    <row r="24" spans="2:17">
      <c r="B24" s="121" t="s">
        <v>659</v>
      </c>
      <c r="C24" s="317"/>
      <c r="D24" s="335" t="s">
        <v>685</v>
      </c>
      <c r="E24" s="595">
        <f t="shared" ref="E24:E29" si="0">+SUM(K24:M24)</f>
        <v>9974211.2899999991</v>
      </c>
      <c r="F24" s="595"/>
      <c r="G24" s="595">
        <f>SUMIF(AL_TB!$L:$L,J24,AL_TB!$F:$F)</f>
        <v>9772542.6600000001</v>
      </c>
      <c r="H24" s="118"/>
      <c r="I24" s="118">
        <v>125616.37153</v>
      </c>
      <c r="J24" s="320">
        <v>1003</v>
      </c>
      <c r="K24" s="612">
        <f>-SUMIF(AL_TB!$L:$L,J24,AL_TB!$K:$K)</f>
        <v>9974211.2899999991</v>
      </c>
      <c r="L24" s="122">
        <v>0</v>
      </c>
      <c r="M24" s="122">
        <v>0</v>
      </c>
      <c r="N24" s="64"/>
      <c r="O24" s="319">
        <v>9974211</v>
      </c>
      <c r="P24" s="318">
        <f>E24/O24</f>
        <v>1.0000000290749813</v>
      </c>
      <c r="Q24" s="61" t="s">
        <v>734</v>
      </c>
    </row>
    <row r="25" spans="2:17">
      <c r="B25" s="121" t="s">
        <v>660</v>
      </c>
      <c r="C25" s="317"/>
      <c r="D25" s="335" t="s">
        <v>685</v>
      </c>
      <c r="E25" s="595">
        <f t="shared" si="0"/>
        <v>0</v>
      </c>
      <c r="F25" s="595"/>
      <c r="G25" s="595">
        <v>3044013</v>
      </c>
      <c r="H25" s="118"/>
      <c r="I25" s="118">
        <v>357831.41586000001</v>
      </c>
      <c r="J25" s="320">
        <v>1005</v>
      </c>
      <c r="K25" s="612">
        <f>-SUMIF(AL_TB!$L:$L,J25,AL_TB!$K:$K)</f>
        <v>0</v>
      </c>
      <c r="L25" s="122">
        <v>0</v>
      </c>
      <c r="M25" s="122">
        <v>0</v>
      </c>
      <c r="N25" s="64"/>
      <c r="O25" s="319"/>
      <c r="P25" s="318"/>
      <c r="Q25" s="61" t="s">
        <v>734</v>
      </c>
    </row>
    <row r="26" spans="2:17">
      <c r="B26" s="121" t="s">
        <v>661</v>
      </c>
      <c r="C26" s="317"/>
      <c r="D26" s="335" t="s">
        <v>685</v>
      </c>
      <c r="E26" s="595">
        <f t="shared" si="0"/>
        <v>11348239.560000001</v>
      </c>
      <c r="F26" s="595"/>
      <c r="G26" s="595">
        <f>SUMIF(AL_TB!$L:$L,J26,AL_TB!$F:$F)</f>
        <v>13328808.310000001</v>
      </c>
      <c r="H26" s="118"/>
      <c r="I26" s="118">
        <v>6.76675</v>
      </c>
      <c r="J26" s="320">
        <v>1006</v>
      </c>
      <c r="K26" s="612">
        <f>-SUMIF(AL_TB!$L:$L,J26,AL_TB!$K:$K)</f>
        <v>11348239.560000001</v>
      </c>
      <c r="L26" s="122">
        <v>0</v>
      </c>
      <c r="M26" s="122">
        <v>0</v>
      </c>
      <c r="N26" s="64"/>
      <c r="O26" s="319">
        <f>K26</f>
        <v>11348239.560000001</v>
      </c>
      <c r="P26" s="318">
        <f>E26/O26</f>
        <v>1</v>
      </c>
      <c r="Q26" s="61" t="s">
        <v>734</v>
      </c>
    </row>
    <row r="27" spans="2:17">
      <c r="B27" s="121" t="s">
        <v>661</v>
      </c>
      <c r="C27" s="317"/>
      <c r="D27" s="335" t="s">
        <v>685</v>
      </c>
      <c r="E27" s="595">
        <f>+SUM(K27:M27)</f>
        <v>11827371.365799867</v>
      </c>
      <c r="F27" s="595"/>
      <c r="G27" s="595">
        <f>SUMIF(AL_TB!$L:$L,J27,AL_TB!$F:$F)</f>
        <v>10718124.4038</v>
      </c>
      <c r="H27" s="118"/>
      <c r="I27" s="118"/>
      <c r="J27" s="320">
        <v>1009</v>
      </c>
      <c r="K27" s="612">
        <f>-SUMIF(AL_TB!$L:$L,J27,AL_TB!$K:$K)</f>
        <v>11827371.365799867</v>
      </c>
      <c r="L27" s="122">
        <v>0</v>
      </c>
      <c r="M27" s="122">
        <v>0</v>
      </c>
      <c r="N27" s="64"/>
      <c r="O27" s="319">
        <v>84729.36</v>
      </c>
      <c r="P27" s="318">
        <f>E27/O27</f>
        <v>139.5900000401262</v>
      </c>
      <c r="Q27" s="61" t="s">
        <v>733</v>
      </c>
    </row>
    <row r="28" spans="2:17">
      <c r="B28" s="121" t="s">
        <v>661</v>
      </c>
      <c r="C28" s="317"/>
      <c r="D28" s="335" t="s">
        <v>685</v>
      </c>
      <c r="E28" s="595">
        <f>+SUM(K28:M28)</f>
        <v>45339100.840000004</v>
      </c>
      <c r="F28" s="595"/>
      <c r="G28" s="595">
        <f>SUMIF(AL_TB!$L:$L,J28,AL_TB!$F:$F)</f>
        <v>45337649.310000002</v>
      </c>
      <c r="H28" s="118"/>
      <c r="I28" s="118"/>
      <c r="J28" s="320">
        <v>1010</v>
      </c>
      <c r="K28" s="612">
        <f>-SUMIF(AL_TB!$L:$L,J28,AL_TB!$K:$K)</f>
        <v>45339100.840000004</v>
      </c>
      <c r="L28" s="122">
        <v>0</v>
      </c>
      <c r="M28" s="122">
        <v>0</v>
      </c>
      <c r="N28" s="64"/>
      <c r="O28" s="319">
        <f>K28</f>
        <v>45339100.840000004</v>
      </c>
      <c r="P28" s="318">
        <f>E28/O28</f>
        <v>1</v>
      </c>
      <c r="Q28" s="61" t="s">
        <v>734</v>
      </c>
    </row>
    <row r="29" spans="2:17">
      <c r="B29" s="325" t="s">
        <v>662</v>
      </c>
      <c r="C29" s="317"/>
      <c r="D29" s="335" t="s">
        <v>685</v>
      </c>
      <c r="E29" s="595">
        <f t="shared" si="0"/>
        <v>39943846.93</v>
      </c>
      <c r="F29" s="595"/>
      <c r="G29" s="595">
        <f>SUMIF(AL_TB!$L:$L,J29,AL_TB!$F:$F)</f>
        <v>39977621.049999997</v>
      </c>
      <c r="H29" s="118"/>
      <c r="I29" s="118"/>
      <c r="J29" s="320">
        <v>1004</v>
      </c>
      <c r="K29" s="612">
        <f>-SUMIF(AL_TB!$L:$L,J29,AL_TB!$K:$K)</f>
        <v>39943846.93</v>
      </c>
      <c r="L29" s="122">
        <v>0</v>
      </c>
      <c r="M29" s="122">
        <v>0</v>
      </c>
      <c r="N29" s="64"/>
      <c r="O29" s="319">
        <f>K29</f>
        <v>39943846.93</v>
      </c>
      <c r="P29" s="318">
        <f>E29/O29</f>
        <v>1</v>
      </c>
      <c r="Q29" s="61" t="s">
        <v>734</v>
      </c>
    </row>
    <row r="30" spans="2:17">
      <c r="B30" s="325" t="s">
        <v>662</v>
      </c>
      <c r="C30" s="317"/>
      <c r="D30" s="335" t="s">
        <v>685</v>
      </c>
      <c r="E30" s="595">
        <f>+SUM(K30:M30)</f>
        <v>32139955.100000001</v>
      </c>
      <c r="F30" s="595"/>
      <c r="G30" s="595">
        <f>SUMIF(AL_TB!$L:$L,J30,AL_TB!$F:$F)</f>
        <v>35371408.460000001</v>
      </c>
      <c r="H30" s="118"/>
      <c r="I30" s="118"/>
      <c r="J30" s="320">
        <v>1008</v>
      </c>
      <c r="K30" s="612">
        <f>-SUMIF(AL_TB!$L:$L,J30,AL_TB!$K:$K)</f>
        <v>32139955.100000001</v>
      </c>
      <c r="L30" s="122">
        <v>0</v>
      </c>
      <c r="M30" s="122">
        <v>0</v>
      </c>
      <c r="N30" s="64"/>
      <c r="O30" s="319">
        <f>K30</f>
        <v>32139955.100000001</v>
      </c>
      <c r="P30" s="318">
        <f>E30/O30</f>
        <v>1</v>
      </c>
      <c r="Q30" s="61" t="s">
        <v>734</v>
      </c>
    </row>
    <row r="31" spans="2:17">
      <c r="B31" s="325" t="s">
        <v>822</v>
      </c>
      <c r="C31" s="317"/>
      <c r="D31" s="335"/>
      <c r="E31" s="595">
        <f>+SUM(K31:M31)</f>
        <v>6043538.6743000001</v>
      </c>
      <c r="F31" s="595"/>
      <c r="G31" s="595">
        <v>3394025</v>
      </c>
      <c r="H31" s="118"/>
      <c r="I31" s="118"/>
      <c r="J31" s="320">
        <v>1112</v>
      </c>
      <c r="K31" s="612">
        <f>-SUMIF(AL_TB!$L:$L,J31,AL_TB!$K:$K)</f>
        <v>6043538.6743000001</v>
      </c>
      <c r="L31" s="122">
        <v>0</v>
      </c>
      <c r="M31" s="122">
        <v>0</v>
      </c>
      <c r="N31" s="64"/>
      <c r="O31" s="319"/>
      <c r="P31" s="318"/>
    </row>
    <row r="32" spans="2:17" ht="15.75" thickBot="1">
      <c r="B32" s="529" t="s">
        <v>24</v>
      </c>
      <c r="C32" s="317"/>
      <c r="D32" s="335"/>
      <c r="E32" s="164">
        <f>SUM(E24:E31)</f>
        <v>156616263.76009989</v>
      </c>
      <c r="F32" s="162"/>
      <c r="G32" s="164">
        <f>SUM(G24:G31)</f>
        <v>160944192.1938</v>
      </c>
      <c r="H32" s="118"/>
      <c r="I32" s="118"/>
      <c r="K32" s="612"/>
      <c r="L32" s="122"/>
      <c r="M32" s="122"/>
      <c r="N32" s="64"/>
      <c r="O32" s="319"/>
      <c r="P32" s="318"/>
    </row>
    <row r="33" spans="2:15" ht="15.75" thickTop="1">
      <c r="B33" s="121"/>
      <c r="C33" s="317"/>
      <c r="E33" s="595"/>
      <c r="F33" s="595"/>
      <c r="G33" s="595"/>
      <c r="H33" s="118"/>
      <c r="I33" s="118"/>
      <c r="K33" s="612"/>
      <c r="L33" s="122"/>
      <c r="M33" s="122"/>
      <c r="N33" s="64"/>
      <c r="O33" s="319"/>
    </row>
    <row r="34" spans="2:15">
      <c r="B34" s="123" t="s">
        <v>686</v>
      </c>
      <c r="E34" s="595"/>
      <c r="F34" s="595"/>
      <c r="G34" s="595"/>
      <c r="H34" s="118"/>
      <c r="I34" s="118"/>
      <c r="K34" s="612"/>
      <c r="L34" s="122"/>
      <c r="M34" s="122"/>
      <c r="N34" s="64"/>
      <c r="O34" s="319"/>
    </row>
    <row r="35" spans="2:15" ht="8.25" customHeight="1">
      <c r="B35" s="123"/>
      <c r="E35" s="595"/>
      <c r="F35" s="595"/>
      <c r="G35" s="595"/>
      <c r="H35" s="118"/>
      <c r="I35" s="118"/>
      <c r="K35" s="612"/>
      <c r="L35" s="122"/>
      <c r="M35" s="122"/>
      <c r="N35" s="64"/>
      <c r="O35" s="319"/>
    </row>
    <row r="36" spans="2:15">
      <c r="B36" s="121"/>
      <c r="D36" s="335"/>
      <c r="E36" s="595">
        <f>+SUM(K36:M36)</f>
        <v>0</v>
      </c>
      <c r="F36" s="595"/>
      <c r="G36" s="597"/>
      <c r="H36" s="118"/>
      <c r="I36" s="118">
        <v>51244.898000000001</v>
      </c>
      <c r="K36" s="612"/>
      <c r="L36" s="122">
        <v>0</v>
      </c>
      <c r="M36" s="122">
        <v>0</v>
      </c>
      <c r="N36" s="64"/>
      <c r="O36" s="319"/>
    </row>
    <row r="37" spans="2:15">
      <c r="B37" s="121" t="s">
        <v>1040</v>
      </c>
      <c r="D37" s="335"/>
      <c r="E37" s="595">
        <f>+SUM(K37:M37)+1</f>
        <v>20938501</v>
      </c>
      <c r="F37" s="595"/>
      <c r="G37" s="597">
        <v>5103545</v>
      </c>
      <c r="H37" s="118"/>
      <c r="I37" s="118">
        <v>13676.38199</v>
      </c>
      <c r="J37" s="320">
        <v>11111</v>
      </c>
      <c r="K37" s="612">
        <f>-SUMIF(AL_TB!$L:$L,J37,AL_TB!$K:$K)</f>
        <v>20938500</v>
      </c>
      <c r="L37" s="122">
        <v>0</v>
      </c>
      <c r="M37" s="122">
        <v>0</v>
      </c>
      <c r="N37" s="64"/>
      <c r="O37" s="319"/>
    </row>
    <row r="38" spans="2:15">
      <c r="B38" s="166" t="s">
        <v>657</v>
      </c>
      <c r="D38" s="335" t="s">
        <v>685</v>
      </c>
      <c r="E38" s="595">
        <f>+SUM(K38:M38)</f>
        <v>19380379</v>
      </c>
      <c r="F38" s="595"/>
      <c r="G38" s="597">
        <v>18080493</v>
      </c>
      <c r="H38" s="118"/>
      <c r="I38" s="118">
        <v>873.11300000000006</v>
      </c>
      <c r="J38" s="320">
        <v>1111</v>
      </c>
      <c r="K38" s="612">
        <f>-SUMIF(AL_TB!$L:$L,J38,AL_TB!$K:$K)</f>
        <v>19380379</v>
      </c>
      <c r="L38" s="122">
        <v>0</v>
      </c>
      <c r="M38" s="122">
        <v>0</v>
      </c>
      <c r="N38" s="64"/>
      <c r="O38" s="319"/>
    </row>
    <row r="39" spans="2:15">
      <c r="B39" s="121" t="s">
        <v>1041</v>
      </c>
      <c r="D39" s="335"/>
      <c r="E39" s="598"/>
      <c r="F39" s="595"/>
      <c r="G39" s="599">
        <v>4237300</v>
      </c>
      <c r="H39" s="118"/>
      <c r="I39" s="118"/>
      <c r="K39" s="612"/>
      <c r="L39" s="118">
        <v>0</v>
      </c>
      <c r="M39" s="118">
        <v>0</v>
      </c>
      <c r="N39" s="64"/>
      <c r="O39" s="319"/>
    </row>
    <row r="40" spans="2:15">
      <c r="B40" s="123" t="s">
        <v>24</v>
      </c>
      <c r="D40" s="335"/>
      <c r="E40" s="600">
        <f>SUM(E37:E39)</f>
        <v>40318880</v>
      </c>
      <c r="F40" s="600"/>
      <c r="G40" s="600">
        <f>SUM(G37:G39)</f>
        <v>27421338</v>
      </c>
      <c r="H40" s="118"/>
      <c r="I40" s="118"/>
      <c r="K40" s="612"/>
      <c r="L40" s="118"/>
      <c r="M40" s="118"/>
      <c r="N40" s="64"/>
      <c r="O40" s="319"/>
    </row>
    <row r="41" spans="2:15" ht="15.75" thickBot="1">
      <c r="B41" s="119" t="s">
        <v>689</v>
      </c>
      <c r="E41" s="164">
        <f>IF(ABS(SUM(E32:E39)-'1.1 BS_cons'!E41)&lt;1,SUM(E32:E39),"Error")</f>
        <v>196935143.76009989</v>
      </c>
      <c r="F41" s="162"/>
      <c r="G41" s="164">
        <f>IF(ABS(SUM(G32:G39)-'1.1 BS_cons'!F41)&lt;1,SUM(G32:G39),"Error")</f>
        <v>188365530.1938</v>
      </c>
      <c r="H41" s="138"/>
      <c r="I41" s="137" t="e">
        <f>IF(ABS(SUM(I13:I38)-#REF!)&lt;1,SUM(I13:I38),"Error")</f>
        <v>#REF!</v>
      </c>
      <c r="J41" s="324"/>
      <c r="K41" s="125">
        <f>SUM(K36:K39)</f>
        <v>40318879</v>
      </c>
      <c r="L41" s="125">
        <f>SUM(L36:L39)</f>
        <v>0</v>
      </c>
      <c r="M41" s="125">
        <f>SUM(M36:M39)</f>
        <v>0</v>
      </c>
      <c r="N41" s="64"/>
      <c r="O41" s="319"/>
    </row>
    <row r="42" spans="2:15" ht="15.75" thickTop="1">
      <c r="B42" s="119"/>
      <c r="E42" s="400"/>
      <c r="F42" s="596"/>
      <c r="G42" s="400"/>
      <c r="H42" s="138"/>
      <c r="I42" s="138"/>
      <c r="J42" s="324"/>
      <c r="K42" s="124"/>
      <c r="L42" s="124"/>
      <c r="M42" s="124"/>
      <c r="N42" s="64"/>
      <c r="O42" s="319"/>
    </row>
    <row r="43" spans="2:15">
      <c r="B43" s="119"/>
      <c r="E43" s="399"/>
      <c r="F43" s="162"/>
      <c r="G43" s="399"/>
      <c r="H43" s="138"/>
      <c r="I43" s="138"/>
      <c r="J43" s="324"/>
      <c r="K43" s="124"/>
      <c r="L43" s="124"/>
      <c r="M43" s="124"/>
      <c r="N43" s="64"/>
      <c r="O43" s="319"/>
    </row>
    <row r="44" spans="2:15">
      <c r="B44" s="372" t="s">
        <v>820</v>
      </c>
      <c r="C44" s="136"/>
      <c r="D44" s="136"/>
      <c r="E44" s="591"/>
      <c r="F44" s="591"/>
      <c r="G44" s="591"/>
      <c r="H44" s="136"/>
      <c r="I44" s="118"/>
      <c r="K44" s="122"/>
      <c r="L44" s="118"/>
      <c r="M44" s="118"/>
      <c r="O44" s="319"/>
    </row>
    <row r="45" spans="2:15">
      <c r="B45" s="401"/>
      <c r="E45" s="595"/>
      <c r="F45" s="595"/>
      <c r="G45" s="595"/>
      <c r="H45" s="118"/>
      <c r="I45" s="118"/>
      <c r="K45" s="122"/>
      <c r="L45" s="118"/>
      <c r="M45" s="118"/>
      <c r="O45" s="319"/>
    </row>
    <row r="46" spans="2:15">
      <c r="B46" s="401"/>
      <c r="E46" s="595"/>
      <c r="F46" s="595"/>
      <c r="G46" s="595"/>
      <c r="H46" s="118"/>
      <c r="I46" s="118"/>
      <c r="K46" s="122"/>
      <c r="L46" s="118"/>
      <c r="M46" s="118"/>
      <c r="O46" s="319"/>
    </row>
    <row r="47" spans="2:15">
      <c r="B47" s="123" t="s">
        <v>687</v>
      </c>
      <c r="E47" s="595"/>
      <c r="F47" s="595"/>
      <c r="G47" s="595"/>
      <c r="H47" s="118"/>
      <c r="I47" s="118"/>
      <c r="K47" s="122"/>
      <c r="L47" s="118"/>
      <c r="M47" s="118"/>
      <c r="O47" s="319"/>
    </row>
    <row r="48" spans="2:15" ht="9.75" customHeight="1">
      <c r="B48" s="123"/>
      <c r="E48" s="595"/>
      <c r="F48" s="595"/>
      <c r="G48" s="595"/>
      <c r="H48" s="118"/>
      <c r="I48" s="118"/>
      <c r="K48" s="122"/>
      <c r="L48" s="118"/>
      <c r="M48" s="118"/>
      <c r="O48" s="319"/>
    </row>
    <row r="49" spans="2:15">
      <c r="B49" s="121" t="s">
        <v>656</v>
      </c>
      <c r="E49" s="595">
        <f>+SUM(K49:M49)</f>
        <v>736570086.12</v>
      </c>
      <c r="F49" s="595"/>
      <c r="G49" s="597">
        <v>528739934</v>
      </c>
      <c r="H49" s="118"/>
      <c r="I49" s="118">
        <v>96459.5432</v>
      </c>
      <c r="K49" s="122">
        <f>K13-K37</f>
        <v>736570086.12</v>
      </c>
      <c r="L49" s="122">
        <v>0</v>
      </c>
      <c r="M49" s="122">
        <v>0</v>
      </c>
      <c r="O49" s="319"/>
    </row>
    <row r="50" spans="2:15">
      <c r="B50" s="121" t="s">
        <v>656</v>
      </c>
      <c r="E50" s="595">
        <f>+SUM(K50:M50)</f>
        <v>0</v>
      </c>
      <c r="F50" s="595"/>
      <c r="G50" s="597"/>
      <c r="H50" s="118"/>
      <c r="I50" s="118">
        <v>623.34481999999991</v>
      </c>
      <c r="K50" s="122"/>
      <c r="L50" s="122">
        <v>0</v>
      </c>
      <c r="M50" s="122">
        <v>0</v>
      </c>
      <c r="O50" s="319"/>
    </row>
    <row r="51" spans="2:15">
      <c r="B51" s="166" t="s">
        <v>657</v>
      </c>
      <c r="D51" s="115" t="s">
        <v>731</v>
      </c>
      <c r="E51" s="595">
        <f>+SUM(K51:M51)</f>
        <v>54282968.396200016</v>
      </c>
      <c r="F51" s="595"/>
      <c r="G51" s="597">
        <v>73315057</v>
      </c>
      <c r="H51" s="118"/>
      <c r="I51" s="118"/>
      <c r="K51" s="122">
        <f>K15-K38</f>
        <v>54282968.396200016</v>
      </c>
      <c r="L51" s="118">
        <v>0</v>
      </c>
      <c r="M51" s="118">
        <v>0</v>
      </c>
      <c r="O51" s="319"/>
    </row>
    <row r="52" spans="2:15">
      <c r="B52" s="121" t="s">
        <v>658</v>
      </c>
      <c r="E52" s="595">
        <f>+SUM(K52:M52)</f>
        <v>0</v>
      </c>
      <c r="F52" s="595"/>
      <c r="G52" s="597"/>
      <c r="H52" s="118"/>
      <c r="I52" s="118"/>
      <c r="K52" s="122">
        <f>K16-K39</f>
        <v>0</v>
      </c>
      <c r="L52" s="118">
        <v>0</v>
      </c>
      <c r="M52" s="118">
        <v>0</v>
      </c>
      <c r="O52" s="319"/>
    </row>
    <row r="53" spans="2:15">
      <c r="B53" s="121" t="s">
        <v>153</v>
      </c>
      <c r="D53" s="115" t="s">
        <v>897</v>
      </c>
      <c r="E53" s="595">
        <f>+SUM(K53:M53)</f>
        <v>10000000</v>
      </c>
      <c r="F53" s="595"/>
      <c r="G53" s="597">
        <v>10000000</v>
      </c>
      <c r="H53" s="118"/>
      <c r="I53" s="118"/>
      <c r="K53" s="122">
        <f>K17</f>
        <v>10000000</v>
      </c>
      <c r="L53" s="118"/>
      <c r="M53" s="118"/>
      <c r="O53" s="319"/>
    </row>
    <row r="54" spans="2:15" ht="15.75" thickBot="1">
      <c r="B54" s="119" t="s">
        <v>688</v>
      </c>
      <c r="E54" s="137">
        <f>IF(ABS(SUM(E49:E53)-'1.1 BS_cons'!E35)&lt;1,SUM(E49:E53),"Error")</f>
        <v>800853054.51620007</v>
      </c>
      <c r="F54" s="595"/>
      <c r="G54" s="137">
        <f>IF(ABS(SUM(G49:G53)-'1.1 BS_cons'!F35)&lt;1,SUM(G49:G53),"Error")</f>
        <v>612054991</v>
      </c>
      <c r="H54" s="138"/>
      <c r="I54" s="137" t="e">
        <f>IF(ABS(SUM(I47:I51)-#REF!)&lt;1,SUM(I47:I51),"Error")</f>
        <v>#REF!</v>
      </c>
      <c r="J54" s="324"/>
      <c r="K54" s="125">
        <f>SUM(K49:K53)</f>
        <v>800853054.51620007</v>
      </c>
      <c r="L54" s="125">
        <f>SUM(L47:L52)</f>
        <v>0</v>
      </c>
      <c r="M54" s="125">
        <f>SUM(M47:M52)</f>
        <v>0</v>
      </c>
      <c r="O54" s="319"/>
    </row>
    <row r="55" spans="2:15" ht="15.75" thickTop="1">
      <c r="B55" s="126"/>
      <c r="E55" s="595"/>
      <c r="F55" s="595"/>
      <c r="G55" s="595"/>
      <c r="H55" s="118"/>
      <c r="I55" s="118"/>
      <c r="K55" s="118"/>
      <c r="L55" s="118"/>
      <c r="M55" s="118"/>
      <c r="O55" s="319"/>
    </row>
    <row r="56" spans="2:15">
      <c r="E56" s="595"/>
      <c r="F56" s="595"/>
      <c r="G56" s="595"/>
      <c r="H56" s="118"/>
      <c r="I56" s="118"/>
      <c r="K56" s="122"/>
      <c r="L56" s="122"/>
      <c r="M56" s="122"/>
      <c r="O56" s="319"/>
    </row>
    <row r="57" spans="2:15">
      <c r="D57" s="127"/>
      <c r="E57" s="595"/>
      <c r="F57" s="595"/>
      <c r="G57" s="595"/>
      <c r="H57" s="128"/>
      <c r="I57" s="118"/>
      <c r="K57" s="122"/>
      <c r="L57" s="122"/>
      <c r="M57" s="122"/>
      <c r="O57" s="319"/>
    </row>
    <row r="58" spans="2:15">
      <c r="D58" s="127"/>
      <c r="E58" s="162"/>
      <c r="F58" s="595"/>
      <c r="G58" s="595"/>
      <c r="H58" s="128"/>
      <c r="I58" s="118"/>
      <c r="K58" s="118"/>
      <c r="L58" s="118"/>
      <c r="M58" s="118"/>
      <c r="O58" s="319"/>
    </row>
    <row r="59" spans="2:15">
      <c r="D59" s="127"/>
      <c r="E59" s="162"/>
      <c r="F59" s="595"/>
      <c r="G59" s="595"/>
      <c r="H59" s="128"/>
      <c r="I59" s="118"/>
      <c r="K59" s="118"/>
      <c r="L59" s="118"/>
      <c r="M59" s="118"/>
      <c r="O59" s="319"/>
    </row>
    <row r="60" spans="2:15">
      <c r="D60" s="127"/>
      <c r="E60" s="163"/>
      <c r="F60" s="595"/>
      <c r="G60" s="595"/>
      <c r="H60" s="128"/>
      <c r="I60" s="118"/>
      <c r="K60" s="118"/>
      <c r="L60" s="118"/>
      <c r="M60" s="118"/>
      <c r="O60" s="319"/>
    </row>
    <row r="61" spans="2:15">
      <c r="B61" s="131"/>
      <c r="C61" s="129"/>
      <c r="D61" s="130"/>
      <c r="E61" s="163"/>
      <c r="F61" s="595"/>
      <c r="G61" s="595"/>
      <c r="H61" s="118"/>
      <c r="I61" s="118"/>
      <c r="K61" s="118"/>
      <c r="L61" s="118"/>
      <c r="M61" s="118"/>
      <c r="O61" s="319"/>
    </row>
    <row r="62" spans="2:15">
      <c r="B62" s="131"/>
      <c r="C62" s="129"/>
      <c r="D62" s="131"/>
      <c r="E62" s="601"/>
      <c r="F62" s="595"/>
      <c r="G62" s="595"/>
      <c r="H62" s="118"/>
      <c r="I62" s="118"/>
      <c r="K62" s="118"/>
      <c r="L62" s="118"/>
      <c r="M62" s="118"/>
      <c r="O62" s="319"/>
    </row>
    <row r="63" spans="2:15">
      <c r="B63" s="131"/>
      <c r="C63" s="139"/>
      <c r="D63" s="131"/>
      <c r="E63" s="602"/>
      <c r="F63" s="595"/>
      <c r="G63" s="595"/>
      <c r="H63" s="118"/>
      <c r="I63" s="118"/>
      <c r="K63" s="118"/>
      <c r="L63" s="118"/>
      <c r="M63" s="118"/>
      <c r="O63" s="319"/>
    </row>
    <row r="64" spans="2:15">
      <c r="B64" s="131"/>
      <c r="C64" s="140"/>
      <c r="D64" s="141"/>
      <c r="E64" s="603"/>
      <c r="F64" s="595"/>
      <c r="G64" s="595"/>
      <c r="H64" s="118"/>
      <c r="I64" s="118"/>
      <c r="K64" s="118"/>
      <c r="L64" s="118"/>
      <c r="M64" s="118"/>
      <c r="O64" s="319"/>
    </row>
    <row r="65" spans="2:15">
      <c r="B65" s="142"/>
      <c r="C65" s="143"/>
      <c r="D65" s="143"/>
      <c r="E65" s="604"/>
      <c r="F65" s="595"/>
      <c r="G65" s="595"/>
      <c r="H65" s="118"/>
      <c r="I65" s="118"/>
      <c r="K65" s="118"/>
      <c r="L65" s="118"/>
      <c r="M65" s="118"/>
      <c r="O65" s="319"/>
    </row>
    <row r="66" spans="2:15">
      <c r="B66" s="144"/>
      <c r="C66" s="145"/>
      <c r="D66" s="146"/>
      <c r="E66" s="605"/>
      <c r="F66" s="595"/>
      <c r="G66" s="595"/>
      <c r="H66" s="118"/>
      <c r="I66" s="118"/>
      <c r="K66" s="118"/>
      <c r="L66" s="118"/>
      <c r="M66" s="118"/>
      <c r="O66" s="319"/>
    </row>
    <row r="67" spans="2:15">
      <c r="E67" s="595"/>
      <c r="F67" s="595"/>
      <c r="G67" s="595"/>
      <c r="H67" s="118"/>
      <c r="I67" s="118"/>
      <c r="K67" s="118"/>
      <c r="L67" s="118"/>
      <c r="M67" s="118"/>
      <c r="O67" s="319"/>
    </row>
    <row r="68" spans="2:15">
      <c r="E68" s="595"/>
      <c r="F68" s="595"/>
      <c r="G68" s="595"/>
      <c r="H68" s="118"/>
      <c r="I68" s="118"/>
      <c r="K68" s="118"/>
      <c r="L68" s="118"/>
      <c r="M68" s="118"/>
      <c r="O68" s="319"/>
    </row>
    <row r="69" spans="2:15">
      <c r="E69" s="595"/>
      <c r="F69" s="595"/>
      <c r="G69" s="595"/>
      <c r="H69" s="118"/>
      <c r="I69" s="118"/>
      <c r="K69" s="118"/>
      <c r="L69" s="118"/>
      <c r="M69" s="118"/>
      <c r="O69" s="319"/>
    </row>
    <row r="70" spans="2:15">
      <c r="E70" s="595"/>
      <c r="F70" s="595"/>
      <c r="G70" s="595"/>
      <c r="H70" s="118"/>
      <c r="I70" s="118"/>
      <c r="K70" s="118"/>
      <c r="L70" s="118"/>
      <c r="M70" s="118"/>
      <c r="O70" s="319"/>
    </row>
    <row r="71" spans="2:15">
      <c r="B71" s="147"/>
      <c r="C71" s="148"/>
      <c r="D71" s="149"/>
      <c r="E71" s="606"/>
      <c r="F71" s="595"/>
      <c r="G71" s="595"/>
      <c r="H71" s="118"/>
      <c r="I71" s="118"/>
      <c r="K71" s="118"/>
      <c r="L71" s="118"/>
      <c r="M71" s="118"/>
      <c r="O71" s="319"/>
    </row>
    <row r="72" spans="2:15">
      <c r="B72" s="147"/>
      <c r="C72" s="150"/>
      <c r="D72" s="150"/>
      <c r="E72" s="607"/>
      <c r="F72" s="595"/>
      <c r="G72" s="595"/>
      <c r="H72" s="118"/>
      <c r="I72" s="118"/>
      <c r="O72" s="319"/>
    </row>
    <row r="73" spans="2:15">
      <c r="B73" s="147"/>
      <c r="C73" s="151"/>
      <c r="D73" s="151"/>
      <c r="E73" s="608"/>
      <c r="F73" s="595"/>
      <c r="G73" s="595"/>
      <c r="H73" s="118"/>
      <c r="I73" s="118"/>
      <c r="O73" s="319"/>
    </row>
    <row r="74" spans="2:15">
      <c r="B74" s="152"/>
      <c r="C74" s="153"/>
      <c r="D74" s="151"/>
      <c r="E74" s="609"/>
      <c r="O74" s="319"/>
    </row>
    <row r="75" spans="2:15">
      <c r="B75" s="147"/>
      <c r="C75" s="154"/>
      <c r="D75" s="151"/>
      <c r="E75" s="610"/>
      <c r="O75" s="319"/>
    </row>
    <row r="76" spans="2:15">
      <c r="B76" s="147"/>
      <c r="C76" s="153"/>
      <c r="D76" s="151"/>
      <c r="E76" s="609"/>
      <c r="O76" s="319"/>
    </row>
    <row r="77" spans="2:15">
      <c r="B77" s="147"/>
      <c r="C77" s="154"/>
      <c r="D77" s="151"/>
      <c r="E77" s="610"/>
      <c r="O77" s="319"/>
    </row>
    <row r="78" spans="2:15">
      <c r="B78" s="147"/>
      <c r="C78" s="151"/>
      <c r="D78" s="151"/>
      <c r="E78" s="608"/>
      <c r="O78" s="319"/>
    </row>
    <row r="79" spans="2:15">
      <c r="B79" s="147"/>
      <c r="C79" s="154"/>
      <c r="D79" s="151"/>
      <c r="E79" s="610"/>
      <c r="O79" s="319"/>
    </row>
    <row r="80" spans="2:15">
      <c r="B80" s="147"/>
      <c r="C80" s="151"/>
      <c r="D80" s="151"/>
      <c r="E80" s="608"/>
    </row>
    <row r="81" spans="2:5">
      <c r="B81" s="147"/>
      <c r="C81" s="153"/>
      <c r="D81" s="151"/>
      <c r="E81" s="609"/>
    </row>
    <row r="82" spans="2:5">
      <c r="B82" s="155"/>
      <c r="C82" s="150"/>
      <c r="D82" s="150"/>
      <c r="E82" s="607"/>
    </row>
    <row r="83" spans="2:5">
      <c r="B83" s="155"/>
      <c r="C83" s="156"/>
      <c r="D83" s="150"/>
      <c r="E83" s="611"/>
    </row>
    <row r="114" spans="11:11">
      <c r="K114" s="115">
        <f>10/14</f>
        <v>0.7142857142857143</v>
      </c>
    </row>
  </sheetData>
  <sheetCalcPr fullCalcOnLoad="1"/>
  <mergeCells count="3">
    <mergeCell ref="C9:C10"/>
    <mergeCell ref="D9:D10"/>
    <mergeCell ref="O8:O9"/>
  </mergeCells>
  <phoneticPr fontId="68" type="noConversion"/>
  <hyperlinks>
    <hyperlink ref="K1" location="INDEX!A1" display="Index"/>
  </hyperlinks>
  <pageMargins left="0.74803149606299213" right="0.74803149606299213" top="0.98425196850393704" bottom="0.98425196850393704" header="0.51181102362204722" footer="0.51181102362204722"/>
  <pageSetup scale="80" orientation="portrait" r:id="rId1"/>
  <headerFooter alignWithMargins="0">
    <oddHeader>&amp;C</oddHeader>
  </headerFooter>
  <rowBreaks count="1" manualBreakCount="1">
    <brk id="9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Index</vt:lpstr>
      <vt:lpstr>1.1 BS_cons</vt:lpstr>
      <vt:lpstr>2.1 IS_cons</vt:lpstr>
      <vt:lpstr>4.1 Capital_cons</vt:lpstr>
      <vt:lpstr>3.1 CF_cons</vt:lpstr>
      <vt:lpstr>CFS</vt:lpstr>
      <vt:lpstr>I- Tatim Fitimi</vt:lpstr>
      <vt:lpstr>II-Shenimet</vt:lpstr>
      <vt:lpstr>III-Huate dhe OD</vt:lpstr>
      <vt:lpstr>Tabela Levizjeve AAM-ve</vt:lpstr>
      <vt:lpstr>Transition Consolidated FS</vt:lpstr>
      <vt:lpstr>FS TCH AL</vt:lpstr>
      <vt:lpstr>FS KS</vt:lpstr>
      <vt:lpstr>FS MK</vt:lpstr>
      <vt:lpstr>AL_TB</vt:lpstr>
      <vt:lpstr>KS_TB</vt:lpstr>
      <vt:lpstr>MK_TB</vt:lpstr>
      <vt:lpstr>ND TCH 2012</vt:lpstr>
      <vt:lpstr>'4.1 Capital_cons'!_Hlk256499673</vt:lpstr>
      <vt:lpstr>AL_TB!Print_Area</vt:lpstr>
      <vt:lpstr>CFS!Print_Area</vt:lpstr>
      <vt:lpstr>'FS KS'!Print_Area</vt:lpstr>
      <vt:lpstr>'FS MK'!Print_Area</vt:lpstr>
      <vt:lpstr>'FS TCH AL'!Print_Area</vt:lpstr>
      <vt:lpstr>'I- Tatim Fitimi'!Print_Area</vt:lpstr>
      <vt:lpstr>'III-Huate dhe OD'!Print_Area</vt:lpstr>
      <vt:lpstr>'II-Shenimet'!Print_Area</vt:lpstr>
      <vt:lpstr>KS_TB!Print_Area</vt:lpstr>
      <vt:lpstr>MK_TB!Print_Area</vt:lpstr>
      <vt:lpstr>'Tabela Levizjeve AAM-ve'!Print_Area</vt:lpstr>
      <vt:lpstr>'Transition Consolidated FS'!Print_Area</vt:lpstr>
      <vt:lpstr>'II-Shenimet'!Print_Titles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Genci Dhamo</dc:creator>
  <cp:lastModifiedBy>User</cp:lastModifiedBy>
  <cp:lastPrinted>2013-03-28T14:44:13Z</cp:lastPrinted>
  <dcterms:created xsi:type="dcterms:W3CDTF">2008-04-23T10:40:44Z</dcterms:created>
  <dcterms:modified xsi:type="dcterms:W3CDTF">2022-07-30T13:37:24Z</dcterms:modified>
</cp:coreProperties>
</file>