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45" windowWidth="22995" windowHeight="8685" firstSheet="2" activeTab="2"/>
  </bookViews>
  <sheets>
    <sheet name="Kapaku" sheetId="1" state="hidden" r:id="rId1"/>
    <sheet name="BK" sheetId="2" state="hidden" r:id="rId2"/>
    <sheet name="PASH" sheetId="3" r:id="rId3"/>
    <sheet name="Cash Flow" sheetId="4" state="hidden" r:id="rId4"/>
    <sheet name="Kapitalet" sheetId="6" state="hidden" r:id="rId5"/>
    <sheet name="Te tjera" sheetId="7" state="hidden" r:id="rId6"/>
    <sheet name="AAM" sheetId="8" state="hidden" r:id="rId7"/>
    <sheet name="FDP" sheetId="9" state="hidden" r:id="rId8"/>
    <sheet name="TE ARDHURAT" sheetId="10" state="hidden" r:id="rId9"/>
  </sheets>
  <externalReferences>
    <externalReference r:id="rId10"/>
    <externalReference r:id="rId11"/>
  </externalReferences>
  <definedNames>
    <definedName name="_xlnm.Print_Area" localSheetId="1">BK!$A$1:$D$112</definedName>
    <definedName name="_xlnm.Print_Area" localSheetId="3">'Cash Flow'!$A$1:$E$70</definedName>
    <definedName name="_xlnm.Print_Area" localSheetId="4">Kapitalet!$A$1:$K$37</definedName>
    <definedName name="_xlnm.Print_Area" localSheetId="2">PASH!$A$1:$D$62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0"/>
  <c r="C6"/>
  <c r="B20" i="9"/>
  <c r="D20"/>
  <c r="F20"/>
  <c r="C3" i="10"/>
  <c r="C92" i="7"/>
  <c r="C93"/>
  <c r="E92"/>
  <c r="E62"/>
  <c r="E63" s="1"/>
  <c r="E64" s="1"/>
  <c r="E68"/>
  <c r="E36"/>
  <c r="E38"/>
  <c r="E37"/>
  <c r="E39" s="1"/>
  <c r="E40" s="1"/>
  <c r="U8" i="9"/>
  <c r="Q8"/>
  <c r="M8"/>
  <c r="G8"/>
  <c r="X8"/>
  <c r="U9"/>
  <c r="S9"/>
  <c r="O9"/>
  <c r="M9"/>
  <c r="G9"/>
  <c r="X9"/>
  <c r="U10"/>
  <c r="S10"/>
  <c r="O10"/>
  <c r="G10"/>
  <c r="X10"/>
  <c r="U11"/>
  <c r="S11"/>
  <c r="O11"/>
  <c r="M11"/>
  <c r="G11"/>
  <c r="X11"/>
  <c r="U12"/>
  <c r="S12"/>
  <c r="O12"/>
  <c r="M12"/>
  <c r="X12"/>
  <c r="U13"/>
  <c r="O13"/>
  <c r="M13"/>
  <c r="X13"/>
  <c r="U14"/>
  <c r="O14"/>
  <c r="M14"/>
  <c r="X14"/>
  <c r="U15"/>
  <c r="O15"/>
  <c r="M15"/>
  <c r="X15"/>
  <c r="Y20"/>
  <c r="W19"/>
  <c r="W20"/>
  <c r="V20"/>
  <c r="T20"/>
  <c r="R20"/>
  <c r="P20"/>
  <c r="O16"/>
  <c r="O17"/>
  <c r="O18"/>
  <c r="O19"/>
  <c r="O20"/>
  <c r="N20"/>
  <c r="L20"/>
  <c r="K20"/>
  <c r="J20"/>
  <c r="H20"/>
  <c r="E20"/>
  <c r="U19"/>
  <c r="S19"/>
  <c r="G19"/>
  <c r="M19"/>
  <c r="Z19"/>
  <c r="I19"/>
  <c r="I20"/>
  <c r="U18"/>
  <c r="S18"/>
  <c r="M18"/>
  <c r="Z18"/>
  <c r="U17"/>
  <c r="S17"/>
  <c r="M17"/>
  <c r="Z17"/>
  <c r="U16"/>
  <c r="S16"/>
  <c r="M16"/>
  <c r="Z16"/>
  <c r="Z15"/>
  <c r="Z14"/>
  <c r="Z13"/>
  <c r="Z12"/>
  <c r="Z11"/>
  <c r="Z10"/>
  <c r="S20"/>
  <c r="M20"/>
  <c r="Z9"/>
  <c r="U20"/>
  <c r="Q20"/>
  <c r="Z8"/>
  <c r="G7"/>
  <c r="X16"/>
  <c r="X17"/>
  <c r="X18"/>
  <c r="X19"/>
  <c r="G20"/>
  <c r="E84" i="7"/>
  <c r="E136"/>
  <c r="E135"/>
  <c r="E139" s="1"/>
  <c r="E142" s="1"/>
  <c r="C117"/>
  <c r="C118"/>
  <c r="C119"/>
  <c r="E98"/>
  <c r="E97"/>
  <c r="E105"/>
  <c r="E104"/>
  <c r="E106" s="1"/>
  <c r="C78"/>
  <c r="C77"/>
  <c r="C62"/>
  <c r="C63" s="1"/>
  <c r="C64" s="1"/>
  <c r="E52"/>
  <c r="C52"/>
  <c r="E44"/>
  <c r="C36"/>
  <c r="C35"/>
  <c r="C39" s="1"/>
  <c r="C40" s="1"/>
  <c r="E35"/>
  <c r="C27"/>
  <c r="C26"/>
  <c r="C15"/>
  <c r="C14"/>
  <c r="C9"/>
  <c r="C8"/>
  <c r="B5" i="8"/>
  <c r="D5"/>
  <c r="F5"/>
  <c r="H5"/>
  <c r="H11"/>
  <c r="H16"/>
  <c r="I16"/>
  <c r="D12"/>
  <c r="F12"/>
  <c r="H12"/>
  <c r="D13"/>
  <c r="H13"/>
  <c r="F6"/>
  <c r="H6"/>
  <c r="D7"/>
  <c r="H7"/>
  <c r="H8"/>
  <c r="B14"/>
  <c r="C14"/>
  <c r="D14"/>
  <c r="E14"/>
  <c r="F14"/>
  <c r="H14"/>
  <c r="H17"/>
  <c r="I17"/>
  <c r="B8"/>
  <c r="C8"/>
  <c r="C17"/>
  <c r="D8"/>
  <c r="D17"/>
  <c r="E8"/>
  <c r="E17"/>
  <c r="F8"/>
  <c r="F17"/>
  <c r="G17"/>
  <c r="B17"/>
  <c r="G19" i="6"/>
  <c r="G22"/>
  <c r="G12"/>
  <c r="G17"/>
  <c r="G24"/>
  <c r="H14"/>
  <c r="I14" s="1"/>
  <c r="K14" s="1"/>
  <c r="I19"/>
  <c r="E131" i="7"/>
  <c r="E132"/>
  <c r="E125"/>
  <c r="E118"/>
  <c r="E119"/>
  <c r="E99"/>
  <c r="E85"/>
  <c r="E79"/>
  <c r="D107" i="2"/>
  <c r="E80" i="7"/>
  <c r="E69"/>
  <c r="E70" s="1"/>
  <c r="E58"/>
  <c r="E59"/>
  <c r="E45"/>
  <c r="E46" s="1"/>
  <c r="E29"/>
  <c r="E30"/>
  <c r="E21"/>
  <c r="E20"/>
  <c r="E22" s="1"/>
  <c r="E23" s="1"/>
  <c r="E15"/>
  <c r="E14"/>
  <c r="E10"/>
  <c r="E11"/>
  <c r="C10"/>
  <c r="E16"/>
  <c r="E17" s="1"/>
  <c r="D16" i="8"/>
  <c r="B16"/>
  <c r="F16"/>
  <c r="C136" i="7"/>
  <c r="C125"/>
  <c r="C105"/>
  <c r="C106" s="1"/>
  <c r="C104"/>
  <c r="C97"/>
  <c r="C84"/>
  <c r="C85" s="1"/>
  <c r="C68"/>
  <c r="C69" s="1"/>
  <c r="C70" s="1"/>
  <c r="C67"/>
  <c r="C58"/>
  <c r="C59"/>
  <c r="C44"/>
  <c r="C45"/>
  <c r="C46"/>
  <c r="C37"/>
  <c r="C29"/>
  <c r="C30"/>
  <c r="C21"/>
  <c r="C20"/>
  <c r="C22" s="1"/>
  <c r="C23" s="1"/>
  <c r="C11"/>
  <c r="C16"/>
  <c r="C17" s="1"/>
  <c r="C131"/>
  <c r="C132"/>
  <c r="C86"/>
  <c r="C73"/>
  <c r="C79" s="1"/>
  <c r="C80" s="1"/>
  <c r="C99"/>
  <c r="B12" i="6"/>
  <c r="B75" i="2"/>
  <c r="B92"/>
  <c r="B107"/>
  <c r="B109"/>
  <c r="B55"/>
  <c r="B33"/>
  <c r="D109"/>
  <c r="D92"/>
  <c r="D75"/>
  <c r="D55"/>
  <c r="D33"/>
  <c r="H27" i="6"/>
  <c r="I27" s="1"/>
  <c r="K27" s="1"/>
  <c r="C135" i="7"/>
  <c r="B57" i="2"/>
  <c r="D94"/>
  <c r="D57"/>
  <c r="B94"/>
  <c r="C32" i="4"/>
  <c r="C37" s="1"/>
  <c r="C34"/>
  <c r="C33"/>
  <c r="C139" i="7"/>
  <c r="C142" s="1"/>
  <c r="C143" s="1"/>
  <c r="C145" s="1"/>
  <c r="E64" i="4"/>
  <c r="C11"/>
  <c r="C35"/>
  <c r="E69"/>
  <c r="E72" s="1"/>
  <c r="C69"/>
  <c r="D34" i="6"/>
  <c r="C63" i="4"/>
  <c r="C54"/>
  <c r="C64" s="1"/>
  <c r="C58"/>
  <c r="E37"/>
  <c r="C67"/>
  <c r="C15"/>
  <c r="J35" i="6"/>
  <c r="F35"/>
  <c r="D35"/>
  <c r="C35"/>
  <c r="B35"/>
  <c r="I34"/>
  <c r="K34" s="1"/>
  <c r="I33"/>
  <c r="K33"/>
  <c r="I31"/>
  <c r="K31"/>
  <c r="J30"/>
  <c r="G30"/>
  <c r="F30"/>
  <c r="E30"/>
  <c r="D30"/>
  <c r="C30"/>
  <c r="B30"/>
  <c r="I29"/>
  <c r="K29"/>
  <c r="I28"/>
  <c r="K28"/>
  <c r="I26"/>
  <c r="K26"/>
  <c r="I25"/>
  <c r="K25"/>
  <c r="J22"/>
  <c r="F22"/>
  <c r="E22"/>
  <c r="D22"/>
  <c r="C22"/>
  <c r="B22"/>
  <c r="H22"/>
  <c r="I22"/>
  <c r="K22"/>
  <c r="I21"/>
  <c r="K21"/>
  <c r="I20"/>
  <c r="K20"/>
  <c r="K19"/>
  <c r="I18"/>
  <c r="K18"/>
  <c r="J17"/>
  <c r="F17"/>
  <c r="E17"/>
  <c r="D17"/>
  <c r="C17"/>
  <c r="B17"/>
  <c r="I16"/>
  <c r="K16"/>
  <c r="I15"/>
  <c r="K15"/>
  <c r="I13"/>
  <c r="K13"/>
  <c r="J12"/>
  <c r="F12"/>
  <c r="E12"/>
  <c r="D12"/>
  <c r="D24"/>
  <c r="C12"/>
  <c r="C24"/>
  <c r="C37"/>
  <c r="I11"/>
  <c r="K11"/>
  <c r="I10"/>
  <c r="K10"/>
  <c r="D37"/>
  <c r="J24"/>
  <c r="J37"/>
  <c r="F24"/>
  <c r="F37"/>
  <c r="E24"/>
  <c r="B24"/>
  <c r="B37"/>
  <c r="I12"/>
  <c r="K12"/>
  <c r="B111" i="2"/>
  <c r="E49" i="4"/>
  <c r="E66"/>
  <c r="D111" i="2"/>
  <c r="C40" i="4"/>
  <c r="C49" s="1"/>
  <c r="H17" i="6"/>
  <c r="I17" s="1"/>
  <c r="K17" s="1"/>
  <c r="M17" s="1"/>
  <c r="H30"/>
  <c r="D113" i="2"/>
  <c r="B113"/>
  <c r="E35" i="6"/>
  <c r="E37"/>
  <c r="C8" i="10" l="1"/>
  <c r="C66" i="4"/>
  <c r="C72" s="1"/>
  <c r="H24" i="6"/>
  <c r="C5" i="10"/>
  <c r="E143" i="7"/>
  <c r="I30" i="6"/>
  <c r="K30" s="1"/>
  <c r="M30" s="1"/>
  <c r="H32" l="1"/>
  <c r="I24"/>
  <c r="K24" s="1"/>
  <c r="M24" s="1"/>
  <c r="H35" l="1"/>
  <c r="H37" s="1"/>
  <c r="G32"/>
  <c r="G35" l="1"/>
  <c r="I32"/>
  <c r="K32" s="1"/>
  <c r="G37" l="1"/>
  <c r="I37" s="1"/>
  <c r="K37" s="1"/>
  <c r="M37" s="1"/>
  <c r="I35"/>
  <c r="K35" s="1"/>
</calcChain>
</file>

<file path=xl/sharedStrings.xml><?xml version="1.0" encoding="utf-8"?>
<sst xmlns="http://schemas.openxmlformats.org/spreadsheetml/2006/main" count="511" uniqueCount="372">
  <si>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</si>
  <si>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</si>
  <si>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</si>
  <si>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</si>
  <si>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</si>
  <si>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</si>
  <si>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</si>
  <si>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</si>
  <si>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</si>
  <si>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</si>
  <si>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</si>
  <si>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</si>
  <si>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</si>
  <si>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</si>
  <si>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</si>
  <si>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</si>
  <si>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</si>
  <si>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</si>
  <si>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</si>
  <si>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</si>
  <si>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</si>
  <si>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</si>
  <si>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</si>
  <si>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</si>
  <si>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</si>
  <si>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</si>
  <si>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</si>
  <si>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</si>
  <si>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</si>
  <si>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</si>
  <si>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</si>
  <si>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</si>
  <si>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</si>
  <si>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</si>
  <si>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</si>
  <si>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</si>
  <si>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</si>
  <si>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</si>
  <si>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</si>
  <si>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</si>
  <si>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</si>
  <si>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</si>
  <si>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</si>
  <si>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</si>
  <si>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</si>
  <si>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</si>
  <si>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</si>
  <si>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</si>
  <si>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</si>
  <si>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</si>
  <si>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</si>
  <si>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</si>
  <si>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</si>
  <si>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</si>
  <si>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</si>
  <si>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</si>
  <si>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</si>
  <si>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</si>
  <si>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</si>
  <si>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</si>
  <si>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</si>
  <si>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</si>
  <si>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</si>
  <si>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</si>
  <si>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</si>
  <si>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</si>
  <si>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</si>
  <si>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</si>
  <si>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</si>
  <si>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</si>
  <si>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</si>
  <si>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</si>
  <si>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</si>
  <si>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</si>
  <si>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</si>
  <si>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</si>
  <si>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</si>
  <si>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</si>
  <si>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</si>
  <si>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</si>
  <si>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</si>
  <si>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</si>
  <si>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</si>
  <si>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</si>
  <si>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</si>
  <si>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</si>
  <si>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</si>
  <si>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</si>
  <si>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</si>
  <si>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</si>
  <si>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</si>
  <si>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</si>
  <si>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</si>
  <si>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</si>
  <si>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</si>
  <si>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</si>
  <si>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</si>
  <si>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</si>
  <si>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</si>
  <si>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</si>
  <si>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</si>
  <si>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</si>
  <si>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</si>
  <si>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</si>
  <si>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</si>
  <si>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</si>
  <si>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</si>
  <si>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</si>
  <si>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</si>
  <si>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</si>
  <si>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</si>
  <si>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</si>
  <si>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</si>
  <si>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</si>
  <si>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</si>
  <si>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</si>
  <si>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</si>
  <si>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</si>
  <si>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</si>
  <si>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</si>
  <si>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</si>
  <si>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</si>
  <si>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</si>
  <si>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</si>
  <si>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</si>
  <si>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</si>
  <si>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</si>
  <si>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</si>
  <si>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</si>
  <si>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</si>
  <si>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</si>
  <si>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</si>
  <si>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</si>
  <si>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</si>
  <si>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</si>
  <si>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</si>
  <si>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</si>
  <si>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</si>
  <si>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</si>
  <si>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</si>
  <si>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</si>
  <si>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</si>
  <si>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</si>
  <si>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</si>
  <si>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</si>
  <si>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</si>
  <si>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</si>
  <si>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</si>
  <si>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</si>
  <si>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</si>
  <si>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</si>
  <si>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</si>
  <si>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</si>
  <si>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</si>
  <si>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</si>
  <si>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</si>
  <si>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</si>
  <si>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</si>
  <si>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</si>
  <si>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</si>
  <si>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</si>
  <si>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</si>
  <si>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</si>
  <si>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</si>
  <si>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</si>
  <si>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</si>
  <si>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</si>
  <si>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</si>
  <si>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</si>
  <si>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</si>
  <si>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</si>
  <si>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</si>
  <si>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</si>
  <si>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</si>
  <si>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</si>
  <si>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</si>
  <si>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</si>
  <si>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</si>
  <si>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</si>
  <si>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</si>
  <si>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</si>
  <si>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</si>
  <si>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</si>
  <si>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</si>
  <si>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</si>
  <si>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</si>
  <si>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</si>
  <si>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</si>
  <si>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</si>
  <si>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</si>
  <si>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</si>
  <si>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</si>
  <si>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</si>
  <si>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</si>
  <si>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</si>
  <si>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</si>
  <si>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</si>
  <si>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</si>
  <si>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</si>
  <si>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</si>
  <si>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</si>
  <si>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</si>
  <si>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</si>
  <si>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</si>
  <si>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Emertimi dhe Forma ligjore</t>
  </si>
  <si>
    <t>NIPT -i</t>
  </si>
  <si>
    <t>Adresa e Selise</t>
  </si>
  <si>
    <t xml:space="preserve">                     DURRES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</si>
  <si>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</si>
  <si>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</si>
  <si>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</si>
  <si>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</si>
  <si>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</si>
  <si>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25/2018 Date 10.05.2018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</si>
  <si>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</si>
  <si>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</si>
  <si>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</si>
  <si>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</si>
  <si>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</si>
  <si>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</si>
  <si>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</si>
  <si>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</si>
  <si>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</si>
  <si>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</si>
  <si>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</si>
  <si>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Lek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</si>
  <si>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  <r>
      <rPr>
        <sz val="11"/>
        <color indexed="8"/>
        <rFont val="Times New Roman"/>
        <family val="1"/>
      </rPr>
      <t>Tatime te shtyra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</si>
  <si>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 teprica nga rivleresimi i aam</t>
    </r>
  </si>
  <si>
    <t xml:space="preserve">WOODLINE  SHPK </t>
  </si>
  <si>
    <t>L83521801R</t>
  </si>
  <si>
    <t>Zona Kadastrale nr.2140, Numer pasurie 33/27, Kercukaj, Gose, Kavaje</t>
  </si>
  <si>
    <t>Perpunim,Tregtim te lendes drusore. Import-eksport etj</t>
  </si>
  <si>
    <t>WOODLINE SH.P.K.</t>
  </si>
  <si>
    <t>NIPT L83521801R</t>
  </si>
  <si>
    <t xml:space="preserve">Pozicioni financiar ne fillim </t>
  </si>
  <si>
    <t>Pozicioni financiar ne fund (viti paraardhes)</t>
  </si>
  <si>
    <t xml:space="preserve">Pozicioni financiar ne fund (viti aktual) </t>
  </si>
  <si>
    <t>TE TJERA SHENIMET</t>
  </si>
  <si>
    <t>Mjetet monetare</t>
  </si>
  <si>
    <t>Para ne dore</t>
  </si>
  <si>
    <t>Para ne Banka</t>
  </si>
  <si>
    <t>Inventari</t>
  </si>
  <si>
    <t xml:space="preserve">Mallra </t>
  </si>
  <si>
    <t>Të drejta të arkëtueshme</t>
  </si>
  <si>
    <t>Te tjera, tvsh,tatim fitimi</t>
  </si>
  <si>
    <t>Te tjera te drejta te arketueshme</t>
  </si>
  <si>
    <t>Tvsh</t>
  </si>
  <si>
    <t>Detyrimet afatshkurtra</t>
  </si>
  <si>
    <t xml:space="preserve">Overdraft bankar </t>
  </si>
  <si>
    <t>Te pagueshme për aktivitetin e shfrytëzimit</t>
  </si>
  <si>
    <t>Te pagueshme ndaj punonj.dhe sig.shoq</t>
  </si>
  <si>
    <t>Të pagueshme për detyrimet tatimore</t>
  </si>
  <si>
    <t>Huamarrjet afatshkurtera</t>
  </si>
  <si>
    <t>Tatimi ne burim</t>
  </si>
  <si>
    <t>Tatim page</t>
  </si>
  <si>
    <t>Detyrimet afatgjata</t>
  </si>
  <si>
    <t>Detyrime ndaj institucioneve të kredisë</t>
  </si>
  <si>
    <t>Kapitali  dhe rezervat</t>
  </si>
  <si>
    <t xml:space="preserve">Fitimi/Humbja e pashperndare </t>
  </si>
  <si>
    <t xml:space="preserve">Fitimi/Humbja e vitit </t>
  </si>
  <si>
    <t xml:space="preserve">Të ardhura nga aktiviteti i shfrytëzimit </t>
  </si>
  <si>
    <t xml:space="preserve">Shitje mallrash dhe produktesh </t>
  </si>
  <si>
    <t>Lënda e parë dhe materiale të konsumueshme</t>
  </si>
  <si>
    <t xml:space="preserve">Shpenzime te tjera materiale </t>
  </si>
  <si>
    <t>Shpenzimet per personelin</t>
  </si>
  <si>
    <t xml:space="preserve">Paga  </t>
  </si>
  <si>
    <t>Sigurime shoqerore</t>
  </si>
  <si>
    <t>Shpenzime te tjera te shfrytezimit</t>
  </si>
  <si>
    <t>Qira</t>
  </si>
  <si>
    <t>Personel jashte ndermarjes</t>
  </si>
  <si>
    <t>Transport</t>
  </si>
  <si>
    <t>Sherbime bankare &amp; kom Garancie</t>
  </si>
  <si>
    <t>Te tjera tatime, taksa vendore</t>
  </si>
  <si>
    <t>Gjoba, shp.panjohura, etj</t>
  </si>
  <si>
    <t>Te ardhura dhe shpenz. nga kembimet valutore</t>
  </si>
  <si>
    <t>Fitim nga kembime valutore monetare</t>
  </si>
  <si>
    <t>Humbje nga kembimet valut. monetare</t>
  </si>
  <si>
    <t>Te ardhura dhe shpenzime nga interesat</t>
  </si>
  <si>
    <t>Te ardhura nga interesat</t>
  </si>
  <si>
    <t>Shpenzime nga interesat</t>
  </si>
  <si>
    <t>Fitimi (Humbja) e vitit financiar</t>
  </si>
  <si>
    <t>Fitim Bruto</t>
  </si>
  <si>
    <t>Shpenzime te pa njohura</t>
  </si>
  <si>
    <t>a.Gjoba, penalitete, demshperblime</t>
  </si>
  <si>
    <t>b.Shpenzime te padok sipas ligjit</t>
  </si>
  <si>
    <t>Baza llogaritjes Tatimit</t>
  </si>
  <si>
    <t>% e tatim Fitimit</t>
  </si>
  <si>
    <t>Tatim Fitimi</t>
  </si>
  <si>
    <t>Tatim Fitimi i shtyre</t>
  </si>
  <si>
    <t>Fitimi Neto</t>
  </si>
  <si>
    <t>31 Dhjetor 2020</t>
  </si>
  <si>
    <t>Paga</t>
  </si>
  <si>
    <t>Sig shoq+shend</t>
  </si>
  <si>
    <t>Shpz Post Telekom</t>
  </si>
  <si>
    <t>Shoqeria  "WOODLINE" SHPK  DURRES</t>
  </si>
  <si>
    <t>Toka+Ndertime</t>
  </si>
  <si>
    <t>Mak.pajisj+mj.tr</t>
  </si>
  <si>
    <t>Aktive te Trupezuara</t>
  </si>
  <si>
    <t xml:space="preserve">Shtesa </t>
  </si>
  <si>
    <t>Pakesime</t>
  </si>
  <si>
    <t>Amortizimi</t>
  </si>
  <si>
    <t>Shtesa llogaritur</t>
  </si>
  <si>
    <t>Pasqyrat financiare te vitit 2021</t>
  </si>
  <si>
    <t>Viti   2021</t>
  </si>
  <si>
    <t>01.01.2021</t>
  </si>
  <si>
    <t>31.12.2021</t>
  </si>
  <si>
    <t>VITI 2021</t>
  </si>
  <si>
    <t>31 Dhjetor 2021</t>
  </si>
  <si>
    <t>28.03.2022</t>
  </si>
  <si>
    <t>Viti 2021</t>
  </si>
  <si>
    <t>Gjendje 01.01.2021</t>
  </si>
  <si>
    <t>Gjendje 31.12.2021</t>
  </si>
  <si>
    <t>Gjendje ne 01.01.2021</t>
  </si>
  <si>
    <t>Gjendje ne 31.12.2021</t>
  </si>
  <si>
    <t>Vlera neto 01.01.2021</t>
  </si>
  <si>
    <t>Vlera neto 31.12.2021</t>
  </si>
  <si>
    <t>Të pagueshme për ndaj punonjesve dhe sigurimeve shoqerore/shendetsore</t>
  </si>
  <si>
    <t>Paga e shperblime</t>
  </si>
  <si>
    <t xml:space="preserve">                S  H  I  T  J  E  T</t>
  </si>
  <si>
    <t xml:space="preserve">                        B  L  E  R  J  E  T</t>
  </si>
  <si>
    <t>Muaji</t>
  </si>
  <si>
    <t>Shitje te perjashtuara</t>
  </si>
  <si>
    <t>Shitje pa tvsh</t>
  </si>
  <si>
    <t>Exporte</t>
  </si>
  <si>
    <t>Furnizim me 0</t>
  </si>
  <si>
    <t>Shitje te tatueshme 20 %</t>
  </si>
  <si>
    <t xml:space="preserve">Autongarkese tvsh </t>
  </si>
  <si>
    <t>tvsh</t>
  </si>
  <si>
    <t xml:space="preserve">Blerje te </t>
  </si>
  <si>
    <t>Blerje inve.</t>
  </si>
  <si>
    <t>Imp me 20 %</t>
  </si>
  <si>
    <t>TVSH</t>
  </si>
  <si>
    <t>Importe te Investimit</t>
  </si>
  <si>
    <t>Furnitore vendas 20 %</t>
  </si>
  <si>
    <t>Furnitore vendas investim</t>
  </si>
  <si>
    <t xml:space="preserve">Vlera e </t>
  </si>
  <si>
    <t>Autongarkese</t>
  </si>
  <si>
    <t>Teprica</t>
  </si>
  <si>
    <t xml:space="preserve">TVSH-ja </t>
  </si>
  <si>
    <t>ne shitje</t>
  </si>
  <si>
    <t>Perjashtu.</t>
  </si>
  <si>
    <t>pa tvsh</t>
  </si>
  <si>
    <t>Investimit</t>
  </si>
  <si>
    <t>tvsh ne blerje</t>
  </si>
  <si>
    <t>e TVSH-se</t>
  </si>
  <si>
    <t>Paguar</t>
  </si>
  <si>
    <t>MUJORE</t>
  </si>
  <si>
    <t>Mbart.2020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</si>
  <si>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</si>
  <si>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</si>
  <si>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</si>
  <si>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</si>
  <si>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</si>
  <si>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</si>
  <si>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</si>
  <si>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</si>
  <si>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</si>
  <si>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</si>
  <si>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</si>
  <si>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</si>
  <si>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</si>
  <si>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r>
      <t xml:space="preserve">       </t>
    </r>
    <r>
      <rPr>
        <b/>
        <u/>
        <sz val="10"/>
        <rFont val="Arial Narrow"/>
        <family val="2"/>
      </rPr>
      <t xml:space="preserve"> PERMBLEDHESE E FDP-ve   WOODLINE 2021</t>
    </r>
  </si>
  <si>
    <t>Të ardhura të tjera të shfrytëzimit</t>
  </si>
  <si>
    <r>
      <t>Vlera kontabel e aktiveve te shitura (</t>
    </r>
    <r>
      <rPr>
        <sz val="11"/>
        <rFont val="Arial Narrow"/>
        <family val="2"/>
      </rPr>
      <t>652)</t>
    </r>
  </si>
  <si>
    <r>
      <t>Te ardhura nga shitja e AAM (</t>
    </r>
    <r>
      <rPr>
        <sz val="11"/>
        <rFont val="Arial Narrow"/>
        <family val="2"/>
      </rPr>
      <t>752</t>
    </r>
    <r>
      <rPr>
        <sz val="13"/>
        <rFont val="Arial Narrow"/>
        <family val="2"/>
      </rPr>
      <t>)</t>
    </r>
  </si>
  <si>
    <t>ANALIZA E TE ARDHURAVE</t>
  </si>
  <si>
    <t>Deklaruar ne FDP</t>
  </si>
  <si>
    <t>Deklaruar ne PASH:</t>
  </si>
  <si>
    <t xml:space="preserve"> -   </t>
  </si>
  <si>
    <t xml:space="preserve">Diferenca FDP PASH </t>
  </si>
  <si>
    <t>PASH eshte paraqitur per vleren neto sipas kerkesave te SKK 5.</t>
  </si>
  <si>
    <t xml:space="preserve">Diferenca prej 5..838.289   lekesh perfaqeson koston e aktiveve te shitura e cila ne 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</si>
</sst>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 * #,##0.00_)_€_ ;_ * \(#,##0.00\)_€_ ;_ * &quot;-&quot;??_)_€_ ;_ @_ "/>
    <numFmt numFmtId="168" formatCode="#,##0.0_);\(#,##0.0\)"/>
    <numFmt numFmtId="169" formatCode="#,##0.000000000_);\(#,##0.000000000\)"/>
    <numFmt numFmtId="170" formatCode="_(* #,##0_);_(* \(#,##0\);_(* \-??_);_(@_)"/>
    <numFmt numFmtId="171" formatCode="_(* #,##0.0_);_(* \(#,##0.0\);_(* \-??_);_(@_)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8"/>
      <color rgb="FF333333"/>
      <name val="Tahoma"/>
      <family val="2"/>
    </font>
    <font>
      <b/>
      <sz val="11"/>
      <name val="CG Times"/>
      <family val="1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3"/>
      <name val="Arial Narrow"/>
      <family val="2"/>
    </font>
    <font>
      <i/>
      <sz val="13"/>
      <name val="Arial Narrow"/>
      <family val="2"/>
    </font>
    <font>
      <i/>
      <sz val="11"/>
      <name val="Times New Roman"/>
      <family val="1"/>
    </font>
    <font>
      <b/>
      <sz val="13"/>
      <name val="Arial Narrow"/>
      <family val="2"/>
    </font>
    <font>
      <b/>
      <i/>
      <sz val="13"/>
      <name val="Arial Narrow"/>
      <family val="2"/>
    </font>
    <font>
      <sz val="10"/>
      <color theme="1"/>
      <name val="Arial"/>
      <family val="2"/>
    </font>
    <font>
      <sz val="12"/>
      <name val="Arial Narrow"/>
      <family val="2"/>
    </font>
    <font>
      <i/>
      <sz val="12"/>
      <name val="Arial Narrow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9"/>
      <name val="Arial"/>
      <family val="2"/>
    </font>
    <font>
      <b/>
      <i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C00000"/>
      <name val="Arial Narrow"/>
      <family val="2"/>
    </font>
    <font>
      <sz val="10"/>
      <color rgb="FF444444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b/>
      <u/>
      <sz val="10"/>
      <name val="Arial Narrow"/>
      <family val="2"/>
    </font>
    <font>
      <b/>
      <sz val="10"/>
      <color rgb="FFC00000"/>
      <name val="Arial Narrow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14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/>
    <xf numFmtId="167" fontId="19" fillId="0" borderId="0" applyFont="0" applyFill="0" applyBorder="0" applyAlignment="0" applyProtection="0"/>
    <xf numFmtId="0" fontId="14" fillId="0" borderId="0"/>
  </cellStyleXfs>
  <cellXfs count="38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Border="1" applyAlignment="1"/>
    <xf numFmtId="3" fontId="7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10" fillId="0" borderId="0" xfId="0" applyFont="1"/>
    <xf numFmtId="0" fontId="10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37" fontId="10" fillId="2" borderId="0" xfId="0" applyNumberFormat="1" applyFont="1" applyFill="1"/>
    <xf numFmtId="37" fontId="10" fillId="0" borderId="0" xfId="0" applyNumberFormat="1" applyFont="1" applyBorder="1"/>
    <xf numFmtId="37" fontId="2" fillId="0" borderId="0" xfId="0" applyNumberFormat="1" applyFont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10" fillId="0" borderId="0" xfId="0" applyNumberFormat="1" applyFont="1"/>
    <xf numFmtId="37" fontId="7" fillId="0" borderId="1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7" fillId="0" borderId="2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37" fontId="7" fillId="0" borderId="3" xfId="0" applyNumberFormat="1" applyFont="1" applyFill="1" applyBorder="1" applyAlignment="1">
      <alignment vertical="center"/>
    </xf>
    <xf numFmtId="37" fontId="10" fillId="0" borderId="0" xfId="0" applyNumberFormat="1" applyFont="1" applyFill="1" applyBorder="1"/>
    <xf numFmtId="37" fontId="2" fillId="0" borderId="1" xfId="0" applyNumberFormat="1" applyFont="1" applyBorder="1"/>
    <xf numFmtId="37" fontId="2" fillId="0" borderId="0" xfId="0" applyNumberFormat="1" applyFont="1" applyBorder="1"/>
    <xf numFmtId="0" fontId="12" fillId="0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/>
    <xf numFmtId="14" fontId="13" fillId="0" borderId="0" xfId="2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top" wrapText="1"/>
    </xf>
    <xf numFmtId="0" fontId="13" fillId="0" borderId="0" xfId="2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37" fontId="16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vertical="center"/>
    </xf>
    <xf numFmtId="0" fontId="10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0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10" fillId="0" borderId="2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5" fillId="0" borderId="0" xfId="4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5" fillId="0" borderId="0" xfId="5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6" fontId="3" fillId="0" borderId="0" xfId="1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12" fillId="0" borderId="0" xfId="4" applyNumberFormat="1" applyFont="1" applyFill="1" applyBorder="1" applyAlignment="1" applyProtection="1">
      <alignment wrapText="1"/>
    </xf>
    <xf numFmtId="37" fontId="10" fillId="0" borderId="0" xfId="4" applyNumberFormat="1" applyFont="1" applyAlignment="1">
      <alignment horizontal="right"/>
    </xf>
    <xf numFmtId="37" fontId="10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8" fillId="0" borderId="0" xfId="4" applyNumberFormat="1" applyFont="1" applyFill="1" applyBorder="1" applyAlignment="1" applyProtection="1">
      <alignment wrapText="1"/>
    </xf>
    <xf numFmtId="0" fontId="15" fillId="0" borderId="0" xfId="5" applyFont="1" applyFill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0" xfId="2" applyFont="1" applyFill="1" applyAlignment="1">
      <alignment horizontal="center"/>
    </xf>
    <xf numFmtId="38" fontId="10" fillId="0" borderId="0" xfId="0" applyNumberFormat="1" applyFont="1"/>
    <xf numFmtId="38" fontId="10" fillId="0" borderId="0" xfId="0" applyNumberFormat="1" applyFont="1" applyBorder="1"/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left" wrapText="1" indent="2"/>
    </xf>
    <xf numFmtId="0" fontId="12" fillId="0" borderId="0" xfId="0" applyNumberFormat="1" applyFont="1" applyFill="1" applyBorder="1" applyAlignment="1" applyProtection="1">
      <alignment horizontal="left" indent="2"/>
    </xf>
    <xf numFmtId="0" fontId="5" fillId="0" borderId="0" xfId="2" applyFont="1" applyFill="1" applyAlignment="1">
      <alignment vertical="top" wrapText="1"/>
    </xf>
    <xf numFmtId="37" fontId="2" fillId="0" borderId="3" xfId="0" applyNumberFormat="1" applyFont="1" applyBorder="1"/>
    <xf numFmtId="0" fontId="12" fillId="0" borderId="0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left" wrapText="1"/>
    </xf>
    <xf numFmtId="37" fontId="2" fillId="2" borderId="2" xfId="0" applyNumberFormat="1" applyFont="1" applyFill="1" applyBorder="1"/>
    <xf numFmtId="37" fontId="2" fillId="2" borderId="0" xfId="0" applyNumberFormat="1" applyFont="1" applyFill="1" applyBorder="1"/>
    <xf numFmtId="166" fontId="16" fillId="0" borderId="0" xfId="3" applyNumberFormat="1" applyFont="1" applyFill="1" applyBorder="1" applyAlignment="1">
      <alignment vertical="center"/>
    </xf>
    <xf numFmtId="1" fontId="16" fillId="0" borderId="0" xfId="3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 applyProtection="1"/>
    <xf numFmtId="0" fontId="10" fillId="0" borderId="0" xfId="4" applyFont="1"/>
    <xf numFmtId="0" fontId="4" fillId="0" borderId="0" xfId="4" applyFont="1"/>
    <xf numFmtId="0" fontId="5" fillId="0" borderId="0" xfId="4" applyNumberFormat="1" applyFont="1" applyFill="1" applyBorder="1" applyAlignment="1" applyProtection="1">
      <alignment horizontal="center" wrapText="1"/>
    </xf>
    <xf numFmtId="0" fontId="5" fillId="0" borderId="0" xfId="6" applyFont="1" applyFill="1" applyBorder="1"/>
    <xf numFmtId="0" fontId="10" fillId="0" borderId="0" xfId="4" applyFont="1" applyBorder="1"/>
    <xf numFmtId="0" fontId="12" fillId="0" borderId="0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>
      <alignment horizontal="right" wrapText="1"/>
    </xf>
    <xf numFmtId="0" fontId="12" fillId="0" borderId="0" xfId="6" applyFont="1" applyFill="1" applyBorder="1"/>
    <xf numFmtId="37" fontId="12" fillId="0" borderId="0" xfId="7" applyNumberFormat="1" applyFont="1" applyBorder="1" applyAlignment="1">
      <alignment horizontal="right"/>
    </xf>
    <xf numFmtId="37" fontId="12" fillId="0" borderId="0" xfId="7" applyNumberFormat="1" applyFont="1" applyFill="1" applyBorder="1" applyAlignment="1" applyProtection="1">
      <alignment horizontal="right" wrapText="1"/>
    </xf>
    <xf numFmtId="0" fontId="22" fillId="0" borderId="0" xfId="4" applyNumberFormat="1" applyFont="1" applyFill="1" applyBorder="1" applyAlignment="1" applyProtection="1">
      <alignment vertical="center"/>
    </xf>
    <xf numFmtId="0" fontId="23" fillId="0" borderId="0" xfId="4" applyNumberFormat="1" applyFont="1" applyFill="1" applyBorder="1" applyAlignment="1" applyProtection="1">
      <alignment vertical="center"/>
    </xf>
    <xf numFmtId="37" fontId="12" fillId="0" borderId="0" xfId="7" applyNumberFormat="1" applyFont="1" applyFill="1" applyBorder="1" applyAlignment="1">
      <alignment horizontal="right"/>
    </xf>
    <xf numFmtId="37" fontId="5" fillId="0" borderId="1" xfId="7" applyNumberFormat="1" applyFont="1" applyBorder="1" applyAlignment="1">
      <alignment horizontal="right"/>
    </xf>
    <xf numFmtId="0" fontId="22" fillId="0" borderId="0" xfId="4" applyNumberFormat="1" applyFont="1" applyFill="1" applyBorder="1" applyAlignment="1" applyProtection="1">
      <alignment vertical="top" wrapText="1"/>
    </xf>
    <xf numFmtId="0" fontId="23" fillId="0" borderId="0" xfId="4" applyNumberFormat="1" applyFont="1" applyFill="1" applyBorder="1" applyAlignment="1" applyProtection="1">
      <alignment vertical="top" wrapText="1"/>
    </xf>
    <xf numFmtId="37" fontId="10" fillId="4" borderId="0" xfId="4" applyNumberFormat="1" applyFont="1" applyFill="1" applyAlignment="1">
      <alignment horizontal="right"/>
    </xf>
    <xf numFmtId="37" fontId="2" fillId="0" borderId="1" xfId="4" applyNumberFormat="1" applyFont="1" applyBorder="1" applyAlignment="1">
      <alignment horizontal="right"/>
    </xf>
    <xf numFmtId="37" fontId="2" fillId="4" borderId="1" xfId="4" applyNumberFormat="1" applyFont="1" applyFill="1" applyBorder="1" applyAlignment="1">
      <alignment horizontal="right"/>
    </xf>
    <xf numFmtId="0" fontId="23" fillId="0" borderId="0" xfId="4" applyNumberFormat="1" applyFont="1" applyFill="1" applyBorder="1" applyAlignment="1" applyProtection="1">
      <alignment vertical="top"/>
    </xf>
    <xf numFmtId="0" fontId="23" fillId="3" borderId="0" xfId="4" applyNumberFormat="1" applyFont="1" applyFill="1" applyBorder="1" applyAlignment="1" applyProtection="1">
      <alignment vertical="top"/>
    </xf>
    <xf numFmtId="37" fontId="10" fillId="0" borderId="0" xfId="4" applyNumberFormat="1" applyFont="1" applyFill="1" applyBorder="1" applyAlignment="1">
      <alignment horizontal="right"/>
    </xf>
    <xf numFmtId="37" fontId="2" fillId="2" borderId="2" xfId="4" applyNumberFormat="1" applyFont="1" applyFill="1" applyBorder="1" applyAlignment="1">
      <alignment horizontal="right"/>
    </xf>
    <xf numFmtId="0" fontId="22" fillId="0" borderId="0" xfId="4" applyNumberFormat="1" applyFont="1" applyFill="1" applyBorder="1" applyAlignment="1" applyProtection="1"/>
    <xf numFmtId="37" fontId="10" fillId="0" borderId="0" xfId="4" applyNumberFormat="1" applyFont="1" applyBorder="1"/>
    <xf numFmtId="37" fontId="10" fillId="0" borderId="0" xfId="4" applyNumberFormat="1" applyFont="1"/>
    <xf numFmtId="0" fontId="25" fillId="0" borderId="0" xfId="0" applyFont="1"/>
    <xf numFmtId="0" fontId="25" fillId="0" borderId="4" xfId="0" applyFont="1" applyBorder="1"/>
    <xf numFmtId="0" fontId="25" fillId="0" borderId="1" xfId="0" applyFont="1" applyBorder="1"/>
    <xf numFmtId="0" fontId="25" fillId="0" borderId="5" xfId="0" applyFont="1" applyBorder="1"/>
    <xf numFmtId="0" fontId="26" fillId="0" borderId="0" xfId="0" applyFont="1"/>
    <xf numFmtId="0" fontId="26" fillId="0" borderId="6" xfId="0" applyFont="1" applyBorder="1"/>
    <xf numFmtId="0" fontId="26" fillId="0" borderId="0" xfId="0" applyFont="1" applyBorder="1"/>
    <xf numFmtId="0" fontId="27" fillId="0" borderId="7" xfId="0" applyFont="1" applyBorder="1"/>
    <xf numFmtId="0" fontId="27" fillId="0" borderId="7" xfId="0" applyFont="1" applyBorder="1" applyAlignment="1">
      <alignment horizontal="right"/>
    </xf>
    <xf numFmtId="0" fontId="27" fillId="0" borderId="7" xfId="0" applyFont="1" applyBorder="1" applyAlignment="1">
      <alignment horizontal="center"/>
    </xf>
    <xf numFmtId="0" fontId="27" fillId="0" borderId="0" xfId="0" applyFont="1" applyBorder="1"/>
    <xf numFmtId="0" fontId="26" fillId="0" borderId="8" xfId="0" applyFont="1" applyBorder="1"/>
    <xf numFmtId="0" fontId="26" fillId="0" borderId="7" xfId="0" applyFont="1" applyBorder="1"/>
    <xf numFmtId="0" fontId="26" fillId="0" borderId="1" xfId="0" applyFont="1" applyBorder="1" applyAlignment="1">
      <alignment horizontal="righ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0" borderId="3" xfId="0" applyFont="1" applyBorder="1" applyAlignment="1">
      <alignment horizontal="center"/>
    </xf>
    <xf numFmtId="0" fontId="26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28" fillId="0" borderId="0" xfId="0" applyFont="1" applyFill="1" applyBorder="1"/>
    <xf numFmtId="0" fontId="26" fillId="0" borderId="0" xfId="0" applyNumberFormat="1" applyFont="1" applyBorder="1" applyAlignment="1">
      <alignment horizontal="center"/>
    </xf>
    <xf numFmtId="0" fontId="26" fillId="0" borderId="3" xfId="0" applyFont="1" applyBorder="1"/>
    <xf numFmtId="0" fontId="26" fillId="0" borderId="0" xfId="0" applyFont="1" applyBorder="1" applyAlignment="1">
      <alignment horizontal="center"/>
    </xf>
    <xf numFmtId="0" fontId="29" fillId="0" borderId="0" xfId="0" applyFont="1"/>
    <xf numFmtId="0" fontId="25" fillId="0" borderId="6" xfId="0" applyFont="1" applyBorder="1"/>
    <xf numFmtId="0" fontId="29" fillId="0" borderId="3" xfId="0" applyFont="1" applyBorder="1"/>
    <xf numFmtId="0" fontId="25" fillId="0" borderId="8" xfId="0" applyFont="1" applyBorder="1"/>
    <xf numFmtId="0" fontId="25" fillId="0" borderId="0" xfId="0" applyFont="1" applyBorder="1"/>
    <xf numFmtId="0" fontId="31" fillId="0" borderId="0" xfId="0" applyFont="1" applyBorder="1" applyAlignment="1">
      <alignment horizontal="center"/>
    </xf>
    <xf numFmtId="0" fontId="29" fillId="0" borderId="6" xfId="0" applyFont="1" applyBorder="1"/>
    <xf numFmtId="0" fontId="29" fillId="0" borderId="0" xfId="0" applyFont="1" applyBorder="1"/>
    <xf numFmtId="0" fontId="29" fillId="0" borderId="8" xfId="0" applyFont="1" applyBorder="1"/>
    <xf numFmtId="0" fontId="25" fillId="0" borderId="9" xfId="0" applyFont="1" applyBorder="1"/>
    <xf numFmtId="0" fontId="25" fillId="0" borderId="7" xfId="0" applyFont="1" applyBorder="1"/>
    <xf numFmtId="0" fontId="25" fillId="0" borderId="10" xfId="0" applyFont="1" applyBorder="1"/>
    <xf numFmtId="166" fontId="10" fillId="2" borderId="0" xfId="1" applyNumberFormat="1" applyFont="1" applyFill="1"/>
    <xf numFmtId="166" fontId="10" fillId="0" borderId="0" xfId="1" applyNumberFormat="1" applyFont="1" applyBorder="1"/>
    <xf numFmtId="166" fontId="3" fillId="0" borderId="0" xfId="1" applyNumberFormat="1" applyFont="1" applyFill="1" applyBorder="1" applyAlignment="1" applyProtection="1">
      <alignment horizontal="center"/>
    </xf>
    <xf numFmtId="166" fontId="10" fillId="0" borderId="0" xfId="1" applyNumberFormat="1" applyFont="1" applyFill="1" applyBorder="1"/>
    <xf numFmtId="37" fontId="15" fillId="0" borderId="0" xfId="5" applyNumberFormat="1" applyFont="1" applyAlignment="1">
      <alignment horizontal="center" vertical="center"/>
    </xf>
    <xf numFmtId="0" fontId="14" fillId="0" borderId="3" xfId="0" applyFont="1" applyBorder="1"/>
    <xf numFmtId="0" fontId="14" fillId="0" borderId="7" xfId="0" applyFont="1" applyBorder="1"/>
    <xf numFmtId="37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/>
    <xf numFmtId="0" fontId="32" fillId="0" borderId="0" xfId="0" applyFont="1"/>
    <xf numFmtId="14" fontId="14" fillId="0" borderId="7" xfId="0" applyNumberFormat="1" applyFont="1" applyBorder="1"/>
    <xf numFmtId="168" fontId="16" fillId="0" borderId="0" xfId="1" applyNumberFormat="1" applyFont="1" applyFill="1" applyBorder="1" applyAlignment="1">
      <alignment vertical="center"/>
    </xf>
    <xf numFmtId="0" fontId="33" fillId="0" borderId="0" xfId="0" applyFont="1"/>
    <xf numFmtId="39" fontId="13" fillId="0" borderId="0" xfId="0" applyNumberFormat="1" applyFont="1"/>
    <xf numFmtId="39" fontId="15" fillId="0" borderId="0" xfId="0" applyNumberFormat="1" applyFont="1"/>
    <xf numFmtId="39" fontId="34" fillId="0" borderId="0" xfId="0" applyNumberFormat="1" applyFont="1"/>
    <xf numFmtId="39" fontId="35" fillId="0" borderId="0" xfId="0" applyNumberFormat="1" applyFont="1"/>
    <xf numFmtId="39" fontId="36" fillId="0" borderId="0" xfId="0" applyNumberFormat="1" applyFont="1"/>
    <xf numFmtId="39" fontId="34" fillId="0" borderId="0" xfId="0" applyNumberFormat="1" applyFont="1" applyAlignment="1">
      <alignment horizontal="right"/>
    </xf>
    <xf numFmtId="0" fontId="37" fillId="0" borderId="0" xfId="0" applyFont="1"/>
    <xf numFmtId="39" fontId="39" fillId="0" borderId="0" xfId="0" applyNumberFormat="1" applyFont="1" applyAlignment="1">
      <alignment horizontal="center"/>
    </xf>
    <xf numFmtId="37" fontId="37" fillId="0" borderId="0" xfId="0" applyNumberFormat="1" applyFont="1" applyAlignment="1">
      <alignment horizontal="right"/>
    </xf>
    <xf numFmtId="37" fontId="37" fillId="0" borderId="0" xfId="1" applyNumberFormat="1" applyFont="1" applyAlignment="1">
      <alignment horizontal="right"/>
    </xf>
    <xf numFmtId="37" fontId="40" fillId="0" borderId="2" xfId="1" applyNumberFormat="1" applyFont="1" applyBorder="1" applyAlignment="1">
      <alignment horizontal="right"/>
    </xf>
    <xf numFmtId="0" fontId="34" fillId="0" borderId="0" xfId="0" applyFont="1"/>
    <xf numFmtId="37" fontId="34" fillId="0" borderId="0" xfId="0" applyNumberFormat="1" applyFont="1" applyAlignment="1">
      <alignment horizontal="right"/>
    </xf>
    <xf numFmtId="0" fontId="36" fillId="0" borderId="0" xfId="0" applyFont="1"/>
    <xf numFmtId="39" fontId="37" fillId="0" borderId="0" xfId="0" applyNumberFormat="1" applyFont="1"/>
    <xf numFmtId="39" fontId="40" fillId="0" borderId="0" xfId="0" applyNumberFormat="1" applyFont="1" applyAlignment="1">
      <alignment horizontal="center"/>
    </xf>
    <xf numFmtId="37" fontId="40" fillId="0" borderId="2" xfId="0" applyNumberFormat="1" applyFont="1" applyBorder="1" applyAlignment="1">
      <alignment horizontal="right"/>
    </xf>
    <xf numFmtId="37" fontId="40" fillId="0" borderId="0" xfId="0" applyNumberFormat="1" applyFont="1" applyAlignment="1">
      <alignment horizontal="right"/>
    </xf>
    <xf numFmtId="37" fontId="37" fillId="0" borderId="0" xfId="0" applyNumberFormat="1" applyFont="1" applyBorder="1" applyAlignment="1">
      <alignment horizontal="right"/>
    </xf>
    <xf numFmtId="39" fontId="13" fillId="0" borderId="0" xfId="0" applyNumberFormat="1" applyFont="1" applyFill="1" applyBorder="1"/>
    <xf numFmtId="39" fontId="41" fillId="0" borderId="0" xfId="0" applyNumberFormat="1" applyFont="1"/>
    <xf numFmtId="4" fontId="42" fillId="0" borderId="0" xfId="0" applyNumberFormat="1" applyFont="1" applyAlignment="1">
      <alignment horizontal="right" vertical="top"/>
    </xf>
    <xf numFmtId="39" fontId="39" fillId="0" borderId="0" xfId="0" applyNumberFormat="1" applyFont="1" applyFill="1" applyBorder="1"/>
    <xf numFmtId="37" fontId="34" fillId="0" borderId="0" xfId="1" applyNumberFormat="1" applyFont="1" applyBorder="1" applyAlignment="1">
      <alignment horizontal="right"/>
    </xf>
    <xf numFmtId="37" fontId="34" fillId="0" borderId="0" xfId="1" applyNumberFormat="1" applyFont="1" applyAlignment="1">
      <alignment horizontal="right"/>
    </xf>
    <xf numFmtId="0" fontId="37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39" fontId="37" fillId="0" borderId="0" xfId="0" applyNumberFormat="1" applyFont="1" applyAlignment="1">
      <alignment horizontal="left"/>
    </xf>
    <xf numFmtId="0" fontId="40" fillId="0" borderId="0" xfId="0" applyFont="1" applyAlignment="1">
      <alignment horizontal="center"/>
    </xf>
    <xf numFmtId="37" fontId="40" fillId="0" borderId="0" xfId="1" applyNumberFormat="1" applyFont="1" applyBorder="1" applyAlignment="1">
      <alignment horizontal="right"/>
    </xf>
    <xf numFmtId="0" fontId="41" fillId="0" borderId="0" xfId="0" applyFont="1" applyAlignment="1">
      <alignment horizontal="center"/>
    </xf>
    <xf numFmtId="39" fontId="37" fillId="0" borderId="0" xfId="0" applyNumberFormat="1" applyFont="1" applyAlignment="1">
      <alignment horizontal="center"/>
    </xf>
    <xf numFmtId="0" fontId="41" fillId="0" borderId="0" xfId="0" applyFont="1"/>
    <xf numFmtId="37" fontId="37" fillId="0" borderId="0" xfId="1" applyNumberFormat="1" applyFont="1" applyBorder="1" applyAlignment="1">
      <alignment horizontal="right"/>
    </xf>
    <xf numFmtId="0" fontId="43" fillId="0" borderId="0" xfId="0" applyFont="1"/>
    <xf numFmtId="37" fontId="38" fillId="0" borderId="0" xfId="0" applyNumberFormat="1" applyFont="1" applyBorder="1" applyAlignment="1">
      <alignment horizontal="right"/>
    </xf>
    <xf numFmtId="169" fontId="13" fillId="0" borderId="0" xfId="0" applyNumberFormat="1" applyFont="1"/>
    <xf numFmtId="0" fontId="37" fillId="0" borderId="0" xfId="0" applyFont="1" applyAlignment="1">
      <alignment horizontal="left"/>
    </xf>
    <xf numFmtId="37" fontId="40" fillId="0" borderId="0" xfId="0" applyNumberFormat="1" applyFont="1" applyBorder="1" applyAlignment="1">
      <alignment horizontal="right"/>
    </xf>
    <xf numFmtId="39" fontId="13" fillId="6" borderId="0" xfId="0" applyNumberFormat="1" applyFont="1" applyFill="1"/>
    <xf numFmtId="39" fontId="40" fillId="6" borderId="0" xfId="0" applyNumberFormat="1" applyFont="1" applyFill="1" applyAlignment="1">
      <alignment horizontal="center"/>
    </xf>
    <xf numFmtId="37" fontId="40" fillId="6" borderId="0" xfId="0" applyNumberFormat="1" applyFont="1" applyFill="1" applyBorder="1" applyAlignment="1">
      <alignment horizontal="right"/>
    </xf>
    <xf numFmtId="0" fontId="36" fillId="0" borderId="0" xfId="0" applyFont="1" applyBorder="1"/>
    <xf numFmtId="39" fontId="41" fillId="0" borderId="0" xfId="0" applyNumberFormat="1" applyFont="1" applyAlignment="1">
      <alignment horizontal="center"/>
    </xf>
    <xf numFmtId="39" fontId="38" fillId="0" borderId="0" xfId="0" applyNumberFormat="1" applyFont="1" applyAlignment="1">
      <alignment horizontal="left"/>
    </xf>
    <xf numFmtId="37" fontId="44" fillId="0" borderId="0" xfId="0" applyNumberFormat="1" applyFont="1" applyAlignment="1">
      <alignment horizontal="right"/>
    </xf>
    <xf numFmtId="37" fontId="13" fillId="0" borderId="0" xfId="0" applyNumberFormat="1" applyFont="1" applyAlignment="1">
      <alignment horizontal="right"/>
    </xf>
    <xf numFmtId="37" fontId="13" fillId="0" borderId="0" xfId="0" applyNumberFormat="1" applyFont="1"/>
    <xf numFmtId="0" fontId="13" fillId="0" borderId="0" xfId="0" applyFont="1" applyBorder="1"/>
    <xf numFmtId="0" fontId="45" fillId="0" borderId="0" xfId="0" applyFont="1"/>
    <xf numFmtId="0" fontId="46" fillId="0" borderId="0" xfId="0" applyFont="1" applyBorder="1"/>
    <xf numFmtId="0" fontId="45" fillId="0" borderId="7" xfId="0" applyFont="1" applyBorder="1"/>
    <xf numFmtId="0" fontId="45" fillId="0" borderId="0" xfId="0" applyFont="1" applyBorder="1"/>
    <xf numFmtId="38" fontId="13" fillId="0" borderId="0" xfId="0" applyNumberFormat="1" applyFont="1" applyBorder="1" applyAlignment="1">
      <alignment horizontal="center" vertical="center"/>
    </xf>
    <xf numFmtId="40" fontId="15" fillId="0" borderId="3" xfId="0" applyNumberFormat="1" applyFont="1" applyBorder="1" applyAlignment="1">
      <alignment horizontal="center" vertical="center"/>
    </xf>
    <xf numFmtId="40" fontId="15" fillId="0" borderId="0" xfId="0" applyNumberFormat="1" applyFont="1" applyBorder="1" applyAlignment="1">
      <alignment horizontal="center" vertical="center"/>
    </xf>
    <xf numFmtId="40" fontId="15" fillId="0" borderId="0" xfId="0" applyNumberFormat="1" applyFont="1" applyBorder="1" applyAlignment="1">
      <alignment horizontal="justify" vertical="center"/>
    </xf>
    <xf numFmtId="38" fontId="39" fillId="0" borderId="0" xfId="0" applyNumberFormat="1" applyFont="1" applyBorder="1"/>
    <xf numFmtId="40" fontId="13" fillId="0" borderId="0" xfId="0" applyNumberFormat="1" applyFont="1" applyBorder="1"/>
    <xf numFmtId="166" fontId="13" fillId="0" borderId="0" xfId="1" applyNumberFormat="1" applyFont="1" applyBorder="1"/>
    <xf numFmtId="38" fontId="13" fillId="0" borderId="0" xfId="0" applyNumberFormat="1" applyFont="1" applyBorder="1"/>
    <xf numFmtId="38" fontId="15" fillId="0" borderId="0" xfId="0" applyNumberFormat="1" applyFont="1" applyBorder="1"/>
    <xf numFmtId="38" fontId="15" fillId="0" borderId="2" xfId="0" applyNumberFormat="1" applyFont="1" applyBorder="1"/>
    <xf numFmtId="38" fontId="0" fillId="0" borderId="0" xfId="0" applyNumberFormat="1"/>
    <xf numFmtId="39" fontId="41" fillId="0" borderId="7" xfId="0" applyNumberFormat="1" applyFont="1" applyBorder="1" applyAlignment="1">
      <alignment horizontal="right"/>
    </xf>
    <xf numFmtId="39" fontId="40" fillId="0" borderId="0" xfId="0" applyNumberFormat="1" applyFont="1" applyAlignment="1">
      <alignment horizontal="right"/>
    </xf>
    <xf numFmtId="37" fontId="40" fillId="0" borderId="3" xfId="0" applyNumberFormat="1" applyFont="1" applyBorder="1" applyAlignment="1">
      <alignment horizontal="right"/>
    </xf>
    <xf numFmtId="0" fontId="48" fillId="0" borderId="0" xfId="0" applyFont="1"/>
    <xf numFmtId="39" fontId="41" fillId="0" borderId="0" xfId="0" applyNumberFormat="1" applyFont="1" applyAlignment="1">
      <alignment horizontal="left"/>
    </xf>
    <xf numFmtId="0" fontId="49" fillId="0" borderId="0" xfId="0" applyFont="1"/>
    <xf numFmtId="166" fontId="49" fillId="0" borderId="0" xfId="1" applyNumberFormat="1" applyFont="1"/>
    <xf numFmtId="170" fontId="49" fillId="0" borderId="0" xfId="1" applyNumberFormat="1" applyFont="1"/>
    <xf numFmtId="0" fontId="50" fillId="0" borderId="13" xfId="0" applyFont="1" applyBorder="1"/>
    <xf numFmtId="166" fontId="50" fillId="0" borderId="14" xfId="1" applyNumberFormat="1" applyFont="1" applyBorder="1"/>
    <xf numFmtId="166" fontId="50" fillId="0" borderId="15" xfId="1" applyNumberFormat="1" applyFont="1" applyBorder="1"/>
    <xf numFmtId="166" fontId="50" fillId="0" borderId="16" xfId="1" applyNumberFormat="1" applyFont="1" applyBorder="1" applyAlignment="1">
      <alignment horizontal="left"/>
    </xf>
    <xf numFmtId="166" fontId="50" fillId="0" borderId="17" xfId="1" applyNumberFormat="1" applyFont="1" applyBorder="1" applyAlignment="1">
      <alignment horizontal="left"/>
    </xf>
    <xf numFmtId="170" fontId="49" fillId="0" borderId="18" xfId="1" applyNumberFormat="1" applyFont="1" applyBorder="1" applyAlignment="1">
      <alignment horizontal="left"/>
    </xf>
    <xf numFmtId="0" fontId="50" fillId="0" borderId="17" xfId="0" applyFont="1" applyBorder="1" applyAlignment="1">
      <alignment horizontal="left"/>
    </xf>
    <xf numFmtId="0" fontId="50" fillId="0" borderId="18" xfId="0" applyFont="1" applyBorder="1" applyAlignment="1">
      <alignment horizontal="left"/>
    </xf>
    <xf numFmtId="0" fontId="50" fillId="0" borderId="0" xfId="0" applyFont="1" applyBorder="1" applyAlignment="1">
      <alignment horizontal="left"/>
    </xf>
    <xf numFmtId="170" fontId="49" fillId="0" borderId="19" xfId="1" applyNumberFormat="1" applyFont="1" applyBorder="1"/>
    <xf numFmtId="0" fontId="50" fillId="0" borderId="0" xfId="0" applyFont="1" applyBorder="1"/>
    <xf numFmtId="0" fontId="50" fillId="0" borderId="0" xfId="0" applyFont="1"/>
    <xf numFmtId="166" fontId="50" fillId="0" borderId="5" xfId="1" applyNumberFormat="1" applyFont="1" applyBorder="1" applyAlignment="1">
      <alignment horizontal="center" vertical="center" wrapText="1"/>
    </xf>
    <xf numFmtId="166" fontId="50" fillId="0" borderId="4" xfId="1" applyNumberFormat="1" applyFont="1" applyBorder="1" applyAlignment="1">
      <alignment horizontal="center"/>
    </xf>
    <xf numFmtId="166" fontId="50" fillId="0" borderId="21" xfId="1" applyNumberFormat="1" applyFont="1" applyBorder="1" applyAlignment="1"/>
    <xf numFmtId="166" fontId="50" fillId="0" borderId="23" xfId="1" applyNumberFormat="1" applyFont="1" applyBorder="1" applyAlignment="1">
      <alignment horizontal="center"/>
    </xf>
    <xf numFmtId="166" fontId="50" fillId="0" borderId="1" xfId="1" applyNumberFormat="1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22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0" fontId="50" fillId="0" borderId="24" xfId="0" applyFont="1" applyBorder="1" applyAlignment="1">
      <alignment horizontal="center"/>
    </xf>
    <xf numFmtId="170" fontId="49" fillId="0" borderId="25" xfId="1" applyNumberFormat="1" applyFont="1" applyBorder="1" applyAlignment="1">
      <alignment horizontal="center"/>
    </xf>
    <xf numFmtId="0" fontId="50" fillId="0" borderId="25" xfId="0" applyFont="1" applyBorder="1" applyAlignment="1">
      <alignment horizontal="center"/>
    </xf>
    <xf numFmtId="170" fontId="49" fillId="0" borderId="26" xfId="1" applyNumberFormat="1" applyFont="1" applyBorder="1" applyAlignment="1">
      <alignment horizontal="center"/>
    </xf>
    <xf numFmtId="166" fontId="50" fillId="0" borderId="10" xfId="1" applyNumberFormat="1" applyFont="1" applyBorder="1" applyAlignment="1">
      <alignment horizontal="center" vertical="center"/>
    </xf>
    <xf numFmtId="166" fontId="50" fillId="0" borderId="9" xfId="1" applyNumberFormat="1" applyFont="1" applyBorder="1" applyAlignment="1">
      <alignment horizontal="center"/>
    </xf>
    <xf numFmtId="166" fontId="50" fillId="0" borderId="28" xfId="1" applyNumberFormat="1" applyFont="1" applyBorder="1" applyAlignment="1"/>
    <xf numFmtId="166" fontId="50" fillId="0" borderId="30" xfId="1" applyNumberFormat="1" applyFont="1" applyBorder="1" applyAlignment="1">
      <alignment horizontal="center"/>
    </xf>
    <xf numFmtId="166" fontId="50" fillId="0" borderId="7" xfId="1" applyNumberFormat="1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50" fillId="0" borderId="29" xfId="0" applyFont="1" applyBorder="1" applyAlignment="1">
      <alignment horizontal="center"/>
    </xf>
    <xf numFmtId="0" fontId="50" fillId="0" borderId="30" xfId="0" applyFont="1" applyBorder="1" applyAlignment="1">
      <alignment horizontal="center"/>
    </xf>
    <xf numFmtId="0" fontId="50" fillId="0" borderId="31" xfId="0" applyFont="1" applyBorder="1" applyAlignment="1">
      <alignment horizontal="center"/>
    </xf>
    <xf numFmtId="170" fontId="49" fillId="0" borderId="10" xfId="1" applyNumberFormat="1" applyFont="1" applyBorder="1" applyAlignment="1">
      <alignment horizontal="center"/>
    </xf>
    <xf numFmtId="0" fontId="50" fillId="0" borderId="10" xfId="0" applyFont="1" applyBorder="1" applyAlignment="1">
      <alignment horizontal="center"/>
    </xf>
    <xf numFmtId="170" fontId="49" fillId="0" borderId="28" xfId="1" applyNumberFormat="1" applyFont="1" applyBorder="1" applyAlignment="1">
      <alignment horizontal="center"/>
    </xf>
    <xf numFmtId="0" fontId="49" fillId="0" borderId="32" xfId="0" applyFont="1" applyBorder="1"/>
    <xf numFmtId="166" fontId="49" fillId="0" borderId="10" xfId="1" applyNumberFormat="1" applyFont="1" applyBorder="1"/>
    <xf numFmtId="166" fontId="49" fillId="0" borderId="28" xfId="1" applyNumberFormat="1" applyFont="1" applyBorder="1"/>
    <xf numFmtId="166" fontId="49" fillId="0" borderId="9" xfId="1" applyNumberFormat="1" applyFont="1" applyBorder="1"/>
    <xf numFmtId="166" fontId="49" fillId="0" borderId="26" xfId="1" applyNumberFormat="1" applyFont="1" applyBorder="1"/>
    <xf numFmtId="166" fontId="49" fillId="0" borderId="7" xfId="1" applyNumberFormat="1" applyFont="1" applyBorder="1"/>
    <xf numFmtId="166" fontId="49" fillId="0" borderId="27" xfId="1" applyNumberFormat="1" applyFont="1" applyFill="1" applyBorder="1"/>
    <xf numFmtId="166" fontId="49" fillId="0" borderId="28" xfId="1" applyNumberFormat="1" applyFont="1" applyFill="1" applyBorder="1"/>
    <xf numFmtId="166" fontId="49" fillId="0" borderId="28" xfId="1" applyNumberFormat="1" applyFont="1" applyBorder="1" applyAlignment="1">
      <alignment horizontal="left"/>
    </xf>
    <xf numFmtId="166" fontId="49" fillId="0" borderId="9" xfId="1" applyNumberFormat="1" applyFont="1" applyBorder="1" applyAlignment="1">
      <alignment horizontal="left"/>
    </xf>
    <xf numFmtId="170" fontId="49" fillId="0" borderId="29" xfId="1" applyNumberFormat="1" applyFont="1" applyBorder="1"/>
    <xf numFmtId="170" fontId="49" fillId="0" borderId="28" xfId="1" applyNumberFormat="1" applyFont="1" applyBorder="1" applyAlignment="1">
      <alignment horizontal="left"/>
    </xf>
    <xf numFmtId="170" fontId="49" fillId="0" borderId="30" xfId="1" applyNumberFormat="1" applyFont="1" applyBorder="1"/>
    <xf numFmtId="170" fontId="49" fillId="0" borderId="31" xfId="1" applyNumberFormat="1" applyFont="1" applyBorder="1"/>
    <xf numFmtId="170" fontId="49" fillId="0" borderId="10" xfId="1" applyNumberFormat="1" applyFont="1" applyBorder="1"/>
    <xf numFmtId="164" fontId="49" fillId="0" borderId="10" xfId="0" applyNumberFormat="1" applyFont="1" applyBorder="1"/>
    <xf numFmtId="170" fontId="49" fillId="0" borderId="27" xfId="1" applyNumberFormat="1" applyFont="1" applyBorder="1"/>
    <xf numFmtId="166" fontId="49" fillId="0" borderId="33" xfId="1" applyNumberFormat="1" applyFont="1" applyBorder="1"/>
    <xf numFmtId="166" fontId="49" fillId="0" borderId="26" xfId="1" applyNumberFormat="1" applyFont="1" applyFill="1" applyBorder="1"/>
    <xf numFmtId="166" fontId="49" fillId="0" borderId="3" xfId="1" applyNumberFormat="1" applyFont="1" applyBorder="1"/>
    <xf numFmtId="166" fontId="49" fillId="7" borderId="32" xfId="1" applyNumberFormat="1" applyFont="1" applyFill="1" applyBorder="1"/>
    <xf numFmtId="166" fontId="49" fillId="7" borderId="33" xfId="1" applyNumberFormat="1" applyFont="1" applyFill="1" applyBorder="1"/>
    <xf numFmtId="166" fontId="49" fillId="7" borderId="26" xfId="1" applyNumberFormat="1" applyFont="1" applyFill="1" applyBorder="1"/>
    <xf numFmtId="166" fontId="49" fillId="7" borderId="34" xfId="1" applyNumberFormat="1" applyFont="1" applyFill="1" applyBorder="1"/>
    <xf numFmtId="166" fontId="49" fillId="7" borderId="35" xfId="1" applyNumberFormat="1" applyFont="1" applyFill="1" applyBorder="1"/>
    <xf numFmtId="170" fontId="49" fillId="7" borderId="26" xfId="1" applyNumberFormat="1" applyFont="1" applyFill="1" applyBorder="1"/>
    <xf numFmtId="170" fontId="49" fillId="7" borderId="35" xfId="1" applyNumberFormat="1" applyFont="1" applyFill="1" applyBorder="1"/>
    <xf numFmtId="170" fontId="49" fillId="7" borderId="36" xfId="1" applyNumberFormat="1" applyFont="1" applyFill="1" applyBorder="1"/>
    <xf numFmtId="170" fontId="49" fillId="7" borderId="37" xfId="1" applyNumberFormat="1" applyFont="1" applyFill="1" applyBorder="1"/>
    <xf numFmtId="170" fontId="49" fillId="0" borderId="33" xfId="1" applyNumberFormat="1" applyFont="1" applyBorder="1"/>
    <xf numFmtId="164" fontId="49" fillId="0" borderId="26" xfId="0" applyNumberFormat="1" applyFont="1" applyBorder="1"/>
    <xf numFmtId="170" fontId="51" fillId="0" borderId="35" xfId="1" applyNumberFormat="1" applyFont="1" applyBorder="1"/>
    <xf numFmtId="0" fontId="49" fillId="0" borderId="0" xfId="0" applyFont="1" applyAlignment="1">
      <alignment vertical="top" wrapText="1"/>
    </xf>
    <xf numFmtId="0" fontId="52" fillId="0" borderId="0" xfId="0" applyFont="1"/>
    <xf numFmtId="0" fontId="49" fillId="0" borderId="32" xfId="0" applyFont="1" applyFill="1" applyBorder="1"/>
    <xf numFmtId="166" fontId="49" fillId="0" borderId="33" xfId="1" applyNumberFormat="1" applyFont="1" applyFill="1" applyBorder="1"/>
    <xf numFmtId="0" fontId="49" fillId="0" borderId="20" xfId="0" applyFont="1" applyBorder="1"/>
    <xf numFmtId="166" fontId="49" fillId="0" borderId="5" xfId="1" applyNumberFormat="1" applyFont="1" applyBorder="1"/>
    <xf numFmtId="170" fontId="49" fillId="7" borderId="38" xfId="1" applyNumberFormat="1" applyFont="1" applyFill="1" applyBorder="1"/>
    <xf numFmtId="170" fontId="49" fillId="7" borderId="39" xfId="1" applyNumberFormat="1" applyFont="1" applyFill="1" applyBorder="1"/>
    <xf numFmtId="0" fontId="50" fillId="0" borderId="40" xfId="0" applyFont="1" applyBorder="1"/>
    <xf numFmtId="166" fontId="50" fillId="0" borderId="41" xfId="1" applyNumberFormat="1" applyFont="1" applyBorder="1"/>
    <xf numFmtId="166" fontId="50" fillId="0" borderId="42" xfId="1" applyNumberFormat="1" applyFont="1" applyBorder="1"/>
    <xf numFmtId="166" fontId="50" fillId="0" borderId="43" xfId="1" applyNumberFormat="1" applyFont="1" applyBorder="1"/>
    <xf numFmtId="3" fontId="50" fillId="0" borderId="42" xfId="0" applyNumberFormat="1" applyFont="1" applyBorder="1"/>
    <xf numFmtId="170" fontId="49" fillId="0" borderId="42" xfId="1" applyNumberFormat="1" applyFont="1" applyFill="1" applyBorder="1"/>
    <xf numFmtId="3" fontId="50" fillId="0" borderId="42" xfId="0" applyNumberFormat="1" applyFont="1" applyFill="1" applyBorder="1"/>
    <xf numFmtId="166" fontId="53" fillId="0" borderId="0" xfId="1" applyNumberFormat="1" applyFont="1"/>
    <xf numFmtId="166" fontId="52" fillId="0" borderId="0" xfId="1" applyNumberFormat="1" applyFont="1"/>
    <xf numFmtId="170" fontId="49" fillId="0" borderId="0" xfId="1" applyNumberFormat="1" applyFont="1" applyAlignment="1">
      <alignment vertical="top" wrapText="1"/>
    </xf>
    <xf numFmtId="164" fontId="49" fillId="0" borderId="0" xfId="0" applyNumberFormat="1" applyFont="1" applyAlignment="1">
      <alignment vertical="top" wrapText="1"/>
    </xf>
    <xf numFmtId="170" fontId="50" fillId="0" borderId="0" xfId="1" applyNumberFormat="1" applyFont="1"/>
    <xf numFmtId="166" fontId="50" fillId="0" borderId="0" xfId="1" applyNumberFormat="1" applyFont="1"/>
    <xf numFmtId="164" fontId="52" fillId="0" borderId="0" xfId="0" applyNumberFormat="1" applyFont="1" applyAlignment="1">
      <alignment vertical="top" wrapText="1"/>
    </xf>
    <xf numFmtId="3" fontId="52" fillId="0" borderId="0" xfId="0" applyNumberFormat="1" applyFont="1"/>
    <xf numFmtId="165" fontId="49" fillId="0" borderId="0" xfId="1" applyNumberFormat="1" applyFont="1"/>
    <xf numFmtId="3" fontId="49" fillId="0" borderId="0" xfId="0" applyNumberFormat="1" applyFont="1"/>
    <xf numFmtId="0" fontId="52" fillId="0" borderId="0" xfId="0" applyFont="1" applyAlignment="1">
      <alignment vertical="top" wrapText="1"/>
    </xf>
    <xf numFmtId="171" fontId="49" fillId="0" borderId="0" xfId="1" applyNumberFormat="1" applyFont="1"/>
    <xf numFmtId="43" fontId="49" fillId="0" borderId="0" xfId="0" applyNumberFormat="1" applyFont="1"/>
    <xf numFmtId="165" fontId="49" fillId="0" borderId="0" xfId="0" applyNumberFormat="1" applyFont="1"/>
    <xf numFmtId="166" fontId="54" fillId="0" borderId="0" xfId="1" applyNumberFormat="1" applyFont="1"/>
    <xf numFmtId="166" fontId="54" fillId="0" borderId="17" xfId="1" applyNumberFormat="1" applyFont="1" applyBorder="1" applyAlignment="1">
      <alignment horizontal="left"/>
    </xf>
    <xf numFmtId="166" fontId="54" fillId="0" borderId="9" xfId="1" applyNumberFormat="1" applyFont="1" applyBorder="1" applyAlignment="1">
      <alignment horizontal="left"/>
    </xf>
    <xf numFmtId="166" fontId="54" fillId="7" borderId="34" xfId="1" applyNumberFormat="1" applyFont="1" applyFill="1" applyBorder="1"/>
    <xf numFmtId="170" fontId="56" fillId="0" borderId="35" xfId="1" applyNumberFormat="1" applyFont="1" applyBorder="1"/>
    <xf numFmtId="0" fontId="57" fillId="5" borderId="11" xfId="0" applyFont="1" applyFill="1" applyBorder="1" applyAlignment="1">
      <alignment horizontal="left"/>
    </xf>
    <xf numFmtId="0" fontId="35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37" fontId="37" fillId="0" borderId="7" xfId="0" applyNumberFormat="1" applyFont="1" applyBorder="1" applyAlignment="1">
      <alignment horizontal="right"/>
    </xf>
    <xf numFmtId="37" fontId="40" fillId="0" borderId="12" xfId="0" applyNumberFormat="1" applyFont="1" applyBorder="1" applyAlignment="1">
      <alignment horizontal="right"/>
    </xf>
    <xf numFmtId="166" fontId="37" fillId="0" borderId="0" xfId="1" applyNumberFormat="1" applyFont="1" applyAlignment="1">
      <alignment horizontal="right"/>
    </xf>
    <xf numFmtId="166" fontId="40" fillId="0" borderId="2" xfId="1" applyNumberFormat="1" applyFont="1" applyBorder="1" applyAlignment="1">
      <alignment horizontal="right"/>
    </xf>
    <xf numFmtId="37" fontId="58" fillId="0" borderId="0" xfId="0" applyNumberFormat="1" applyFont="1" applyAlignment="1"/>
    <xf numFmtId="39" fontId="41" fillId="0" borderId="0" xfId="0" applyNumberFormat="1" applyFont="1" applyBorder="1" applyAlignment="1">
      <alignment horizontal="right"/>
    </xf>
    <xf numFmtId="39" fontId="40" fillId="0" borderId="0" xfId="0" applyNumberFormat="1" applyFont="1" applyBorder="1" applyAlignment="1">
      <alignment horizontal="right"/>
    </xf>
    <xf numFmtId="39" fontId="40" fillId="0" borderId="0" xfId="0" applyNumberFormat="1" applyFont="1" applyAlignment="1">
      <alignment horizontal="left"/>
    </xf>
    <xf numFmtId="0" fontId="0" fillId="0" borderId="26" xfId="0" applyBorder="1"/>
    <xf numFmtId="3" fontId="0" fillId="0" borderId="26" xfId="0" applyNumberFormat="1" applyBorder="1"/>
    <xf numFmtId="0" fontId="0" fillId="0" borderId="44" xfId="0" applyBorder="1"/>
    <xf numFmtId="0" fontId="0" fillId="0" borderId="46" xfId="0" applyBorder="1"/>
    <xf numFmtId="0" fontId="3" fillId="0" borderId="26" xfId="0" applyNumberFormat="1" applyFont="1" applyFill="1" applyBorder="1" applyAlignment="1" applyProtection="1">
      <alignment wrapText="1"/>
    </xf>
    <xf numFmtId="3" fontId="59" fillId="0" borderId="45" xfId="0" applyNumberFormat="1" applyFont="1" applyBorder="1"/>
    <xf numFmtId="3" fontId="59" fillId="0" borderId="47" xfId="0" applyNumberFormat="1" applyFont="1" applyBorder="1"/>
    <xf numFmtId="3" fontId="59" fillId="0" borderId="26" xfId="0" applyNumberFormat="1" applyFont="1" applyBorder="1"/>
    <xf numFmtId="0" fontId="59" fillId="0" borderId="0" xfId="0" applyFont="1"/>
    <xf numFmtId="0" fontId="47" fillId="0" borderId="7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3" fillId="0" borderId="0" xfId="3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40" fillId="0" borderId="0" xfId="0" applyFont="1" applyAlignment="1"/>
    <xf numFmtId="39" fontId="41" fillId="0" borderId="0" xfId="0" applyNumberFormat="1" applyFont="1" applyAlignment="1">
      <alignment horizontal="left"/>
    </xf>
    <xf numFmtId="0" fontId="41" fillId="0" borderId="0" xfId="0" applyFont="1" applyAlignment="1">
      <alignment horizontal="left"/>
    </xf>
    <xf numFmtId="170" fontId="49" fillId="0" borderId="22" xfId="1" applyNumberFormat="1" applyFont="1" applyBorder="1" applyAlignment="1">
      <alignment horizontal="center" vertical="center"/>
    </xf>
    <xf numFmtId="170" fontId="49" fillId="0" borderId="29" xfId="1" applyNumberFormat="1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50" fillId="0" borderId="27" xfId="0" applyFont="1" applyBorder="1" applyAlignment="1">
      <alignment horizontal="center" vertical="center"/>
    </xf>
    <xf numFmtId="166" fontId="50" fillId="0" borderId="21" xfId="1" applyNumberFormat="1" applyFont="1" applyBorder="1" applyAlignment="1">
      <alignment horizontal="center" vertical="center"/>
    </xf>
    <xf numFmtId="166" fontId="50" fillId="0" borderId="28" xfId="1" applyNumberFormat="1" applyFont="1" applyBorder="1" applyAlignment="1">
      <alignment horizontal="center" vertical="center"/>
    </xf>
    <xf numFmtId="166" fontId="50" fillId="0" borderId="21" xfId="1" applyNumberFormat="1" applyFont="1" applyBorder="1" applyAlignment="1">
      <alignment horizontal="center" wrapText="1"/>
    </xf>
    <xf numFmtId="166" fontId="50" fillId="0" borderId="28" xfId="1" applyNumberFormat="1" applyFont="1" applyBorder="1" applyAlignment="1">
      <alignment horizontal="center" wrapText="1"/>
    </xf>
    <xf numFmtId="166" fontId="50" fillId="0" borderId="21" xfId="1" applyNumberFormat="1" applyFont="1" applyBorder="1" applyAlignment="1">
      <alignment horizontal="center" vertical="center" wrapText="1"/>
    </xf>
    <xf numFmtId="166" fontId="50" fillId="0" borderId="28" xfId="1" applyNumberFormat="1" applyFont="1" applyBorder="1" applyAlignment="1">
      <alignment horizontal="center" vertical="center" wrapText="1"/>
    </xf>
    <xf numFmtId="166" fontId="50" fillId="0" borderId="22" xfId="1" applyNumberFormat="1" applyFont="1" applyBorder="1" applyAlignment="1">
      <alignment horizontal="center"/>
    </xf>
    <xf numFmtId="166" fontId="50" fillId="0" borderId="29" xfId="1" applyNumberFormat="1" applyFont="1" applyBorder="1" applyAlignment="1">
      <alignment horizontal="center"/>
    </xf>
    <xf numFmtId="166" fontId="54" fillId="0" borderId="21" xfId="1" applyNumberFormat="1" applyFont="1" applyBorder="1" applyAlignment="1">
      <alignment horizontal="center" vertical="center" wrapText="1"/>
    </xf>
    <xf numFmtId="166" fontId="54" fillId="0" borderId="28" xfId="1" applyNumberFormat="1" applyFont="1" applyBorder="1" applyAlignment="1">
      <alignment horizontal="center" vertical="center" wrapText="1"/>
    </xf>
  </cellXfs>
  <cellStyles count="9">
    <cellStyle name="Comma" xfId="1" builtinId="3"/>
    <cellStyle name="Comma 482 2" xfId="7"/>
    <cellStyle name="Normal" xfId="0" builtinId="0"/>
    <cellStyle name="Normal 2" xfId="8"/>
    <cellStyle name="Normal 21 2" xfId="4"/>
    <cellStyle name="Normal 3" xfId="2"/>
    <cellStyle name="Normal_Albania_-__Income_Statement_September_2009" xfId="5"/>
    <cellStyle name="Normal_Global IFRS YE2009" xfId="6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ERITA%20PUNET/STANDARTET%20m/STANDARTE%202019%20MERITA/WOODLINE/Pasqyrat%20financia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BK"/>
      <sheetName val="PASH"/>
      <sheetName val="Cash Flow"/>
      <sheetName val="Kapitalet"/>
      <sheetName val="Aktivet"/>
      <sheetName val="Mjetet"/>
      <sheetName val="Te tjera"/>
      <sheetName val="aam"/>
      <sheetName val="blerjet"/>
      <sheetName val="fdp"/>
      <sheetName val="importe"/>
      <sheetName val="tatim fitimi"/>
      <sheetName val="te ardhurat"/>
    </sheetNames>
    <sheetDataSet>
      <sheetData sheetId="0"/>
      <sheetData sheetId="1">
        <row r="97">
          <cell r="B97">
            <v>100000</v>
          </cell>
        </row>
      </sheetData>
      <sheetData sheetId="2">
        <row r="10">
          <cell r="B10">
            <v>42056165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 tjera"/>
    </sheetNames>
    <sheetDataSet>
      <sheetData sheetId="0" refreshError="1">
        <row r="74">
          <cell r="C74">
            <v>42056165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7"/>
  <sheetViews>
    <sheetView topLeftCell="A43" workbookViewId="0">
      <selection activeCell="F59" sqref="F59"/>
    </sheetView>
  </sheetViews>
  <sheetFormatPr defaultRowHeight="15"/>
  <cols>
    <col min="1" max="1" width="4.5703125" customWidth="1"/>
    <col min="6" max="6" width="12" bestFit="1" customWidth="1"/>
    <col min="7" max="7" width="11.85546875" customWidth="1"/>
    <col min="13" max="13" width="12.85546875" customWidth="1"/>
    <col min="257" max="257" width="4.5703125" customWidth="1"/>
    <col min="262" max="262" width="12" bestFit="1" customWidth="1"/>
    <col min="513" max="513" width="4.5703125" customWidth="1"/>
    <col min="518" max="518" width="12" bestFit="1" customWidth="1"/>
    <col min="769" max="769" width="4.5703125" customWidth="1"/>
    <col min="774" max="774" width="12" bestFit="1" customWidth="1"/>
    <col min="1025" max="1025" width="4.5703125" customWidth="1"/>
    <col min="1030" max="1030" width="12" bestFit="1" customWidth="1"/>
    <col min="1281" max="1281" width="4.5703125" customWidth="1"/>
    <col min="1286" max="1286" width="12" bestFit="1" customWidth="1"/>
    <col min="1537" max="1537" width="4.5703125" customWidth="1"/>
    <col min="1542" max="1542" width="12" bestFit="1" customWidth="1"/>
    <col min="1793" max="1793" width="4.5703125" customWidth="1"/>
    <col min="1798" max="1798" width="12" bestFit="1" customWidth="1"/>
    <col min="2049" max="2049" width="4.5703125" customWidth="1"/>
    <col min="2054" max="2054" width="12" bestFit="1" customWidth="1"/>
    <col min="2305" max="2305" width="4.5703125" customWidth="1"/>
    <col min="2310" max="2310" width="12" bestFit="1" customWidth="1"/>
    <col min="2561" max="2561" width="4.5703125" customWidth="1"/>
    <col min="2566" max="2566" width="12" bestFit="1" customWidth="1"/>
    <col min="2817" max="2817" width="4.5703125" customWidth="1"/>
    <col min="2822" max="2822" width="12" bestFit="1" customWidth="1"/>
    <col min="3073" max="3073" width="4.5703125" customWidth="1"/>
    <col min="3078" max="3078" width="12" bestFit="1" customWidth="1"/>
    <col min="3329" max="3329" width="4.5703125" customWidth="1"/>
    <col min="3334" max="3334" width="12" bestFit="1" customWidth="1"/>
    <col min="3585" max="3585" width="4.5703125" customWidth="1"/>
    <col min="3590" max="3590" width="12" bestFit="1" customWidth="1"/>
    <col min="3841" max="3841" width="4.5703125" customWidth="1"/>
    <col min="3846" max="3846" width="12" bestFit="1" customWidth="1"/>
    <col min="4097" max="4097" width="4.5703125" customWidth="1"/>
    <col min="4102" max="4102" width="12" bestFit="1" customWidth="1"/>
    <col min="4353" max="4353" width="4.5703125" customWidth="1"/>
    <col min="4358" max="4358" width="12" bestFit="1" customWidth="1"/>
    <col min="4609" max="4609" width="4.5703125" customWidth="1"/>
    <col min="4614" max="4614" width="12" bestFit="1" customWidth="1"/>
    <col min="4865" max="4865" width="4.5703125" customWidth="1"/>
    <col min="4870" max="4870" width="12" bestFit="1" customWidth="1"/>
    <col min="5121" max="5121" width="4.5703125" customWidth="1"/>
    <col min="5126" max="5126" width="12" bestFit="1" customWidth="1"/>
    <col min="5377" max="5377" width="4.5703125" customWidth="1"/>
    <col min="5382" max="5382" width="12" bestFit="1" customWidth="1"/>
    <col min="5633" max="5633" width="4.5703125" customWidth="1"/>
    <col min="5638" max="5638" width="12" bestFit="1" customWidth="1"/>
    <col min="5889" max="5889" width="4.5703125" customWidth="1"/>
    <col min="5894" max="5894" width="12" bestFit="1" customWidth="1"/>
    <col min="6145" max="6145" width="4.5703125" customWidth="1"/>
    <col min="6150" max="6150" width="12" bestFit="1" customWidth="1"/>
    <col min="6401" max="6401" width="4.5703125" customWidth="1"/>
    <col min="6406" max="6406" width="12" bestFit="1" customWidth="1"/>
    <col min="6657" max="6657" width="4.5703125" customWidth="1"/>
    <col min="6662" max="6662" width="12" bestFit="1" customWidth="1"/>
    <col min="6913" max="6913" width="4.5703125" customWidth="1"/>
    <col min="6918" max="6918" width="12" bestFit="1" customWidth="1"/>
    <col min="7169" max="7169" width="4.5703125" customWidth="1"/>
    <col min="7174" max="7174" width="12" bestFit="1" customWidth="1"/>
    <col min="7425" max="7425" width="4.5703125" customWidth="1"/>
    <col min="7430" max="7430" width="12" bestFit="1" customWidth="1"/>
    <col min="7681" max="7681" width="4.5703125" customWidth="1"/>
    <col min="7686" max="7686" width="12" bestFit="1" customWidth="1"/>
    <col min="7937" max="7937" width="4.5703125" customWidth="1"/>
    <col min="7942" max="7942" width="12" bestFit="1" customWidth="1"/>
    <col min="8193" max="8193" width="4.5703125" customWidth="1"/>
    <col min="8198" max="8198" width="12" bestFit="1" customWidth="1"/>
    <col min="8449" max="8449" width="4.5703125" customWidth="1"/>
    <col min="8454" max="8454" width="12" bestFit="1" customWidth="1"/>
    <col min="8705" max="8705" width="4.5703125" customWidth="1"/>
    <col min="8710" max="8710" width="12" bestFit="1" customWidth="1"/>
    <col min="8961" max="8961" width="4.5703125" customWidth="1"/>
    <col min="8966" max="8966" width="12" bestFit="1" customWidth="1"/>
    <col min="9217" max="9217" width="4.5703125" customWidth="1"/>
    <col min="9222" max="9222" width="12" bestFit="1" customWidth="1"/>
    <col min="9473" max="9473" width="4.5703125" customWidth="1"/>
    <col min="9478" max="9478" width="12" bestFit="1" customWidth="1"/>
    <col min="9729" max="9729" width="4.5703125" customWidth="1"/>
    <col min="9734" max="9734" width="12" bestFit="1" customWidth="1"/>
    <col min="9985" max="9985" width="4.5703125" customWidth="1"/>
    <col min="9990" max="9990" width="12" bestFit="1" customWidth="1"/>
    <col min="10241" max="10241" width="4.5703125" customWidth="1"/>
    <col min="10246" max="10246" width="12" bestFit="1" customWidth="1"/>
    <col min="10497" max="10497" width="4.5703125" customWidth="1"/>
    <col min="10502" max="10502" width="12" bestFit="1" customWidth="1"/>
    <col min="10753" max="10753" width="4.5703125" customWidth="1"/>
    <col min="10758" max="10758" width="12" bestFit="1" customWidth="1"/>
    <col min="11009" max="11009" width="4.5703125" customWidth="1"/>
    <col min="11014" max="11014" width="12" bestFit="1" customWidth="1"/>
    <col min="11265" max="11265" width="4.5703125" customWidth="1"/>
    <col min="11270" max="11270" width="12" bestFit="1" customWidth="1"/>
    <col min="11521" max="11521" width="4.5703125" customWidth="1"/>
    <col min="11526" max="11526" width="12" bestFit="1" customWidth="1"/>
    <col min="11777" max="11777" width="4.5703125" customWidth="1"/>
    <col min="11782" max="11782" width="12" bestFit="1" customWidth="1"/>
    <col min="12033" max="12033" width="4.5703125" customWidth="1"/>
    <col min="12038" max="12038" width="12" bestFit="1" customWidth="1"/>
    <col min="12289" max="12289" width="4.5703125" customWidth="1"/>
    <col min="12294" max="12294" width="12" bestFit="1" customWidth="1"/>
    <col min="12545" max="12545" width="4.5703125" customWidth="1"/>
    <col min="12550" max="12550" width="12" bestFit="1" customWidth="1"/>
    <col min="12801" max="12801" width="4.5703125" customWidth="1"/>
    <col min="12806" max="12806" width="12" bestFit="1" customWidth="1"/>
    <col min="13057" max="13057" width="4.5703125" customWidth="1"/>
    <col min="13062" max="13062" width="12" bestFit="1" customWidth="1"/>
    <col min="13313" max="13313" width="4.5703125" customWidth="1"/>
    <col min="13318" max="13318" width="12" bestFit="1" customWidth="1"/>
    <col min="13569" max="13569" width="4.5703125" customWidth="1"/>
    <col min="13574" max="13574" width="12" bestFit="1" customWidth="1"/>
    <col min="13825" max="13825" width="4.5703125" customWidth="1"/>
    <col min="13830" max="13830" width="12" bestFit="1" customWidth="1"/>
    <col min="14081" max="14081" width="4.5703125" customWidth="1"/>
    <col min="14086" max="14086" width="12" bestFit="1" customWidth="1"/>
    <col min="14337" max="14337" width="4.5703125" customWidth="1"/>
    <col min="14342" max="14342" width="12" bestFit="1" customWidth="1"/>
    <col min="14593" max="14593" width="4.5703125" customWidth="1"/>
    <col min="14598" max="14598" width="12" bestFit="1" customWidth="1"/>
    <col min="14849" max="14849" width="4.5703125" customWidth="1"/>
    <col min="14854" max="14854" width="12" bestFit="1" customWidth="1"/>
    <col min="15105" max="15105" width="4.5703125" customWidth="1"/>
    <col min="15110" max="15110" width="12" bestFit="1" customWidth="1"/>
    <col min="15361" max="15361" width="4.5703125" customWidth="1"/>
    <col min="15366" max="15366" width="12" bestFit="1" customWidth="1"/>
    <col min="15617" max="15617" width="4.5703125" customWidth="1"/>
    <col min="15622" max="15622" width="12" bestFit="1" customWidth="1"/>
    <col min="15873" max="15873" width="4.5703125" customWidth="1"/>
    <col min="15878" max="15878" width="12" bestFit="1" customWidth="1"/>
    <col min="16129" max="16129" width="4.5703125" customWidth="1"/>
    <col min="16134" max="16134" width="12" bestFit="1" customWidth="1"/>
  </cols>
  <sheetData>
    <row r="2" spans="1:11">
      <c r="A2" s="114"/>
      <c r="B2" s="115"/>
      <c r="C2" s="116"/>
      <c r="D2" s="116"/>
      <c r="E2" s="116"/>
      <c r="F2" s="116"/>
      <c r="G2" s="116"/>
      <c r="H2" s="116"/>
      <c r="I2" s="116"/>
      <c r="J2" s="116"/>
      <c r="K2" s="117"/>
    </row>
    <row r="3" spans="1:11" ht="15.75">
      <c r="A3" s="118"/>
      <c r="B3" s="119"/>
      <c r="C3" s="120" t="s">
        <v>204</v>
      </c>
      <c r="D3" s="120"/>
      <c r="E3" s="120"/>
      <c r="F3" s="121" t="s">
        <v>228</v>
      </c>
      <c r="G3" s="122"/>
      <c r="H3" s="123"/>
      <c r="I3" s="121"/>
      <c r="J3" s="124"/>
      <c r="K3" s="125"/>
    </row>
    <row r="4" spans="1:11">
      <c r="A4" s="118"/>
      <c r="B4" s="119"/>
      <c r="C4" s="120" t="s">
        <v>205</v>
      </c>
      <c r="D4" s="120"/>
      <c r="E4" s="120"/>
      <c r="F4" s="155" t="s">
        <v>229</v>
      </c>
      <c r="G4" s="127"/>
      <c r="H4" s="128"/>
      <c r="I4" s="129"/>
      <c r="J4" s="129"/>
      <c r="K4" s="125"/>
    </row>
    <row r="5" spans="1:11">
      <c r="A5" s="118"/>
      <c r="B5" s="119"/>
      <c r="C5" s="120" t="s">
        <v>206</v>
      </c>
      <c r="D5" s="120"/>
      <c r="E5" s="120"/>
      <c r="F5" s="159" t="s">
        <v>230</v>
      </c>
      <c r="G5" s="126"/>
      <c r="H5" s="126"/>
      <c r="I5" s="126"/>
      <c r="J5" s="126"/>
      <c r="K5" s="125"/>
    </row>
    <row r="6" spans="1:11">
      <c r="A6" s="118"/>
      <c r="B6" s="119"/>
      <c r="C6" s="120"/>
      <c r="D6" s="120"/>
      <c r="E6" s="120"/>
      <c r="F6" s="120"/>
      <c r="G6" s="120"/>
      <c r="H6" s="130" t="s">
        <v>207</v>
      </c>
      <c r="I6" s="130"/>
      <c r="J6" s="129"/>
      <c r="K6" s="125"/>
    </row>
    <row r="7" spans="1:11">
      <c r="A7" s="118"/>
      <c r="B7" s="119"/>
      <c r="C7" s="131"/>
      <c r="D7" s="132"/>
      <c r="E7" s="133"/>
      <c r="F7" s="134"/>
      <c r="K7" s="125"/>
    </row>
    <row r="8" spans="1:11">
      <c r="A8" s="118"/>
      <c r="B8" s="119"/>
      <c r="K8" s="125"/>
    </row>
    <row r="9" spans="1:11">
      <c r="A9" s="118"/>
      <c r="B9" s="119"/>
      <c r="C9" s="120" t="s">
        <v>208</v>
      </c>
      <c r="D9" s="120"/>
      <c r="E9" s="120"/>
      <c r="F9" s="160">
        <v>43425</v>
      </c>
      <c r="G9" s="135"/>
      <c r="H9" s="120"/>
      <c r="I9" s="120"/>
      <c r="J9" s="120"/>
      <c r="K9" s="125"/>
    </row>
    <row r="10" spans="1:11">
      <c r="A10" s="118"/>
      <c r="B10" s="119"/>
      <c r="C10" s="120" t="s">
        <v>209</v>
      </c>
      <c r="D10" s="120"/>
      <c r="E10" s="120"/>
      <c r="F10" s="136">
        <v>0</v>
      </c>
      <c r="G10" s="137"/>
      <c r="H10" s="120"/>
      <c r="I10" s="120"/>
      <c r="J10" s="120"/>
      <c r="K10" s="125"/>
    </row>
    <row r="11" spans="1:11">
      <c r="A11" s="118"/>
      <c r="B11" s="119"/>
      <c r="C11" s="120"/>
      <c r="D11" s="120"/>
      <c r="E11" s="120"/>
      <c r="F11" s="120"/>
      <c r="G11" s="120"/>
      <c r="H11" s="120"/>
      <c r="I11" s="120"/>
      <c r="J11" s="120"/>
      <c r="K11" s="125"/>
    </row>
    <row r="12" spans="1:11">
      <c r="A12" s="118"/>
      <c r="B12" s="119"/>
      <c r="C12" s="120" t="s">
        <v>210</v>
      </c>
      <c r="D12" s="120"/>
      <c r="E12" s="120"/>
      <c r="F12" s="156" t="s">
        <v>231</v>
      </c>
      <c r="G12" s="126"/>
      <c r="H12" s="126"/>
      <c r="I12" s="126"/>
      <c r="J12" s="126"/>
      <c r="K12" s="125"/>
    </row>
    <row r="13" spans="1:11" ht="15.75">
      <c r="A13" s="114"/>
      <c r="B13" s="139"/>
      <c r="C13" s="120"/>
      <c r="D13" s="120"/>
      <c r="E13" s="120"/>
      <c r="F13" s="140"/>
      <c r="G13" s="136"/>
      <c r="H13" s="136"/>
      <c r="I13" s="136"/>
      <c r="J13" s="136"/>
      <c r="K13" s="141"/>
    </row>
    <row r="14" spans="1:11">
      <c r="A14" s="114"/>
      <c r="B14" s="139"/>
      <c r="C14" s="120"/>
      <c r="D14" s="120"/>
      <c r="E14" s="120"/>
      <c r="F14" s="136"/>
      <c r="G14" s="136"/>
      <c r="H14" s="136"/>
      <c r="I14" s="136"/>
      <c r="J14" s="136"/>
      <c r="K14" s="141"/>
    </row>
    <row r="15" spans="1:11">
      <c r="A15" s="114"/>
      <c r="B15" s="139"/>
      <c r="C15" s="142"/>
      <c r="D15" s="142"/>
      <c r="E15" s="142"/>
      <c r="F15" s="142"/>
      <c r="G15" s="142"/>
      <c r="H15" s="142"/>
      <c r="I15" s="142"/>
      <c r="J15" s="142"/>
      <c r="K15" s="141"/>
    </row>
    <row r="16" spans="1:11">
      <c r="A16" s="114"/>
      <c r="B16" s="139"/>
      <c r="C16" s="142"/>
      <c r="D16" s="142"/>
      <c r="E16" s="142"/>
      <c r="F16" s="142"/>
      <c r="G16" s="142"/>
      <c r="H16" s="142"/>
      <c r="I16" s="142"/>
      <c r="J16" s="142"/>
      <c r="K16" s="141"/>
    </row>
    <row r="17" spans="1:11">
      <c r="A17" s="114"/>
      <c r="B17" s="139"/>
      <c r="C17" s="142"/>
      <c r="D17" s="142"/>
      <c r="E17" s="142"/>
      <c r="F17" s="142"/>
      <c r="G17" s="142"/>
      <c r="H17" s="142"/>
      <c r="I17" s="142"/>
      <c r="J17" s="142"/>
      <c r="K17" s="141"/>
    </row>
    <row r="18" spans="1:11">
      <c r="A18" s="114"/>
      <c r="B18" s="139"/>
      <c r="C18" s="142"/>
      <c r="D18" s="142"/>
      <c r="E18" s="142"/>
      <c r="F18" s="142"/>
      <c r="G18" s="142"/>
      <c r="H18" s="142"/>
      <c r="I18" s="142"/>
      <c r="J18" s="142"/>
      <c r="K18" s="141"/>
    </row>
    <row r="19" spans="1:11">
      <c r="A19" s="114"/>
      <c r="B19" s="139"/>
      <c r="C19" s="142"/>
      <c r="D19" s="142"/>
      <c r="E19" s="142"/>
      <c r="F19" s="142"/>
      <c r="G19" s="142"/>
      <c r="H19" s="142"/>
      <c r="I19" s="142"/>
      <c r="J19" s="142"/>
      <c r="K19" s="141"/>
    </row>
    <row r="20" spans="1:11">
      <c r="A20" s="114"/>
      <c r="B20" s="139"/>
      <c r="C20" s="142"/>
      <c r="D20" s="142"/>
      <c r="E20" s="142"/>
      <c r="F20" s="142"/>
      <c r="G20" s="142"/>
      <c r="H20" s="142"/>
      <c r="I20" s="142"/>
      <c r="J20" s="142"/>
      <c r="K20" s="141"/>
    </row>
    <row r="21" spans="1:11">
      <c r="A21" s="114"/>
      <c r="B21" s="139"/>
      <c r="C21" s="114"/>
      <c r="D21" s="142"/>
      <c r="E21" s="142"/>
      <c r="F21" s="142"/>
      <c r="G21" s="142"/>
      <c r="H21" s="142"/>
      <c r="I21" s="142"/>
      <c r="J21" s="142"/>
      <c r="K21" s="141"/>
    </row>
    <row r="22" spans="1:11">
      <c r="A22" s="114"/>
      <c r="B22" s="139"/>
      <c r="C22" s="142"/>
      <c r="D22" s="142"/>
      <c r="E22" s="142"/>
      <c r="F22" s="142"/>
      <c r="G22" s="142"/>
      <c r="H22" s="142"/>
      <c r="I22" s="142"/>
      <c r="J22" s="142"/>
      <c r="K22" s="141"/>
    </row>
    <row r="23" spans="1:11">
      <c r="A23" s="114"/>
      <c r="B23" s="139"/>
      <c r="C23" s="142"/>
      <c r="D23" s="142"/>
      <c r="E23" s="142"/>
      <c r="F23" s="142"/>
      <c r="G23" s="142"/>
      <c r="H23" s="142"/>
      <c r="I23" s="142"/>
      <c r="J23" s="142"/>
      <c r="K23" s="141"/>
    </row>
    <row r="24" spans="1:11">
      <c r="A24" s="114"/>
      <c r="B24" s="139"/>
      <c r="C24" s="142"/>
      <c r="D24" s="142"/>
      <c r="E24" s="142"/>
      <c r="F24" s="142"/>
      <c r="G24" s="142"/>
      <c r="H24" s="142"/>
      <c r="I24" s="142"/>
      <c r="J24" s="142"/>
      <c r="K24" s="141"/>
    </row>
    <row r="25" spans="1:11" ht="33.75">
      <c r="A25" s="114"/>
      <c r="B25" s="360" t="s">
        <v>211</v>
      </c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114"/>
      <c r="B26" s="139"/>
      <c r="C26" s="363" t="s">
        <v>212</v>
      </c>
      <c r="D26" s="363"/>
      <c r="E26" s="363"/>
      <c r="F26" s="363"/>
      <c r="G26" s="363"/>
      <c r="H26" s="363"/>
      <c r="I26" s="363"/>
      <c r="J26" s="363"/>
      <c r="K26" s="141"/>
    </row>
    <row r="27" spans="1:11">
      <c r="A27" s="114"/>
      <c r="B27" s="139"/>
      <c r="C27" s="363" t="s">
        <v>213</v>
      </c>
      <c r="D27" s="363"/>
      <c r="E27" s="363"/>
      <c r="F27" s="363"/>
      <c r="G27" s="363"/>
      <c r="H27" s="363"/>
      <c r="I27" s="363"/>
      <c r="J27" s="363"/>
      <c r="K27" s="141"/>
    </row>
    <row r="28" spans="1:11">
      <c r="A28" s="114"/>
      <c r="B28" s="139"/>
      <c r="C28" s="142"/>
      <c r="D28" s="142"/>
      <c r="E28" s="142"/>
      <c r="F28" s="142"/>
      <c r="G28" s="142"/>
      <c r="H28" s="142"/>
      <c r="I28" s="142"/>
      <c r="J28" s="142"/>
      <c r="K28" s="141"/>
    </row>
    <row r="29" spans="1:11">
      <c r="A29" s="114"/>
      <c r="B29" s="139"/>
      <c r="C29" s="142"/>
      <c r="D29" s="142"/>
      <c r="E29" s="142"/>
      <c r="F29" s="142"/>
      <c r="G29" s="142"/>
      <c r="H29" s="142"/>
      <c r="I29" s="142"/>
      <c r="J29" s="142"/>
      <c r="K29" s="141"/>
    </row>
    <row r="30" spans="1:11" ht="33.75">
      <c r="A30" s="114"/>
      <c r="B30" s="139"/>
      <c r="C30" s="142"/>
      <c r="D30" s="142"/>
      <c r="E30" s="142"/>
      <c r="F30" s="143" t="s">
        <v>303</v>
      </c>
      <c r="G30" s="142"/>
      <c r="H30" s="142"/>
      <c r="I30" s="142"/>
      <c r="J30" s="142"/>
      <c r="K30" s="141"/>
    </row>
    <row r="31" spans="1:11">
      <c r="A31" s="114"/>
      <c r="B31" s="139"/>
      <c r="C31" s="142"/>
      <c r="D31" s="142"/>
      <c r="E31" s="142"/>
      <c r="F31" s="142"/>
      <c r="G31" s="142"/>
      <c r="H31" s="142"/>
      <c r="I31" s="142"/>
      <c r="J31" s="142"/>
      <c r="K31" s="141"/>
    </row>
    <row r="32" spans="1:11">
      <c r="A32" s="114"/>
      <c r="B32" s="139"/>
      <c r="C32" s="142"/>
      <c r="D32" s="142"/>
      <c r="E32" s="142"/>
      <c r="F32" s="142"/>
      <c r="G32" s="142"/>
      <c r="H32" s="142"/>
      <c r="I32" s="142"/>
      <c r="J32" s="142"/>
      <c r="K32" s="141"/>
    </row>
    <row r="33" spans="1:11">
      <c r="A33" s="114"/>
      <c r="B33" s="139"/>
      <c r="C33" s="142"/>
      <c r="D33" s="142"/>
      <c r="E33" s="142"/>
      <c r="F33" s="142"/>
      <c r="G33" s="142"/>
      <c r="H33" s="142"/>
      <c r="I33" s="142"/>
      <c r="J33" s="142"/>
      <c r="K33" s="141"/>
    </row>
    <row r="34" spans="1:11">
      <c r="A34" s="114"/>
      <c r="B34" s="139"/>
      <c r="C34" s="142"/>
      <c r="D34" s="142"/>
      <c r="E34" s="142"/>
      <c r="F34" s="142"/>
      <c r="G34" s="142"/>
      <c r="H34" s="142"/>
      <c r="I34" s="142"/>
      <c r="J34" s="142"/>
      <c r="K34" s="141"/>
    </row>
    <row r="35" spans="1:11">
      <c r="A35" s="114"/>
      <c r="B35" s="139"/>
      <c r="C35" s="142"/>
      <c r="D35" s="142"/>
      <c r="E35" s="142"/>
      <c r="F35" s="142"/>
      <c r="G35" s="142"/>
      <c r="H35" s="142"/>
      <c r="I35" s="142"/>
      <c r="J35" s="142"/>
      <c r="K35" s="141"/>
    </row>
    <row r="36" spans="1:11">
      <c r="A36" s="114"/>
      <c r="B36" s="139"/>
      <c r="C36" s="142"/>
      <c r="D36" s="142"/>
      <c r="E36" s="142"/>
      <c r="F36" s="142"/>
      <c r="G36" s="142"/>
      <c r="H36" s="142"/>
      <c r="I36" s="142"/>
      <c r="J36" s="142"/>
      <c r="K36" s="141"/>
    </row>
    <row r="37" spans="1:11">
      <c r="A37" s="114"/>
      <c r="B37" s="139"/>
      <c r="C37" s="142"/>
      <c r="D37" s="142"/>
      <c r="E37" s="142"/>
      <c r="F37" s="142"/>
      <c r="G37" s="142"/>
      <c r="H37" s="142"/>
      <c r="I37" s="142"/>
      <c r="J37" s="142"/>
      <c r="K37" s="141"/>
    </row>
    <row r="38" spans="1:11">
      <c r="A38" s="114"/>
      <c r="B38" s="139"/>
      <c r="C38" s="142"/>
      <c r="D38" s="142"/>
      <c r="E38" s="142"/>
      <c r="F38" s="142"/>
      <c r="G38" s="142"/>
      <c r="H38" s="142"/>
      <c r="I38" s="142"/>
      <c r="J38" s="142"/>
      <c r="K38" s="141"/>
    </row>
    <row r="39" spans="1:11">
      <c r="A39" s="114"/>
      <c r="B39" s="139"/>
      <c r="C39" s="142"/>
      <c r="D39" s="142"/>
      <c r="E39" s="142"/>
      <c r="F39" s="142"/>
      <c r="G39" s="142"/>
      <c r="H39" s="142"/>
      <c r="I39" s="142"/>
      <c r="J39" s="142"/>
      <c r="K39" s="141"/>
    </row>
    <row r="40" spans="1:11">
      <c r="A40" s="114"/>
      <c r="B40" s="139"/>
      <c r="C40" s="142"/>
      <c r="D40" s="142"/>
      <c r="E40" s="142"/>
      <c r="F40" s="142"/>
      <c r="G40" s="142"/>
      <c r="H40" s="142"/>
      <c r="I40" s="142"/>
      <c r="J40" s="142"/>
      <c r="K40" s="141"/>
    </row>
    <row r="41" spans="1:11">
      <c r="A41" s="114"/>
      <c r="B41" s="139"/>
      <c r="C41" s="142"/>
      <c r="D41" s="142"/>
      <c r="E41" s="142"/>
      <c r="F41" s="142"/>
      <c r="G41" s="142"/>
      <c r="H41" s="142"/>
      <c r="I41" s="142"/>
      <c r="J41" s="142"/>
      <c r="K41" s="141"/>
    </row>
    <row r="42" spans="1:11">
      <c r="A42" s="114"/>
      <c r="B42" s="139"/>
      <c r="C42" s="142"/>
      <c r="D42" s="142"/>
      <c r="E42" s="142"/>
      <c r="F42" s="142"/>
      <c r="G42" s="142"/>
      <c r="H42" s="142"/>
      <c r="I42" s="142"/>
      <c r="J42" s="142"/>
      <c r="K42" s="141"/>
    </row>
    <row r="43" spans="1:11">
      <c r="A43" s="114"/>
      <c r="B43" s="139"/>
      <c r="C43" s="142"/>
      <c r="D43" s="142"/>
      <c r="E43" s="142"/>
      <c r="F43" s="142"/>
      <c r="G43" s="142"/>
      <c r="H43" s="142"/>
      <c r="I43" s="142"/>
      <c r="J43" s="142"/>
      <c r="K43" s="141"/>
    </row>
    <row r="44" spans="1:11">
      <c r="A44" s="114"/>
      <c r="B44" s="139"/>
      <c r="C44" s="142"/>
      <c r="D44" s="142"/>
      <c r="E44" s="142"/>
      <c r="F44" s="142"/>
      <c r="G44" s="142"/>
      <c r="H44" s="142"/>
      <c r="I44" s="142"/>
      <c r="J44" s="142"/>
      <c r="K44" s="141"/>
    </row>
    <row r="45" spans="1:11">
      <c r="A45" s="114"/>
      <c r="B45" s="139"/>
      <c r="C45" s="142"/>
      <c r="D45" s="142"/>
      <c r="E45" s="142"/>
      <c r="F45" s="142"/>
      <c r="G45" s="142"/>
      <c r="H45" s="142"/>
      <c r="I45" s="142"/>
      <c r="J45" s="142"/>
      <c r="K45" s="141"/>
    </row>
    <row r="46" spans="1:11">
      <c r="A46" s="114"/>
      <c r="B46" s="139"/>
      <c r="C46" s="142"/>
      <c r="D46" s="142"/>
      <c r="E46" s="142"/>
      <c r="F46" s="142"/>
      <c r="G46" s="142"/>
      <c r="H46" s="142"/>
      <c r="I46" s="142"/>
      <c r="J46" s="142"/>
      <c r="K46" s="141"/>
    </row>
    <row r="47" spans="1:11">
      <c r="A47" s="114"/>
      <c r="B47" s="139"/>
      <c r="C47" s="142"/>
      <c r="D47" s="142"/>
      <c r="E47" s="142"/>
      <c r="F47" s="142"/>
      <c r="G47" s="142"/>
      <c r="H47" s="142"/>
      <c r="I47" s="142"/>
      <c r="J47" s="142"/>
      <c r="K47" s="141"/>
    </row>
    <row r="48" spans="1:11">
      <c r="A48" s="118"/>
      <c r="B48" s="119"/>
      <c r="C48" s="120" t="s">
        <v>214</v>
      </c>
      <c r="D48" s="120"/>
      <c r="E48" s="120"/>
      <c r="F48" s="120"/>
      <c r="G48" s="120"/>
      <c r="H48" s="359" t="s">
        <v>215</v>
      </c>
      <c r="I48" s="359"/>
      <c r="J48" s="120"/>
      <c r="K48" s="125"/>
    </row>
    <row r="49" spans="1:11">
      <c r="A49" s="118"/>
      <c r="B49" s="119"/>
      <c r="C49" s="120" t="s">
        <v>216</v>
      </c>
      <c r="D49" s="120"/>
      <c r="E49" s="120"/>
      <c r="F49" s="120"/>
      <c r="G49" s="120"/>
      <c r="H49" s="358" t="s">
        <v>217</v>
      </c>
      <c r="I49" s="358"/>
      <c r="J49" s="120"/>
      <c r="K49" s="125"/>
    </row>
    <row r="50" spans="1:11">
      <c r="A50" s="118"/>
      <c r="B50" s="119"/>
      <c r="C50" s="120" t="s">
        <v>218</v>
      </c>
      <c r="D50" s="120"/>
      <c r="E50" s="120"/>
      <c r="F50" s="120"/>
      <c r="G50" s="120"/>
      <c r="H50" s="358" t="s">
        <v>219</v>
      </c>
      <c r="I50" s="358"/>
      <c r="J50" s="120"/>
      <c r="K50" s="125"/>
    </row>
    <row r="51" spans="1:11">
      <c r="A51" s="118"/>
      <c r="B51" s="119"/>
      <c r="C51" s="120" t="s">
        <v>220</v>
      </c>
      <c r="D51" s="120"/>
      <c r="E51" s="120"/>
      <c r="F51" s="120"/>
      <c r="G51" s="120"/>
      <c r="H51" s="358" t="s">
        <v>219</v>
      </c>
      <c r="I51" s="358"/>
      <c r="J51" s="120"/>
      <c r="K51" s="125"/>
    </row>
    <row r="52" spans="1:11">
      <c r="A52" s="114"/>
      <c r="B52" s="139"/>
      <c r="C52" s="142"/>
      <c r="D52" s="142"/>
      <c r="E52" s="142"/>
      <c r="F52" s="142"/>
      <c r="G52" s="142"/>
      <c r="H52" s="142"/>
      <c r="I52" s="142"/>
      <c r="J52" s="142"/>
      <c r="K52" s="141"/>
    </row>
    <row r="53" spans="1:11" ht="15.75">
      <c r="A53" s="138"/>
      <c r="B53" s="144"/>
      <c r="C53" s="120" t="s">
        <v>221</v>
      </c>
      <c r="D53" s="120"/>
      <c r="E53" s="120"/>
      <c r="F53" s="120"/>
      <c r="G53" s="137" t="s">
        <v>222</v>
      </c>
      <c r="H53" s="359" t="s">
        <v>304</v>
      </c>
      <c r="I53" s="359"/>
      <c r="J53" s="145"/>
      <c r="K53" s="146"/>
    </row>
    <row r="54" spans="1:11" ht="15.75">
      <c r="A54" s="138"/>
      <c r="B54" s="144"/>
      <c r="C54" s="120"/>
      <c r="D54" s="120"/>
      <c r="E54" s="120"/>
      <c r="F54" s="120"/>
      <c r="G54" s="137" t="s">
        <v>223</v>
      </c>
      <c r="H54" s="358" t="s">
        <v>305</v>
      </c>
      <c r="I54" s="358"/>
      <c r="J54" s="145"/>
      <c r="K54" s="146"/>
    </row>
    <row r="55" spans="1:11" ht="15.75">
      <c r="A55" s="138"/>
      <c r="B55" s="144"/>
      <c r="C55" s="120"/>
      <c r="D55" s="120"/>
      <c r="E55" s="120"/>
      <c r="F55" s="120"/>
      <c r="G55" s="137"/>
      <c r="H55" s="137"/>
      <c r="I55" s="137"/>
      <c r="J55" s="145"/>
      <c r="K55" s="146"/>
    </row>
    <row r="56" spans="1:11" ht="15.75">
      <c r="A56" s="138"/>
      <c r="B56" s="144"/>
      <c r="C56" s="120" t="s">
        <v>224</v>
      </c>
      <c r="D56" s="120"/>
      <c r="E56" s="120"/>
      <c r="F56" s="137"/>
      <c r="G56" s="120"/>
      <c r="H56" s="357" t="s">
        <v>308</v>
      </c>
      <c r="I56" s="357"/>
      <c r="J56" s="145"/>
      <c r="K56" s="146"/>
    </row>
    <row r="57" spans="1:11">
      <c r="A57" s="114"/>
      <c r="B57" s="147"/>
      <c r="C57" s="148"/>
      <c r="D57" s="148"/>
      <c r="E57" s="148"/>
      <c r="F57" s="148"/>
      <c r="G57" s="148"/>
      <c r="H57" s="148"/>
      <c r="I57" s="148"/>
      <c r="J57" s="148"/>
      <c r="K57" s="149"/>
    </row>
  </sheetData>
  <mergeCells count="10">
    <mergeCell ref="H56:I56"/>
    <mergeCell ref="H51:I51"/>
    <mergeCell ref="H53:I53"/>
    <mergeCell ref="H54:I54"/>
    <mergeCell ref="B25:K25"/>
    <mergeCell ref="C26:J26"/>
    <mergeCell ref="C27:J27"/>
    <mergeCell ref="H48:I48"/>
    <mergeCell ref="H49:I49"/>
    <mergeCell ref="H50:I50"/>
  </mergeCells>
  <pageMargins left="0.7" right="0.7" top="0.75" bottom="0.75" header="0.3" footer="0.3"/>
  <pageSetup paperSize="9" scale="84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8"/>
  <sheetViews>
    <sheetView view="pageBreakPreview" topLeftCell="A46" zoomScaleSheetLayoutView="100" workbookViewId="0">
      <selection activeCell="D69" sqref="D69"/>
    </sheetView>
  </sheetViews>
  <sheetFormatPr defaultColWidth="9.140625"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>
      <c r="A1" s="1" t="s">
        <v>302</v>
      </c>
    </row>
    <row r="2" spans="1:5">
      <c r="A2" s="4" t="s">
        <v>232</v>
      </c>
    </row>
    <row r="3" spans="1:5">
      <c r="A3" s="4" t="s">
        <v>233</v>
      </c>
    </row>
    <row r="4" spans="1:5">
      <c r="A4" s="4" t="s">
        <v>225</v>
      </c>
    </row>
    <row r="5" spans="1:5">
      <c r="A5" s="5" t="s">
        <v>0</v>
      </c>
    </row>
    <row r="6" spans="1:5">
      <c r="A6" s="6"/>
      <c r="B6" s="7" t="s">
        <v>1</v>
      </c>
      <c r="C6" s="7"/>
      <c r="D6" s="7" t="s">
        <v>1</v>
      </c>
    </row>
    <row r="7" spans="1:5">
      <c r="A7" s="6"/>
      <c r="B7" s="7" t="s">
        <v>2</v>
      </c>
      <c r="C7" s="7"/>
      <c r="D7" s="7" t="s">
        <v>3</v>
      </c>
      <c r="E7" s="3"/>
    </row>
    <row r="8" spans="1:5">
      <c r="A8" s="5" t="s">
        <v>4</v>
      </c>
      <c r="B8" s="8"/>
      <c r="C8" s="8"/>
      <c r="D8" s="8"/>
      <c r="E8" s="3"/>
    </row>
    <row r="9" spans="1:5">
      <c r="A9" s="5"/>
      <c r="B9" s="8"/>
      <c r="C9" s="8"/>
      <c r="D9" s="8"/>
      <c r="E9" s="3"/>
    </row>
    <row r="10" spans="1:5">
      <c r="A10" s="9" t="s">
        <v>5</v>
      </c>
      <c r="B10" s="10"/>
      <c r="C10" s="11"/>
      <c r="D10" s="10"/>
      <c r="E10" s="3"/>
    </row>
    <row r="11" spans="1:5">
      <c r="A11" s="12" t="s">
        <v>6</v>
      </c>
      <c r="B11" s="13">
        <v>2715468.54</v>
      </c>
      <c r="C11" s="14"/>
      <c r="D11" s="13">
        <v>5987757.3200000003</v>
      </c>
      <c r="E11" s="3"/>
    </row>
    <row r="12" spans="1:5">
      <c r="A12" s="12" t="s">
        <v>7</v>
      </c>
      <c r="B12" s="15"/>
      <c r="C12" s="14"/>
      <c r="D12" s="15"/>
      <c r="E12" s="3"/>
    </row>
    <row r="13" spans="1:5">
      <c r="A13" s="16" t="s">
        <v>8</v>
      </c>
      <c r="B13" s="13"/>
      <c r="C13" s="14"/>
      <c r="D13" s="13"/>
      <c r="E13" s="3"/>
    </row>
    <row r="14" spans="1:5">
      <c r="A14" s="16" t="s">
        <v>9</v>
      </c>
      <c r="B14" s="13"/>
      <c r="C14" s="14"/>
      <c r="D14" s="13"/>
      <c r="E14" s="3"/>
    </row>
    <row r="15" spans="1:5">
      <c r="A15" s="16" t="s">
        <v>10</v>
      </c>
      <c r="B15" s="13"/>
      <c r="C15" s="14"/>
      <c r="D15" s="13"/>
      <c r="E15" s="3"/>
    </row>
    <row r="16" spans="1:5">
      <c r="A16" s="16" t="s">
        <v>11</v>
      </c>
      <c r="B16" s="13"/>
      <c r="C16" s="14"/>
      <c r="D16" s="13"/>
      <c r="E16" s="3"/>
    </row>
    <row r="17" spans="1:6">
      <c r="A17" s="12" t="s">
        <v>12</v>
      </c>
      <c r="B17" s="15"/>
      <c r="C17" s="14"/>
      <c r="D17" s="15"/>
      <c r="E17" s="3"/>
    </row>
    <row r="18" spans="1:6">
      <c r="A18" s="16" t="s">
        <v>13</v>
      </c>
      <c r="B18" s="13">
        <v>1229658.02</v>
      </c>
      <c r="C18" s="14"/>
      <c r="D18" s="13">
        <v>1259594.92</v>
      </c>
      <c r="E18" s="3"/>
    </row>
    <row r="19" spans="1:6">
      <c r="A19" s="16" t="s">
        <v>14</v>
      </c>
      <c r="B19" s="13"/>
      <c r="C19" s="14"/>
      <c r="D19" s="13"/>
      <c r="E19" s="3"/>
    </row>
    <row r="20" spans="1:6">
      <c r="A20" s="16" t="s">
        <v>15</v>
      </c>
      <c r="B20" s="13"/>
      <c r="C20" s="14"/>
      <c r="D20" s="13"/>
      <c r="E20" s="3"/>
    </row>
    <row r="21" spans="1:6">
      <c r="A21" s="16" t="s">
        <v>16</v>
      </c>
      <c r="B21" s="13">
        <v>2317272</v>
      </c>
      <c r="C21" s="14"/>
      <c r="D21" s="13">
        <v>2467723</v>
      </c>
      <c r="E21" s="3"/>
    </row>
    <row r="22" spans="1:6">
      <c r="A22" s="16" t="s">
        <v>17</v>
      </c>
      <c r="B22" s="13"/>
      <c r="C22" s="14"/>
      <c r="D22" s="13"/>
      <c r="E22" s="3"/>
    </row>
    <row r="23" spans="1:6">
      <c r="A23" s="12" t="s">
        <v>18</v>
      </c>
      <c r="B23" s="17"/>
      <c r="C23" s="14"/>
      <c r="D23" s="17"/>
      <c r="E23" s="3"/>
    </row>
    <row r="24" spans="1:6">
      <c r="A24" s="16" t="s">
        <v>19</v>
      </c>
      <c r="B24" s="13"/>
      <c r="C24" s="14"/>
      <c r="D24" s="13"/>
      <c r="E24" s="3"/>
    </row>
    <row r="25" spans="1:6">
      <c r="A25" s="16" t="s">
        <v>20</v>
      </c>
      <c r="B25" s="13"/>
      <c r="C25" s="14"/>
      <c r="D25" s="13"/>
      <c r="E25" s="3"/>
    </row>
    <row r="26" spans="1:6">
      <c r="A26" s="16" t="s">
        <v>21</v>
      </c>
      <c r="B26" s="13"/>
      <c r="C26" s="14"/>
      <c r="D26" s="13"/>
      <c r="E26" s="3"/>
    </row>
    <row r="27" spans="1:6">
      <c r="A27" s="16" t="s">
        <v>22</v>
      </c>
      <c r="B27" s="13"/>
      <c r="C27" s="14"/>
      <c r="D27" s="13">
        <v>3176219.79</v>
      </c>
      <c r="E27" s="3"/>
    </row>
    <row r="28" spans="1:6">
      <c r="A28" s="16" t="s">
        <v>23</v>
      </c>
      <c r="B28" s="13"/>
      <c r="C28" s="14"/>
      <c r="D28" s="13"/>
      <c r="E28" s="3"/>
    </row>
    <row r="29" spans="1:6">
      <c r="A29" s="16" t="s">
        <v>24</v>
      </c>
      <c r="B29" s="13"/>
      <c r="C29" s="14"/>
      <c r="D29" s="13"/>
      <c r="E29" s="3"/>
    </row>
    <row r="30" spans="1:6">
      <c r="A30" s="16" t="s">
        <v>25</v>
      </c>
      <c r="B30" s="13"/>
      <c r="C30" s="14"/>
      <c r="D30" s="13">
        <v>9125200</v>
      </c>
      <c r="E30" s="3"/>
      <c r="F30" s="157"/>
    </row>
    <row r="31" spans="1:6">
      <c r="A31" s="12" t="s">
        <v>26</v>
      </c>
      <c r="B31" s="13"/>
      <c r="C31" s="14"/>
      <c r="D31" s="13"/>
      <c r="E31" s="3"/>
    </row>
    <row r="32" spans="1:6">
      <c r="A32" s="12" t="s">
        <v>27</v>
      </c>
      <c r="B32" s="13"/>
      <c r="C32" s="14"/>
      <c r="D32" s="13"/>
      <c r="E32" s="3"/>
    </row>
    <row r="33" spans="1:5">
      <c r="A33" s="12" t="s">
        <v>28</v>
      </c>
      <c r="B33" s="18">
        <f>SUM(B11:B32)</f>
        <v>6262398.5600000005</v>
      </c>
      <c r="C33" s="19"/>
      <c r="D33" s="18">
        <f>SUM(D11:D32)</f>
        <v>22016495.030000001</v>
      </c>
      <c r="E33" s="3"/>
    </row>
    <row r="34" spans="1:5">
      <c r="A34" s="12"/>
      <c r="B34" s="17"/>
      <c r="C34" s="14"/>
      <c r="D34" s="17"/>
      <c r="E34" s="3"/>
    </row>
    <row r="35" spans="1:5">
      <c r="A35" s="12" t="s">
        <v>29</v>
      </c>
      <c r="B35" s="17"/>
      <c r="C35" s="14"/>
      <c r="D35" s="17"/>
      <c r="E35" s="3"/>
    </row>
    <row r="36" spans="1:5">
      <c r="A36" s="12" t="s">
        <v>30</v>
      </c>
      <c r="B36" s="17"/>
      <c r="C36" s="14"/>
      <c r="D36" s="17"/>
      <c r="E36" s="3"/>
    </row>
    <row r="37" spans="1:5">
      <c r="A37" s="16" t="s">
        <v>31</v>
      </c>
      <c r="B37" s="13"/>
      <c r="C37" s="14"/>
      <c r="D37" s="13"/>
      <c r="E37" s="3"/>
    </row>
    <row r="38" spans="1:5">
      <c r="A38" s="16" t="s">
        <v>32</v>
      </c>
      <c r="B38" s="13"/>
      <c r="C38" s="14"/>
      <c r="D38" s="13"/>
      <c r="E38" s="3"/>
    </row>
    <row r="39" spans="1:5">
      <c r="A39" s="16" t="s">
        <v>33</v>
      </c>
      <c r="B39" s="13"/>
      <c r="C39" s="14"/>
      <c r="D39" s="13"/>
      <c r="E39" s="3"/>
    </row>
    <row r="40" spans="1:5">
      <c r="A40" s="16" t="s">
        <v>34</v>
      </c>
      <c r="B40" s="13"/>
      <c r="C40" s="14"/>
      <c r="D40" s="13"/>
      <c r="E40" s="3"/>
    </row>
    <row r="41" spans="1:5">
      <c r="A41" s="16" t="s">
        <v>35</v>
      </c>
      <c r="B41" s="13"/>
      <c r="C41" s="14"/>
      <c r="D41" s="13"/>
      <c r="E41" s="3"/>
    </row>
    <row r="42" spans="1:5">
      <c r="A42" s="16" t="s">
        <v>36</v>
      </c>
      <c r="B42" s="13"/>
      <c r="C42" s="14"/>
      <c r="D42" s="13"/>
      <c r="E42" s="3"/>
    </row>
    <row r="43" spans="1:5">
      <c r="A43" s="12" t="s">
        <v>37</v>
      </c>
      <c r="B43" s="17"/>
      <c r="C43" s="14"/>
      <c r="D43" s="17"/>
      <c r="E43" s="3"/>
    </row>
    <row r="44" spans="1:5">
      <c r="A44" s="16" t="s">
        <v>38</v>
      </c>
      <c r="B44" s="13">
        <v>41761067.329999998</v>
      </c>
      <c r="C44" s="14"/>
      <c r="D44" s="13">
        <v>27963597</v>
      </c>
      <c r="E44" s="3"/>
    </row>
    <row r="45" spans="1:5">
      <c r="A45" s="16" t="s">
        <v>39</v>
      </c>
      <c r="B45" s="13">
        <v>294801.98</v>
      </c>
      <c r="C45" s="14"/>
      <c r="D45" s="13">
        <v>14217421.68</v>
      </c>
      <c r="E45" s="3"/>
    </row>
    <row r="46" spans="1:5">
      <c r="A46" s="16" t="s">
        <v>40</v>
      </c>
      <c r="B46" s="13">
        <v>9745</v>
      </c>
      <c r="C46" s="14"/>
      <c r="D46" s="13">
        <v>346327.3</v>
      </c>
      <c r="E46" s="3"/>
    </row>
    <row r="47" spans="1:5">
      <c r="A47" s="16" t="s">
        <v>41</v>
      </c>
      <c r="B47" s="13"/>
      <c r="C47" s="14"/>
      <c r="D47" s="13"/>
      <c r="E47" s="3"/>
    </row>
    <row r="48" spans="1:5">
      <c r="A48" s="16" t="s">
        <v>42</v>
      </c>
      <c r="B48" s="13"/>
      <c r="C48" s="14"/>
      <c r="D48" s="13"/>
      <c r="E48" s="3"/>
    </row>
    <row r="49" spans="1:6">
      <c r="A49" s="12" t="s">
        <v>43</v>
      </c>
      <c r="B49" s="13"/>
      <c r="C49" s="14"/>
      <c r="D49" s="13"/>
      <c r="E49" s="3"/>
    </row>
    <row r="50" spans="1:6">
      <c r="A50" s="12" t="s">
        <v>44</v>
      </c>
      <c r="B50" s="17"/>
      <c r="C50" s="14"/>
      <c r="D50" s="17"/>
      <c r="E50" s="3"/>
    </row>
    <row r="51" spans="1:6">
      <c r="A51" s="16" t="s">
        <v>45</v>
      </c>
      <c r="B51" s="13"/>
      <c r="C51" s="14"/>
      <c r="D51" s="13"/>
      <c r="E51" s="3"/>
    </row>
    <row r="52" spans="1:6">
      <c r="A52" s="16" t="s">
        <v>46</v>
      </c>
      <c r="B52" s="13"/>
      <c r="C52" s="14"/>
      <c r="D52" s="13"/>
      <c r="E52" s="3"/>
    </row>
    <row r="53" spans="1:6">
      <c r="A53" s="16" t="s">
        <v>47</v>
      </c>
      <c r="B53" s="13"/>
      <c r="C53" s="14"/>
      <c r="D53" s="13"/>
      <c r="E53" s="3"/>
    </row>
    <row r="54" spans="1:6">
      <c r="A54" s="12" t="s">
        <v>48</v>
      </c>
      <c r="B54" s="13">
        <v>2410074</v>
      </c>
      <c r="C54" s="14"/>
      <c r="D54" s="13">
        <v>2351345</v>
      </c>
      <c r="E54" s="3"/>
    </row>
    <row r="55" spans="1:6">
      <c r="A55" s="12" t="s">
        <v>49</v>
      </c>
      <c r="B55" s="18">
        <f>SUM(B37:B54)</f>
        <v>44475688.309999995</v>
      </c>
      <c r="C55" s="19"/>
      <c r="D55" s="18">
        <f>SUM(D37:D54)</f>
        <v>44878690.979999997</v>
      </c>
      <c r="E55" s="3"/>
      <c r="F55" s="157"/>
    </row>
    <row r="56" spans="1:6">
      <c r="A56" s="12"/>
      <c r="B56" s="20"/>
      <c r="C56" s="20"/>
      <c r="D56" s="20"/>
      <c r="E56" s="3"/>
    </row>
    <row r="57" spans="1:6" ht="15.75" thickBot="1">
      <c r="A57" s="12" t="s">
        <v>50</v>
      </c>
      <c r="B57" s="21">
        <f>B33+B55</f>
        <v>50738086.869999997</v>
      </c>
      <c r="C57" s="22"/>
      <c r="D57" s="21">
        <f>D33+D55</f>
        <v>66895186.009999998</v>
      </c>
      <c r="E57" s="3"/>
    </row>
    <row r="58" spans="1:6" ht="15.75" thickTop="1">
      <c r="A58" s="23"/>
      <c r="B58" s="17"/>
      <c r="C58" s="14"/>
      <c r="D58" s="17"/>
      <c r="E58" s="3"/>
    </row>
    <row r="59" spans="1:6">
      <c r="A59" s="5" t="s">
        <v>51</v>
      </c>
      <c r="B59" s="17"/>
      <c r="C59" s="14"/>
      <c r="D59" s="17"/>
      <c r="E59" s="3"/>
    </row>
    <row r="60" spans="1:6">
      <c r="A60" s="5"/>
      <c r="B60" s="17"/>
      <c r="C60" s="14"/>
      <c r="D60" s="17"/>
      <c r="E60" s="3"/>
    </row>
    <row r="61" spans="1:6">
      <c r="A61" s="12" t="s">
        <v>52</v>
      </c>
      <c r="B61" s="17"/>
      <c r="C61" s="14"/>
      <c r="D61" s="17"/>
      <c r="E61" s="3"/>
    </row>
    <row r="62" spans="1:6">
      <c r="A62" s="16" t="s">
        <v>53</v>
      </c>
      <c r="B62" s="13"/>
      <c r="C62" s="14"/>
      <c r="D62" s="13"/>
      <c r="E62" s="3"/>
    </row>
    <row r="63" spans="1:6">
      <c r="A63" s="16" t="s">
        <v>54</v>
      </c>
      <c r="B63" s="13"/>
      <c r="C63" s="14"/>
      <c r="D63" s="13"/>
      <c r="E63" s="3"/>
    </row>
    <row r="64" spans="1:6">
      <c r="A64" s="16" t="s">
        <v>55</v>
      </c>
      <c r="B64" s="13"/>
      <c r="C64" s="14"/>
      <c r="D64" s="13"/>
      <c r="E64" s="3"/>
    </row>
    <row r="65" spans="1:5">
      <c r="A65" s="16" t="s">
        <v>56</v>
      </c>
      <c r="B65" s="13">
        <v>3275198.45</v>
      </c>
      <c r="C65" s="14"/>
      <c r="D65" s="13">
        <v>8843415.8699999992</v>
      </c>
      <c r="E65" s="3"/>
    </row>
    <row r="66" spans="1:5">
      <c r="A66" s="16" t="s">
        <v>57</v>
      </c>
      <c r="B66" s="13"/>
      <c r="C66" s="14"/>
      <c r="D66" s="13"/>
      <c r="E66" s="3"/>
    </row>
    <row r="67" spans="1:5">
      <c r="A67" s="16" t="s">
        <v>58</v>
      </c>
      <c r="B67" s="13"/>
      <c r="C67" s="14"/>
      <c r="D67" s="13"/>
      <c r="E67" s="3"/>
    </row>
    <row r="68" spans="1:5">
      <c r="A68" s="16" t="s">
        <v>59</v>
      </c>
      <c r="B68" s="13"/>
      <c r="C68" s="14"/>
      <c r="D68" s="13"/>
      <c r="E68" s="3"/>
    </row>
    <row r="69" spans="1:5">
      <c r="A69" s="16" t="s">
        <v>60</v>
      </c>
      <c r="B69" s="13">
        <v>58017</v>
      </c>
      <c r="C69" s="14"/>
      <c r="D69" s="13">
        <v>15622</v>
      </c>
      <c r="E69" s="3"/>
    </row>
    <row r="70" spans="1:5">
      <c r="A70" s="16" t="s">
        <v>61</v>
      </c>
      <c r="B70" s="13">
        <v>0</v>
      </c>
      <c r="C70" s="14"/>
      <c r="D70" s="13">
        <v>14358</v>
      </c>
      <c r="E70" s="3"/>
    </row>
    <row r="71" spans="1:5">
      <c r="A71" s="16" t="s">
        <v>62</v>
      </c>
      <c r="B71" s="13"/>
      <c r="C71" s="14"/>
      <c r="D71" s="13"/>
      <c r="E71" s="3"/>
    </row>
    <row r="72" spans="1:5">
      <c r="A72" s="12" t="s">
        <v>63</v>
      </c>
      <c r="B72" s="13"/>
      <c r="C72" s="14"/>
      <c r="D72" s="13"/>
      <c r="E72" s="3"/>
    </row>
    <row r="73" spans="1:5">
      <c r="A73" s="12" t="s">
        <v>64</v>
      </c>
      <c r="B73" s="13"/>
      <c r="C73" s="14"/>
      <c r="D73" s="13"/>
      <c r="E73" s="3"/>
    </row>
    <row r="74" spans="1:5">
      <c r="A74" s="12" t="s">
        <v>65</v>
      </c>
      <c r="B74" s="13"/>
      <c r="C74" s="14"/>
      <c r="D74" s="13"/>
      <c r="E74" s="3"/>
    </row>
    <row r="75" spans="1:5">
      <c r="A75" s="12" t="s">
        <v>66</v>
      </c>
      <c r="B75" s="18">
        <f>SUM(B62:B74)</f>
        <v>3333215.45</v>
      </c>
      <c r="C75" s="19"/>
      <c r="D75" s="18">
        <f>SUM(D62:D74)</f>
        <v>8873395.8699999992</v>
      </c>
      <c r="E75" s="3"/>
    </row>
    <row r="76" spans="1:5">
      <c r="A76" s="12"/>
      <c r="B76" s="17"/>
      <c r="C76" s="14"/>
      <c r="D76" s="17"/>
      <c r="E76" s="3"/>
    </row>
    <row r="77" spans="1:5">
      <c r="A77" s="12" t="s">
        <v>67</v>
      </c>
      <c r="B77" s="17"/>
      <c r="C77" s="14"/>
      <c r="D77" s="17"/>
      <c r="E77" s="3"/>
    </row>
    <row r="78" spans="1:5">
      <c r="A78" s="16" t="s">
        <v>53</v>
      </c>
      <c r="B78" s="13"/>
      <c r="C78" s="14"/>
      <c r="D78" s="13"/>
      <c r="E78" s="3"/>
    </row>
    <row r="79" spans="1:5">
      <c r="A79" s="16" t="s">
        <v>54</v>
      </c>
      <c r="B79" s="13">
        <v>47582878</v>
      </c>
      <c r="C79" s="14"/>
      <c r="D79" s="13">
        <v>49204252</v>
      </c>
      <c r="E79" s="3"/>
    </row>
    <row r="80" spans="1:5">
      <c r="A80" s="16" t="s">
        <v>55</v>
      </c>
      <c r="B80" s="13"/>
      <c r="C80" s="14"/>
      <c r="D80" s="13"/>
      <c r="E80" s="3"/>
    </row>
    <row r="81" spans="1:5">
      <c r="A81" s="16" t="s">
        <v>56</v>
      </c>
      <c r="B81" s="13"/>
      <c r="C81" s="14"/>
      <c r="D81" s="13"/>
      <c r="E81" s="3"/>
    </row>
    <row r="82" spans="1:5">
      <c r="A82" s="16" t="s">
        <v>57</v>
      </c>
      <c r="B82" s="13"/>
      <c r="C82" s="14"/>
      <c r="D82" s="13"/>
      <c r="E82" s="3"/>
    </row>
    <row r="83" spans="1:5">
      <c r="A83" s="16" t="s">
        <v>58</v>
      </c>
      <c r="B83" s="13"/>
      <c r="C83" s="14"/>
      <c r="D83" s="13"/>
      <c r="E83" s="3"/>
    </row>
    <row r="84" spans="1:5">
      <c r="A84" s="16" t="s">
        <v>59</v>
      </c>
      <c r="B84" s="13"/>
      <c r="C84" s="14"/>
      <c r="D84" s="13"/>
      <c r="E84" s="3"/>
    </row>
    <row r="85" spans="1:5">
      <c r="A85" s="16" t="s">
        <v>62</v>
      </c>
      <c r="B85" s="13">
        <v>16711883</v>
      </c>
      <c r="C85" s="14"/>
      <c r="D85" s="13">
        <v>25305531.399999999</v>
      </c>
      <c r="E85" s="3"/>
    </row>
    <row r="86" spans="1:5">
      <c r="A86" s="12" t="s">
        <v>63</v>
      </c>
      <c r="B86" s="13"/>
      <c r="C86" s="14"/>
      <c r="D86" s="13"/>
      <c r="E86" s="3"/>
    </row>
    <row r="87" spans="1:5">
      <c r="A87" s="12" t="s">
        <v>64</v>
      </c>
      <c r="B87" s="13"/>
      <c r="C87" s="14"/>
      <c r="D87" s="13"/>
      <c r="E87" s="3"/>
    </row>
    <row r="88" spans="1:5">
      <c r="A88" s="12" t="s">
        <v>65</v>
      </c>
      <c r="B88" s="17"/>
      <c r="C88" s="14"/>
      <c r="D88" s="17"/>
      <c r="E88" s="3"/>
    </row>
    <row r="89" spans="1:5">
      <c r="A89" s="16" t="s">
        <v>68</v>
      </c>
      <c r="B89" s="13"/>
      <c r="C89" s="14"/>
      <c r="D89" s="13"/>
      <c r="E89" s="3"/>
    </row>
    <row r="90" spans="1:5">
      <c r="A90" s="16" t="s">
        <v>69</v>
      </c>
      <c r="B90" s="13"/>
      <c r="C90" s="14"/>
      <c r="D90" s="13"/>
      <c r="E90" s="3"/>
    </row>
    <row r="91" spans="1:5">
      <c r="A91" s="12" t="s">
        <v>70</v>
      </c>
      <c r="B91" s="13"/>
      <c r="C91" s="14"/>
      <c r="D91" s="13"/>
      <c r="E91" s="3"/>
    </row>
    <row r="92" spans="1:5">
      <c r="A92" s="12" t="s">
        <v>71</v>
      </c>
      <c r="B92" s="18">
        <f>SUM(B78:B91)</f>
        <v>64294761</v>
      </c>
      <c r="C92" s="19"/>
      <c r="D92" s="18">
        <f>SUM(D78:D91)</f>
        <v>74509783.400000006</v>
      </c>
      <c r="E92" s="3"/>
    </row>
    <row r="93" spans="1:5">
      <c r="A93" s="12"/>
      <c r="B93" s="20"/>
      <c r="C93" s="20"/>
      <c r="D93" s="20"/>
      <c r="E93" s="3"/>
    </row>
    <row r="94" spans="1:5">
      <c r="A94" s="12" t="s">
        <v>72</v>
      </c>
      <c r="B94" s="24">
        <f>B75+B92</f>
        <v>67627976.450000003</v>
      </c>
      <c r="C94" s="22"/>
      <c r="D94" s="24">
        <f>D75+D92</f>
        <v>83383179.270000011</v>
      </c>
      <c r="E94" s="3"/>
    </row>
    <row r="95" spans="1:5">
      <c r="A95" s="12"/>
      <c r="B95" s="17"/>
      <c r="C95" s="14"/>
      <c r="D95" s="17"/>
      <c r="E95" s="3"/>
    </row>
    <row r="96" spans="1:5">
      <c r="A96" s="12" t="s">
        <v>73</v>
      </c>
      <c r="B96" s="17"/>
      <c r="C96" s="14"/>
      <c r="D96" s="17"/>
      <c r="E96" s="3"/>
    </row>
    <row r="97" spans="1:5">
      <c r="A97" s="12" t="s">
        <v>74</v>
      </c>
      <c r="B97" s="13">
        <v>100000</v>
      </c>
      <c r="C97" s="14"/>
      <c r="D97" s="13">
        <v>100000</v>
      </c>
      <c r="E97" s="3"/>
    </row>
    <row r="98" spans="1:5">
      <c r="A98" s="12" t="s">
        <v>75</v>
      </c>
      <c r="B98" s="13"/>
      <c r="C98" s="14"/>
      <c r="D98" s="13"/>
      <c r="E98" s="3"/>
    </row>
    <row r="99" spans="1:5">
      <c r="A99" s="12" t="s">
        <v>76</v>
      </c>
      <c r="B99" s="13"/>
      <c r="C99" s="14"/>
      <c r="D99" s="13"/>
      <c r="E99" s="3"/>
    </row>
    <row r="100" spans="1:5">
      <c r="A100" s="12" t="s">
        <v>77</v>
      </c>
      <c r="B100" s="17"/>
      <c r="C100" s="14"/>
      <c r="D100" s="17"/>
      <c r="E100" s="3"/>
    </row>
    <row r="101" spans="1:5">
      <c r="A101" s="16" t="s">
        <v>78</v>
      </c>
      <c r="B101" s="150"/>
      <c r="C101" s="151"/>
      <c r="D101" s="150"/>
      <c r="E101" s="3"/>
    </row>
    <row r="102" spans="1:5">
      <c r="A102" s="16" t="s">
        <v>79</v>
      </c>
      <c r="B102" s="150"/>
      <c r="C102" s="151"/>
      <c r="D102" s="150"/>
      <c r="E102" s="3"/>
    </row>
    <row r="103" spans="1:5">
      <c r="A103" s="16" t="s">
        <v>77</v>
      </c>
      <c r="B103" s="152"/>
      <c r="C103" s="151"/>
      <c r="D103" s="150"/>
      <c r="E103" s="3"/>
    </row>
    <row r="104" spans="1:5">
      <c r="A104" s="16" t="s">
        <v>80</v>
      </c>
      <c r="B104" s="150"/>
      <c r="C104" s="151"/>
      <c r="D104" s="150"/>
      <c r="E104" s="3"/>
    </row>
    <row r="105" spans="1:5">
      <c r="A105" s="12" t="s">
        <v>81</v>
      </c>
      <c r="B105" s="150">
        <v>-16587993.26</v>
      </c>
      <c r="C105" s="153"/>
      <c r="D105" s="150">
        <v>-8791756.4299999997</v>
      </c>
      <c r="E105" s="3"/>
    </row>
    <row r="106" spans="1:5">
      <c r="A106" s="12" t="s">
        <v>82</v>
      </c>
      <c r="B106" s="150">
        <v>-401896.35</v>
      </c>
      <c r="C106" s="151"/>
      <c r="D106" s="150">
        <v>-7796236.8300000001</v>
      </c>
      <c r="E106" s="3"/>
    </row>
    <row r="107" spans="1:5">
      <c r="A107" s="12" t="s">
        <v>83</v>
      </c>
      <c r="B107" s="26">
        <f>SUM(B97:B106)</f>
        <v>-16889889.609999999</v>
      </c>
      <c r="C107" s="27"/>
      <c r="D107" s="26">
        <f>SUM(D97:D106)</f>
        <v>-16487993.26</v>
      </c>
      <c r="E107" s="3"/>
    </row>
    <row r="108" spans="1:5">
      <c r="A108" s="28" t="s">
        <v>84</v>
      </c>
      <c r="B108" s="13"/>
      <c r="C108" s="14"/>
      <c r="D108" s="13"/>
      <c r="E108" s="3"/>
    </row>
    <row r="109" spans="1:5">
      <c r="A109" s="12" t="s">
        <v>85</v>
      </c>
      <c r="B109" s="24">
        <f>B107</f>
        <v>-16889889.609999999</v>
      </c>
      <c r="C109" s="22"/>
      <c r="D109" s="24">
        <f>D107</f>
        <v>-16487993.26</v>
      </c>
      <c r="E109" s="3"/>
    </row>
    <row r="110" spans="1:5">
      <c r="A110" s="12"/>
      <c r="B110" s="29"/>
      <c r="C110" s="25"/>
      <c r="D110" s="29"/>
      <c r="E110" s="30"/>
    </row>
    <row r="111" spans="1:5" ht="15.75" thickBot="1">
      <c r="A111" s="31" t="s">
        <v>86</v>
      </c>
      <c r="B111" s="21">
        <f>B94+B109</f>
        <v>50738086.840000004</v>
      </c>
      <c r="C111" s="22"/>
      <c r="D111" s="21">
        <f>D94+D109</f>
        <v>66895186.010000013</v>
      </c>
      <c r="E111" s="32"/>
    </row>
    <row r="112" spans="1:5" ht="15.75" thickTop="1">
      <c r="A112" s="33"/>
      <c r="B112" s="34"/>
      <c r="C112" s="34"/>
      <c r="D112" s="34"/>
      <c r="E112" s="34"/>
    </row>
    <row r="113" spans="1:5">
      <c r="A113" s="35" t="s">
        <v>87</v>
      </c>
      <c r="B113" s="36">
        <f>B57-B111</f>
        <v>2.9999993741512299E-2</v>
      </c>
      <c r="C113" s="35"/>
      <c r="D113" s="36">
        <f>D57-D111</f>
        <v>0</v>
      </c>
      <c r="E113" s="37"/>
    </row>
    <row r="114" spans="1:5">
      <c r="A114" s="37"/>
      <c r="B114" s="37"/>
      <c r="C114" s="37"/>
      <c r="D114" s="37"/>
      <c r="E114" s="37"/>
    </row>
    <row r="115" spans="1:5">
      <c r="A115" s="37"/>
      <c r="B115" s="37"/>
      <c r="C115" s="37"/>
      <c r="D115" s="37"/>
      <c r="E115" s="37"/>
    </row>
    <row r="116" spans="1:5">
      <c r="A116" s="364" t="s">
        <v>88</v>
      </c>
      <c r="B116" s="364"/>
      <c r="C116" s="364"/>
      <c r="D116" s="364"/>
      <c r="E116" s="37"/>
    </row>
    <row r="117" spans="1:5">
      <c r="A117" s="37"/>
      <c r="B117" s="37"/>
      <c r="C117" s="37"/>
      <c r="D117" s="37"/>
      <c r="E117" s="37"/>
    </row>
    <row r="118" spans="1:5">
      <c r="A118" s="37"/>
      <c r="B118" s="37"/>
      <c r="C118" s="37"/>
      <c r="D118" s="37"/>
      <c r="E118" s="37"/>
    </row>
    <row r="119" spans="1:5">
      <c r="A119" s="37"/>
      <c r="B119" s="37"/>
      <c r="C119" s="37"/>
      <c r="D119" s="37"/>
      <c r="E119" s="37"/>
    </row>
    <row r="120" spans="1:5">
      <c r="A120" s="37"/>
      <c r="B120" s="37"/>
      <c r="C120" s="37"/>
      <c r="D120" s="37"/>
      <c r="E120" s="37"/>
    </row>
    <row r="121" spans="1:5">
      <c r="A121" s="37"/>
      <c r="B121" s="37"/>
      <c r="C121" s="37"/>
      <c r="D121" s="37"/>
      <c r="E121" s="37"/>
    </row>
    <row r="122" spans="1:5">
      <c r="A122" s="37"/>
      <c r="B122" s="37"/>
      <c r="C122" s="37"/>
      <c r="D122" s="37"/>
      <c r="E122" s="37"/>
    </row>
    <row r="123" spans="1:5">
      <c r="A123" s="37"/>
      <c r="B123" s="34"/>
      <c r="C123" s="34"/>
      <c r="D123" s="34"/>
      <c r="E123" s="34"/>
    </row>
    <row r="124" spans="1:5">
      <c r="A124" s="37"/>
      <c r="B124" s="34"/>
      <c r="C124" s="34"/>
      <c r="D124" s="34"/>
      <c r="E124" s="34"/>
    </row>
    <row r="125" spans="1:5">
      <c r="A125" s="37"/>
      <c r="B125" s="34"/>
      <c r="C125" s="34"/>
      <c r="D125" s="34"/>
      <c r="E125" s="34"/>
    </row>
    <row r="126" spans="1:5">
      <c r="A126" s="37"/>
      <c r="B126" s="34"/>
      <c r="C126" s="34"/>
      <c r="D126" s="34"/>
      <c r="E126" s="34"/>
    </row>
    <row r="127" spans="1:5">
      <c r="A127" s="37"/>
      <c r="B127" s="34"/>
      <c r="C127" s="34"/>
      <c r="D127" s="34"/>
      <c r="E127" s="34"/>
    </row>
    <row r="128" spans="1:5">
      <c r="A128" s="37"/>
      <c r="B128" s="34"/>
      <c r="C128" s="34"/>
      <c r="D128" s="34"/>
      <c r="E128" s="34"/>
    </row>
  </sheetData>
  <mergeCells count="1">
    <mergeCell ref="A116:D116"/>
  </mergeCells>
  <pageMargins left="0" right="0" top="0" bottom="0" header="0" footer="0"/>
  <pageSetup paperSize="9" scale="85" orientation="portrait" horizontalDpi="4294967294" verticalDpi="4294967294" r:id="rId1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tabSelected="1" view="pageBreakPreview" topLeftCell="A35" zoomScaleSheetLayoutView="100" workbookViewId="0">
      <selection activeCell="G43" sqref="G4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>
      <c r="A1" s="1" t="s">
        <v>302</v>
      </c>
    </row>
    <row r="2" spans="1:5">
      <c r="A2" s="4" t="s">
        <v>232</v>
      </c>
    </row>
    <row r="3" spans="1:5">
      <c r="A3" s="4" t="s">
        <v>233</v>
      </c>
    </row>
    <row r="4" spans="1:5">
      <c r="A4" s="4" t="s">
        <v>225</v>
      </c>
    </row>
    <row r="5" spans="1:5">
      <c r="A5" s="1" t="s">
        <v>89</v>
      </c>
      <c r="B5" s="3"/>
      <c r="C5" s="3"/>
      <c r="D5" s="3"/>
      <c r="E5" s="3"/>
    </row>
    <row r="6" spans="1:5">
      <c r="A6" s="38"/>
      <c r="B6" s="7" t="s">
        <v>1</v>
      </c>
      <c r="C6" s="7"/>
      <c r="D6" s="7" t="s">
        <v>1</v>
      </c>
      <c r="E6" s="39"/>
    </row>
    <row r="7" spans="1:5">
      <c r="A7" s="38"/>
      <c r="B7" s="7" t="s">
        <v>2</v>
      </c>
      <c r="C7" s="7"/>
      <c r="D7" s="7" t="s">
        <v>3</v>
      </c>
      <c r="E7" s="39"/>
    </row>
    <row r="8" spans="1:5">
      <c r="A8" s="40"/>
      <c r="B8" s="10"/>
      <c r="C8" s="11"/>
      <c r="D8" s="10"/>
      <c r="E8" s="41"/>
    </row>
    <row r="9" spans="1:5">
      <c r="A9" s="12" t="s">
        <v>90</v>
      </c>
      <c r="B9" s="42"/>
      <c r="C9" s="43"/>
      <c r="D9" s="42"/>
      <c r="E9" s="42"/>
    </row>
    <row r="10" spans="1:5">
      <c r="A10" s="16" t="s">
        <v>91</v>
      </c>
      <c r="B10" s="44">
        <v>8788793</v>
      </c>
      <c r="C10" s="43"/>
      <c r="D10" s="44">
        <v>25859365</v>
      </c>
      <c r="E10" s="42"/>
    </row>
    <row r="11" spans="1:5">
      <c r="A11" s="16" t="s">
        <v>92</v>
      </c>
      <c r="B11" s="44"/>
      <c r="C11" s="43"/>
      <c r="D11" s="44"/>
      <c r="E11" s="42"/>
    </row>
    <row r="12" spans="1:5">
      <c r="A12" s="16" t="s">
        <v>93</v>
      </c>
      <c r="B12" s="44"/>
      <c r="C12" s="43"/>
      <c r="D12" s="44"/>
      <c r="E12" s="42"/>
    </row>
    <row r="13" spans="1:5">
      <c r="A13" s="16" t="s">
        <v>94</v>
      </c>
      <c r="B13" s="44"/>
      <c r="C13" s="43"/>
      <c r="D13" s="44"/>
      <c r="E13" s="42"/>
    </row>
    <row r="14" spans="1:5">
      <c r="A14" s="16" t="s">
        <v>95</v>
      </c>
      <c r="B14" s="44"/>
      <c r="C14" s="43"/>
      <c r="D14" s="44"/>
      <c r="E14" s="42"/>
    </row>
    <row r="15" spans="1:5">
      <c r="A15" s="12" t="s">
        <v>96</v>
      </c>
      <c r="B15" s="44"/>
      <c r="C15" s="43"/>
      <c r="D15" s="44"/>
      <c r="E15" s="42"/>
    </row>
    <row r="16" spans="1:5">
      <c r="A16" s="12" t="s">
        <v>97</v>
      </c>
      <c r="B16" s="44"/>
      <c r="C16" s="43"/>
      <c r="D16" s="44"/>
      <c r="E16" s="42"/>
    </row>
    <row r="17" spans="1:5">
      <c r="A17" s="12" t="s">
        <v>98</v>
      </c>
      <c r="B17" s="44">
        <v>67693</v>
      </c>
      <c r="C17" s="43"/>
      <c r="D17" s="44"/>
      <c r="E17" s="42"/>
    </row>
    <row r="18" spans="1:5">
      <c r="A18" s="12" t="s">
        <v>99</v>
      </c>
      <c r="B18" s="42"/>
      <c r="C18" s="43"/>
      <c r="D18" s="42"/>
      <c r="E18" s="42"/>
    </row>
    <row r="19" spans="1:5">
      <c r="A19" s="16" t="s">
        <v>99</v>
      </c>
      <c r="B19" s="44">
        <v>-3338782</v>
      </c>
      <c r="C19" s="43"/>
      <c r="D19" s="44">
        <v>-22621402</v>
      </c>
      <c r="E19" s="42"/>
    </row>
    <row r="20" spans="1:5">
      <c r="A20" s="16" t="s">
        <v>100</v>
      </c>
      <c r="B20" s="44">
        <v>-388456</v>
      </c>
      <c r="C20" s="43"/>
      <c r="D20" s="44">
        <v>-78151</v>
      </c>
      <c r="E20" s="42"/>
    </row>
    <row r="21" spans="1:5">
      <c r="A21" s="12" t="s">
        <v>101</v>
      </c>
      <c r="B21" s="42"/>
      <c r="C21" s="43"/>
      <c r="D21" s="42"/>
      <c r="E21" s="42"/>
    </row>
    <row r="22" spans="1:5">
      <c r="A22" s="16" t="s">
        <v>102</v>
      </c>
      <c r="B22" s="44">
        <v>-369545</v>
      </c>
      <c r="C22" s="43"/>
      <c r="D22" s="44">
        <v>-1993816</v>
      </c>
      <c r="E22" s="42"/>
    </row>
    <row r="23" spans="1:5">
      <c r="A23" s="16" t="s">
        <v>103</v>
      </c>
      <c r="B23" s="44">
        <v>-61713</v>
      </c>
      <c r="C23" s="43"/>
      <c r="D23" s="44">
        <v>-332970</v>
      </c>
      <c r="E23" s="42"/>
    </row>
    <row r="24" spans="1:5">
      <c r="A24" s="16" t="s">
        <v>104</v>
      </c>
      <c r="B24" s="44"/>
      <c r="C24" s="43"/>
      <c r="D24" s="44"/>
      <c r="E24" s="42"/>
    </row>
    <row r="25" spans="1:5">
      <c r="A25" s="12" t="s">
        <v>105</v>
      </c>
      <c r="B25" s="44"/>
      <c r="C25" s="43"/>
      <c r="D25" s="44"/>
      <c r="E25" s="42"/>
    </row>
    <row r="26" spans="1:5">
      <c r="A26" s="12" t="s">
        <v>106</v>
      </c>
      <c r="B26" s="44">
        <v>-2295469</v>
      </c>
      <c r="C26" s="43"/>
      <c r="D26" s="44">
        <v>-2326098</v>
      </c>
      <c r="E26" s="42"/>
    </row>
    <row r="27" spans="1:5">
      <c r="A27" s="12" t="s">
        <v>107</v>
      </c>
      <c r="B27" s="44"/>
      <c r="C27" s="43"/>
      <c r="D27" s="44">
        <v>-5486291</v>
      </c>
      <c r="E27" s="42"/>
    </row>
    <row r="28" spans="1:5">
      <c r="A28" s="12" t="s">
        <v>108</v>
      </c>
      <c r="B28" s="42"/>
      <c r="C28" s="43"/>
      <c r="D28" s="42"/>
      <c r="E28" s="42"/>
    </row>
    <row r="29" spans="1:5">
      <c r="A29" s="16" t="s">
        <v>109</v>
      </c>
      <c r="B29" s="44"/>
      <c r="C29" s="43"/>
      <c r="D29" s="44"/>
      <c r="E29" s="42"/>
    </row>
    <row r="30" spans="1:5">
      <c r="A30" s="16" t="s">
        <v>110</v>
      </c>
      <c r="B30" s="44"/>
      <c r="C30" s="43"/>
      <c r="D30" s="44"/>
      <c r="E30" s="42"/>
    </row>
    <row r="31" spans="1:5">
      <c r="A31" s="16" t="s">
        <v>111</v>
      </c>
      <c r="B31" s="44"/>
      <c r="C31" s="43"/>
      <c r="D31" s="44"/>
      <c r="E31" s="42"/>
    </row>
    <row r="32" spans="1:5" ht="30">
      <c r="A32" s="16" t="s">
        <v>112</v>
      </c>
      <c r="B32" s="44"/>
      <c r="C32" s="43"/>
      <c r="D32" s="44"/>
      <c r="E32" s="42"/>
    </row>
    <row r="33" spans="1:5">
      <c r="A33" s="16" t="s">
        <v>113</v>
      </c>
      <c r="B33" s="44"/>
      <c r="C33" s="43"/>
      <c r="D33" s="44"/>
      <c r="E33" s="42"/>
    </row>
    <row r="34" spans="1:5">
      <c r="A34" s="16" t="s">
        <v>114</v>
      </c>
      <c r="B34" s="44"/>
      <c r="C34" s="43"/>
      <c r="D34" s="44"/>
      <c r="E34" s="42"/>
    </row>
    <row r="35" spans="1:5">
      <c r="A35" s="12" t="s">
        <v>115</v>
      </c>
      <c r="B35" s="44"/>
      <c r="C35" s="43"/>
      <c r="D35" s="44"/>
      <c r="E35" s="42"/>
    </row>
    <row r="36" spans="1:5">
      <c r="A36" s="12" t="s">
        <v>116</v>
      </c>
      <c r="B36" s="42"/>
      <c r="C36" s="45"/>
      <c r="D36" s="42"/>
      <c r="E36" s="42"/>
    </row>
    <row r="37" spans="1:5">
      <c r="A37" s="16" t="s">
        <v>117</v>
      </c>
      <c r="B37" s="44">
        <v>-2822132</v>
      </c>
      <c r="C37" s="43"/>
      <c r="D37" s="44">
        <v>-1393394</v>
      </c>
      <c r="E37" s="42"/>
    </row>
    <row r="38" spans="1:5">
      <c r="A38" s="16" t="s">
        <v>118</v>
      </c>
      <c r="B38" s="44"/>
      <c r="C38" s="43"/>
      <c r="D38" s="44"/>
      <c r="E38" s="42"/>
    </row>
    <row r="39" spans="1:5">
      <c r="A39" s="16" t="s">
        <v>119</v>
      </c>
      <c r="B39" s="44">
        <v>-41014</v>
      </c>
      <c r="C39" s="43"/>
      <c r="D39" s="44">
        <v>-623615</v>
      </c>
      <c r="E39" s="42"/>
    </row>
    <row r="40" spans="1:5">
      <c r="A40" s="12" t="s">
        <v>120</v>
      </c>
      <c r="B40" s="44"/>
      <c r="C40" s="43"/>
      <c r="D40" s="44"/>
      <c r="E40" s="42"/>
    </row>
    <row r="41" spans="1:5">
      <c r="A41" s="46" t="s">
        <v>121</v>
      </c>
      <c r="B41" s="44"/>
      <c r="C41" s="43"/>
      <c r="D41" s="44"/>
      <c r="E41" s="42"/>
    </row>
    <row r="42" spans="1:5">
      <c r="A42" s="12" t="s">
        <v>122</v>
      </c>
      <c r="B42" s="47">
        <v>-460625</v>
      </c>
      <c r="C42" s="48"/>
      <c r="D42" s="47">
        <v>-8996372</v>
      </c>
      <c r="E42" s="49"/>
    </row>
    <row r="43" spans="1:5">
      <c r="A43" s="12" t="s">
        <v>123</v>
      </c>
      <c r="B43" s="48"/>
      <c r="C43" s="48"/>
      <c r="D43" s="48"/>
      <c r="E43" s="49"/>
    </row>
    <row r="44" spans="1:5">
      <c r="A44" s="16" t="s">
        <v>124</v>
      </c>
      <c r="B44" s="44">
        <v>0</v>
      </c>
      <c r="C44" s="43"/>
      <c r="D44" s="44"/>
      <c r="E44" s="42"/>
    </row>
    <row r="45" spans="1:5">
      <c r="A45" s="16" t="s">
        <v>125</v>
      </c>
      <c r="B45" s="44">
        <v>58729</v>
      </c>
      <c r="C45" s="43"/>
      <c r="D45" s="44">
        <v>1200135</v>
      </c>
      <c r="E45" s="42"/>
    </row>
    <row r="46" spans="1:5">
      <c r="A46" s="16" t="s">
        <v>126</v>
      </c>
      <c r="B46" s="44"/>
      <c r="C46" s="43"/>
      <c r="D46" s="44"/>
      <c r="E46" s="42"/>
    </row>
    <row r="47" spans="1:5">
      <c r="A47" s="12" t="s">
        <v>127</v>
      </c>
      <c r="B47" s="50">
        <v>-401896</v>
      </c>
      <c r="C47" s="49"/>
      <c r="D47" s="50">
        <v>-7796237</v>
      </c>
      <c r="E47" s="49"/>
    </row>
    <row r="48" spans="1:5" ht="15.75" thickBot="1">
      <c r="A48" s="51"/>
      <c r="B48" s="52"/>
      <c r="C48" s="52"/>
      <c r="D48" s="52"/>
      <c r="E48" s="53"/>
    </row>
    <row r="49" spans="1:5" ht="15.75" thickTop="1">
      <c r="A49" s="54" t="s">
        <v>128</v>
      </c>
      <c r="B49" s="55"/>
      <c r="C49" s="55"/>
      <c r="D49" s="55"/>
      <c r="E49" s="53"/>
    </row>
    <row r="50" spans="1:5">
      <c r="A50" s="16" t="s">
        <v>129</v>
      </c>
      <c r="B50" s="56"/>
      <c r="C50" s="55"/>
      <c r="D50" s="56"/>
      <c r="E50" s="42"/>
    </row>
    <row r="51" spans="1:5">
      <c r="A51" s="16" t="s">
        <v>130</v>
      </c>
      <c r="B51" s="56"/>
      <c r="C51" s="55"/>
      <c r="D51" s="56"/>
      <c r="E51" s="42"/>
    </row>
    <row r="52" spans="1:5">
      <c r="A52" s="16" t="s">
        <v>131</v>
      </c>
      <c r="B52" s="56"/>
      <c r="C52" s="55"/>
      <c r="D52" s="56"/>
      <c r="E52" s="41"/>
    </row>
    <row r="53" spans="1:5">
      <c r="A53" s="16" t="s">
        <v>132</v>
      </c>
      <c r="B53" s="56"/>
      <c r="C53" s="55"/>
      <c r="D53" s="56"/>
      <c r="E53" s="57"/>
    </row>
    <row r="54" spans="1:5">
      <c r="A54" s="58" t="s">
        <v>133</v>
      </c>
      <c r="B54" s="56"/>
      <c r="C54" s="55"/>
      <c r="D54" s="56"/>
      <c r="E54" s="59"/>
    </row>
    <row r="55" spans="1:5">
      <c r="A55" s="54" t="s">
        <v>134</v>
      </c>
      <c r="B55" s="60"/>
      <c r="C55" s="61"/>
      <c r="D55" s="60"/>
      <c r="E55" s="57"/>
    </row>
    <row r="56" spans="1:5">
      <c r="A56" s="62"/>
      <c r="B56" s="63"/>
      <c r="C56" s="64"/>
      <c r="D56" s="63"/>
      <c r="E56" s="57"/>
    </row>
    <row r="57" spans="1:5" ht="15.75" thickBot="1">
      <c r="A57" s="54" t="s">
        <v>135</v>
      </c>
      <c r="B57" s="65">
        <v>-401896</v>
      </c>
      <c r="C57" s="66"/>
      <c r="D57" s="65">
        <v>-7796237</v>
      </c>
      <c r="E57" s="57"/>
    </row>
    <row r="58" spans="1:5" ht="15.75" thickTop="1">
      <c r="A58" s="62"/>
      <c r="B58" s="63"/>
      <c r="C58" s="64"/>
      <c r="D58" s="63"/>
      <c r="E58" s="57"/>
    </row>
    <row r="59" spans="1:5">
      <c r="A59" s="67" t="s">
        <v>136</v>
      </c>
      <c r="B59" s="63"/>
      <c r="C59" s="64"/>
      <c r="D59" s="63"/>
      <c r="E59" s="68"/>
    </row>
    <row r="60" spans="1:5">
      <c r="A60" s="62" t="s">
        <v>137</v>
      </c>
      <c r="B60" s="44"/>
      <c r="C60" s="42"/>
      <c r="D60" s="44"/>
      <c r="E60" s="68"/>
    </row>
    <row r="61" spans="1:5">
      <c r="A61" s="62" t="s">
        <v>138</v>
      </c>
      <c r="B61" s="44"/>
      <c r="C61" s="42"/>
      <c r="D61" s="44"/>
      <c r="E61" s="68"/>
    </row>
    <row r="62" spans="1:5">
      <c r="A62" s="70"/>
      <c r="B62" s="154"/>
      <c r="C62" s="69"/>
      <c r="D62" s="154"/>
      <c r="E62" s="68"/>
    </row>
    <row r="63" spans="1:5">
      <c r="A63" s="70"/>
      <c r="B63" s="154">
        <v>0.34999999997671694</v>
      </c>
      <c r="C63" s="69"/>
      <c r="D63" s="154">
        <v>-0.16999999992549419</v>
      </c>
      <c r="E63" s="68"/>
    </row>
    <row r="64" spans="1:5">
      <c r="A64" s="71"/>
      <c r="B64" s="72"/>
      <c r="C64" s="72"/>
      <c r="D64" s="72"/>
      <c r="E64" s="73"/>
    </row>
  </sheetData>
  <pageMargins left="0.7" right="0.7" top="0.75" bottom="0.75" header="0.3" footer="0.3"/>
  <pageSetup paperSize="9" scale="7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5"/>
  <sheetViews>
    <sheetView view="pageBreakPreview" topLeftCell="A64" zoomScaleSheetLayoutView="100" workbookViewId="0">
      <selection activeCell="B9" sqref="B9"/>
    </sheetView>
  </sheetViews>
  <sheetFormatPr defaultColWidth="9.140625" defaultRowHeight="15"/>
  <cols>
    <col min="1" max="1" width="0.140625" style="3" customWidth="1"/>
    <col min="2" max="2" width="90.140625" style="3" customWidth="1"/>
    <col min="3" max="3" width="15.7109375" style="3" customWidth="1"/>
    <col min="4" max="4" width="2.7109375" style="3" customWidth="1"/>
    <col min="5" max="5" width="15.7109375" style="3" customWidth="1"/>
    <col min="6" max="6" width="11.5703125" style="3" customWidth="1"/>
    <col min="7" max="7" width="9.5703125" style="3" bestFit="1" customWidth="1"/>
    <col min="8" max="16384" width="9.140625" style="3"/>
  </cols>
  <sheetData>
    <row r="1" spans="2:5">
      <c r="B1" s="1" t="s">
        <v>302</v>
      </c>
    </row>
    <row r="2" spans="2:5">
      <c r="B2" s="4" t="s">
        <v>232</v>
      </c>
    </row>
    <row r="3" spans="2:5">
      <c r="B3" s="4" t="s">
        <v>233</v>
      </c>
    </row>
    <row r="4" spans="2:5">
      <c r="B4" s="4" t="s">
        <v>225</v>
      </c>
    </row>
    <row r="5" spans="2:5">
      <c r="B5" s="1" t="s">
        <v>139</v>
      </c>
      <c r="C5" s="10"/>
      <c r="D5" s="11"/>
      <c r="E5" s="10"/>
    </row>
    <row r="6" spans="2:5">
      <c r="B6" s="4"/>
      <c r="C6" s="10"/>
      <c r="D6" s="11"/>
      <c r="E6" s="10"/>
    </row>
    <row r="7" spans="2:5">
      <c r="B7" s="365"/>
      <c r="C7" s="7" t="s">
        <v>1</v>
      </c>
      <c r="D7" s="7"/>
      <c r="E7" s="7" t="s">
        <v>1</v>
      </c>
    </row>
    <row r="8" spans="2:5">
      <c r="B8" s="365"/>
      <c r="C8" s="7" t="s">
        <v>2</v>
      </c>
      <c r="D8" s="7"/>
      <c r="E8" s="7" t="s">
        <v>3</v>
      </c>
    </row>
    <row r="9" spans="2:5">
      <c r="B9" s="40"/>
      <c r="C9" s="10"/>
      <c r="D9" s="11"/>
      <c r="E9" s="10"/>
    </row>
    <row r="10" spans="2:5">
      <c r="B10" s="12" t="s">
        <v>140</v>
      </c>
      <c r="C10" s="74"/>
      <c r="D10" s="75"/>
      <c r="E10" s="74"/>
    </row>
    <row r="11" spans="2:5">
      <c r="B11" s="28" t="s">
        <v>141</v>
      </c>
      <c r="C11" s="17">
        <f>BK!B106</f>
        <v>-401896.35</v>
      </c>
      <c r="D11" s="14"/>
      <c r="E11" s="17">
        <v>-7796236.8300000001</v>
      </c>
    </row>
    <row r="12" spans="2:5">
      <c r="B12" s="76" t="s">
        <v>142</v>
      </c>
      <c r="C12" s="17"/>
      <c r="D12" s="14"/>
      <c r="E12" s="17"/>
    </row>
    <row r="13" spans="2:5">
      <c r="B13" s="77" t="s">
        <v>143</v>
      </c>
      <c r="C13" s="17"/>
      <c r="D13" s="14"/>
      <c r="E13" s="17"/>
    </row>
    <row r="14" spans="2:5">
      <c r="B14" s="77" t="s">
        <v>144</v>
      </c>
      <c r="C14" s="17"/>
      <c r="D14" s="14"/>
      <c r="E14" s="17"/>
    </row>
    <row r="15" spans="2:5">
      <c r="B15" s="78" t="s">
        <v>106</v>
      </c>
      <c r="C15" s="17">
        <f>-PASH!B26</f>
        <v>2295469</v>
      </c>
      <c r="D15" s="14"/>
      <c r="E15" s="17">
        <v>2326098</v>
      </c>
    </row>
    <row r="16" spans="2:5">
      <c r="B16" s="77" t="s">
        <v>105</v>
      </c>
      <c r="C16" s="17"/>
      <c r="D16" s="14"/>
      <c r="E16" s="17"/>
    </row>
    <row r="17" spans="2:5">
      <c r="B17" s="77" t="s">
        <v>145</v>
      </c>
      <c r="C17" s="17"/>
      <c r="D17" s="14"/>
      <c r="E17" s="17"/>
    </row>
    <row r="18" spans="2:5">
      <c r="B18" s="77" t="s">
        <v>146</v>
      </c>
      <c r="C18" s="17"/>
      <c r="D18" s="14"/>
      <c r="E18" s="17"/>
    </row>
    <row r="19" spans="2:5">
      <c r="B19" s="77" t="s">
        <v>147</v>
      </c>
      <c r="C19" s="17"/>
      <c r="D19" s="14"/>
      <c r="E19" s="17"/>
    </row>
    <row r="20" spans="2:5">
      <c r="B20" s="77" t="s">
        <v>148</v>
      </c>
      <c r="C20" s="17"/>
      <c r="D20" s="25"/>
      <c r="E20" s="29"/>
    </row>
    <row r="21" spans="2:5">
      <c r="B21" s="77" t="s">
        <v>149</v>
      </c>
      <c r="C21" s="17"/>
      <c r="D21" s="25"/>
      <c r="E21" s="29"/>
    </row>
    <row r="22" spans="2:5">
      <c r="B22" s="77" t="s">
        <v>150</v>
      </c>
      <c r="C22" s="17"/>
      <c r="D22" s="25"/>
      <c r="E22" s="29"/>
    </row>
    <row r="23" spans="2:5">
      <c r="B23" s="77" t="s">
        <v>150</v>
      </c>
      <c r="C23" s="17">
        <v>0</v>
      </c>
      <c r="D23" s="25"/>
      <c r="E23" s="29">
        <v>0</v>
      </c>
    </row>
    <row r="24" spans="2:5">
      <c r="B24" s="77"/>
      <c r="C24" s="17"/>
      <c r="D24" s="14"/>
      <c r="E24" s="17"/>
    </row>
    <row r="25" spans="2:5">
      <c r="B25" s="28" t="s">
        <v>151</v>
      </c>
      <c r="C25" s="17"/>
      <c r="D25" s="14"/>
      <c r="E25" s="17"/>
    </row>
    <row r="26" spans="2:5">
      <c r="B26" s="77" t="s">
        <v>152</v>
      </c>
      <c r="C26" s="17"/>
      <c r="D26" s="14"/>
      <c r="E26" s="17"/>
    </row>
    <row r="27" spans="2:5">
      <c r="B27" s="77" t="s">
        <v>153</v>
      </c>
      <c r="C27" s="17"/>
      <c r="D27" s="14"/>
      <c r="E27" s="17"/>
    </row>
    <row r="28" spans="2:5">
      <c r="B28" s="77" t="s">
        <v>154</v>
      </c>
      <c r="C28" s="17"/>
      <c r="D28" s="14"/>
      <c r="E28" s="17"/>
    </row>
    <row r="29" spans="2:5">
      <c r="B29" s="77" t="s">
        <v>150</v>
      </c>
      <c r="C29" s="17"/>
      <c r="D29" s="14"/>
      <c r="E29" s="17"/>
    </row>
    <row r="30" spans="2:5">
      <c r="B30" s="77"/>
      <c r="C30" s="17"/>
      <c r="D30" s="14"/>
      <c r="E30" s="17"/>
    </row>
    <row r="31" spans="2:5">
      <c r="B31" s="28" t="s">
        <v>155</v>
      </c>
      <c r="C31" s="17"/>
      <c r="D31" s="14"/>
      <c r="E31" s="17"/>
    </row>
    <row r="32" spans="2:5">
      <c r="B32" s="77" t="s">
        <v>156</v>
      </c>
      <c r="C32" s="17">
        <f>BK!D18+BK!D21+BK!D31-(BK!B18+BK!B21+BK!B31)</f>
        <v>180387.89999999991</v>
      </c>
      <c r="D32" s="14"/>
      <c r="E32" s="17">
        <v>788661.61000000034</v>
      </c>
    </row>
    <row r="33" spans="2:7">
      <c r="B33" s="77" t="s">
        <v>157</v>
      </c>
      <c r="C33" s="17">
        <f>BK!D27+BK!D30-(BK!B27+BK!B30)</f>
        <v>12301419.789999999</v>
      </c>
      <c r="D33" s="14"/>
      <c r="E33" s="17">
        <v>465847.56000000052</v>
      </c>
    </row>
    <row r="34" spans="2:7">
      <c r="B34" s="77" t="s">
        <v>158</v>
      </c>
      <c r="C34" s="17">
        <f>BK!B63+BK!B65+BK!B70-(BK!D63+BK!D65+BK!D70)</f>
        <v>-5582575.419999999</v>
      </c>
      <c r="D34" s="14"/>
      <c r="E34" s="17">
        <v>48362570.049999997</v>
      </c>
    </row>
    <row r="35" spans="2:7">
      <c r="B35" s="77" t="s">
        <v>159</v>
      </c>
      <c r="C35" s="17">
        <f>BK!B69-BK!D69</f>
        <v>42395</v>
      </c>
      <c r="D35" s="14"/>
      <c r="E35" s="17">
        <v>-2054448</v>
      </c>
    </row>
    <row r="36" spans="2:7">
      <c r="B36" s="77" t="s">
        <v>226</v>
      </c>
      <c r="C36" s="17">
        <v>0</v>
      </c>
      <c r="D36" s="14"/>
      <c r="E36" s="17">
        <v>0</v>
      </c>
    </row>
    <row r="37" spans="2:7">
      <c r="B37" s="12" t="s">
        <v>160</v>
      </c>
      <c r="C37" s="26">
        <f>C11+C15+C32+C33+C34+C35+C36</f>
        <v>8835199.9200000018</v>
      </c>
      <c r="D37" s="27"/>
      <c r="E37" s="26">
        <f>SUM(E11:E36)</f>
        <v>42092492.390000001</v>
      </c>
    </row>
    <row r="38" spans="2:7">
      <c r="B38" s="79"/>
      <c r="C38" s="17"/>
      <c r="D38" s="14"/>
      <c r="E38" s="17"/>
    </row>
    <row r="39" spans="2:7">
      <c r="B39" s="12" t="s">
        <v>161</v>
      </c>
      <c r="C39" s="17"/>
      <c r="D39" s="14"/>
      <c r="E39" s="17"/>
    </row>
    <row r="40" spans="2:7">
      <c r="B40" s="77" t="s">
        <v>162</v>
      </c>
      <c r="C40" s="17">
        <f>BK!D55-BK!B55-C15</f>
        <v>-1892466.3299999982</v>
      </c>
      <c r="D40" s="14"/>
      <c r="E40" s="17">
        <v>-37243934</v>
      </c>
      <c r="G40" s="157"/>
    </row>
    <row r="41" spans="2:7">
      <c r="B41" s="77" t="s">
        <v>163</v>
      </c>
      <c r="C41" s="17"/>
      <c r="D41" s="14"/>
      <c r="E41" s="17"/>
    </row>
    <row r="42" spans="2:7" ht="30">
      <c r="B42" s="77" t="s">
        <v>164</v>
      </c>
      <c r="C42" s="17"/>
      <c r="D42" s="14"/>
      <c r="E42" s="17"/>
    </row>
    <row r="43" spans="2:7" ht="30">
      <c r="B43" s="77" t="s">
        <v>165</v>
      </c>
      <c r="C43" s="17"/>
      <c r="D43" s="14"/>
      <c r="E43" s="17"/>
    </row>
    <row r="44" spans="2:7">
      <c r="B44" s="77" t="s">
        <v>166</v>
      </c>
      <c r="C44" s="17"/>
      <c r="D44" s="14"/>
      <c r="E44" s="17"/>
    </row>
    <row r="45" spans="2:7">
      <c r="B45" s="77" t="s">
        <v>167</v>
      </c>
      <c r="C45" s="17"/>
      <c r="D45" s="14"/>
      <c r="E45" s="17"/>
    </row>
    <row r="46" spans="2:7">
      <c r="B46" s="77" t="s">
        <v>168</v>
      </c>
      <c r="C46" s="17"/>
      <c r="D46" s="14"/>
      <c r="E46" s="17"/>
    </row>
    <row r="47" spans="2:7">
      <c r="B47" s="77" t="s">
        <v>169</v>
      </c>
      <c r="C47" s="17"/>
      <c r="D47" s="14"/>
      <c r="E47" s="17"/>
    </row>
    <row r="48" spans="2:7">
      <c r="B48" s="77" t="s">
        <v>150</v>
      </c>
      <c r="C48" s="17"/>
      <c r="D48" s="14"/>
      <c r="E48" s="17"/>
    </row>
    <row r="49" spans="2:6">
      <c r="B49" s="12" t="s">
        <v>170</v>
      </c>
      <c r="C49" s="26">
        <f>SUM(C40:C48)</f>
        <v>-1892466.3299999982</v>
      </c>
      <c r="D49" s="27"/>
      <c r="E49" s="26">
        <f>SUM(E40:E48)</f>
        <v>-37243934</v>
      </c>
    </row>
    <row r="50" spans="2:6">
      <c r="B50" s="79"/>
      <c r="C50" s="17"/>
      <c r="D50" s="14"/>
      <c r="E50" s="17"/>
    </row>
    <row r="51" spans="2:6">
      <c r="B51" s="12" t="s">
        <v>171</v>
      </c>
      <c r="C51" s="17"/>
      <c r="D51" s="14"/>
      <c r="E51" s="17"/>
    </row>
    <row r="52" spans="2:6">
      <c r="B52" s="77" t="s">
        <v>172</v>
      </c>
      <c r="C52" s="17"/>
      <c r="D52" s="14"/>
      <c r="E52" s="17"/>
    </row>
    <row r="53" spans="2:6">
      <c r="B53" s="77" t="s">
        <v>173</v>
      </c>
      <c r="C53" s="17"/>
      <c r="D53" s="14"/>
      <c r="E53" s="17"/>
    </row>
    <row r="54" spans="2:6">
      <c r="B54" s="77" t="s">
        <v>174</v>
      </c>
      <c r="C54" s="17">
        <f>BK!B79-BK!D79</f>
        <v>-1621374</v>
      </c>
      <c r="D54" s="14"/>
      <c r="E54" s="17">
        <v>0</v>
      </c>
    </row>
    <row r="55" spans="2:6">
      <c r="B55" s="77" t="s">
        <v>175</v>
      </c>
      <c r="C55" s="17"/>
      <c r="D55" s="14"/>
      <c r="E55" s="17"/>
    </row>
    <row r="56" spans="2:6">
      <c r="B56" s="77" t="s">
        <v>176</v>
      </c>
      <c r="C56" s="17"/>
      <c r="D56" s="14"/>
      <c r="E56" s="17"/>
    </row>
    <row r="57" spans="2:6">
      <c r="B57" s="77" t="s">
        <v>177</v>
      </c>
      <c r="C57" s="17"/>
      <c r="D57" s="14"/>
      <c r="E57" s="17"/>
    </row>
    <row r="58" spans="2:6">
      <c r="B58" s="77" t="s">
        <v>178</v>
      </c>
      <c r="C58" s="17">
        <f>BK!B85-BK!D85</f>
        <v>-8593648.3999999985</v>
      </c>
      <c r="D58" s="14"/>
      <c r="E58" s="17">
        <v>-8104257.5500000007</v>
      </c>
    </row>
    <row r="59" spans="2:6">
      <c r="B59" s="77" t="s">
        <v>179</v>
      </c>
      <c r="C59" s="17"/>
      <c r="D59" s="14"/>
      <c r="E59" s="17"/>
    </row>
    <row r="60" spans="2:6">
      <c r="B60" s="77" t="s">
        <v>180</v>
      </c>
      <c r="C60" s="17"/>
      <c r="D60" s="14"/>
      <c r="E60" s="17"/>
    </row>
    <row r="61" spans="2:6">
      <c r="B61" s="77" t="s">
        <v>181</v>
      </c>
      <c r="C61" s="17"/>
      <c r="D61" s="25"/>
      <c r="E61" s="29"/>
    </row>
    <row r="62" spans="2:6">
      <c r="B62" s="77" t="s">
        <v>182</v>
      </c>
      <c r="C62" s="17"/>
      <c r="D62" s="25"/>
      <c r="E62" s="29"/>
    </row>
    <row r="63" spans="2:6">
      <c r="B63" s="77" t="s">
        <v>227</v>
      </c>
      <c r="C63" s="17">
        <f>BK!B99-BK!D99</f>
        <v>0</v>
      </c>
      <c r="D63" s="14"/>
      <c r="E63" s="17">
        <v>0</v>
      </c>
      <c r="F63" s="157"/>
    </row>
    <row r="64" spans="2:6">
      <c r="B64" s="12" t="s">
        <v>183</v>
      </c>
      <c r="C64" s="26">
        <f>SUM(C52:C63)</f>
        <v>-10215022.399999999</v>
      </c>
      <c r="D64" s="27"/>
      <c r="E64" s="26">
        <f>SUM(E52:E63)</f>
        <v>-8104257.5500000007</v>
      </c>
    </row>
    <row r="65" spans="2:6" ht="14.1" customHeight="1">
      <c r="B65" s="79"/>
      <c r="C65" s="17"/>
      <c r="D65" s="14"/>
      <c r="E65" s="17"/>
    </row>
    <row r="66" spans="2:6" ht="14.1" customHeight="1">
      <c r="B66" s="12" t="s">
        <v>184</v>
      </c>
      <c r="C66" s="80">
        <f>C37+C49+C64</f>
        <v>-3272288.8099999949</v>
      </c>
      <c r="D66" s="27"/>
      <c r="E66" s="80">
        <f>E37+E49+E64</f>
        <v>-3255699.16</v>
      </c>
    </row>
    <row r="67" spans="2:6">
      <c r="B67" s="81" t="s">
        <v>185</v>
      </c>
      <c r="C67" s="17">
        <f>BK!D11</f>
        <v>5987757.3200000003</v>
      </c>
      <c r="D67" s="14"/>
      <c r="E67" s="17">
        <v>9243456.4700000007</v>
      </c>
    </row>
    <row r="68" spans="2:6">
      <c r="B68" s="81" t="s">
        <v>186</v>
      </c>
      <c r="C68" s="17"/>
      <c r="D68" s="14"/>
      <c r="E68" s="17">
        <v>0</v>
      </c>
    </row>
    <row r="69" spans="2:6" ht="15.75" thickBot="1">
      <c r="B69" s="82" t="s">
        <v>187</v>
      </c>
      <c r="C69" s="83">
        <f>BK!B11</f>
        <v>2715468.54</v>
      </c>
      <c r="D69" s="84"/>
      <c r="E69" s="83">
        <f>BK!D11</f>
        <v>5987757.3200000003</v>
      </c>
    </row>
    <row r="70" spans="2:6" ht="15.75" thickTop="1"/>
    <row r="71" spans="2:6">
      <c r="C71" s="157"/>
    </row>
    <row r="72" spans="2:6">
      <c r="B72" s="35" t="s">
        <v>87</v>
      </c>
      <c r="C72" s="85">
        <f>C66+C67-C69</f>
        <v>-2.9999994672834873E-2</v>
      </c>
      <c r="D72" s="86"/>
      <c r="E72" s="161">
        <f>E66+E67-E69</f>
        <v>-9.9999997764825821E-3</v>
      </c>
      <c r="F72" s="35"/>
    </row>
    <row r="73" spans="2:6">
      <c r="C73" s="158"/>
    </row>
    <row r="74" spans="2:6">
      <c r="C74" s="158"/>
    </row>
    <row r="75" spans="2:6">
      <c r="C75" s="87"/>
    </row>
  </sheetData>
  <mergeCells count="1">
    <mergeCell ref="B7:B8"/>
  </mergeCells>
  <pageMargins left="0" right="0" top="0" bottom="0" header="0" footer="0"/>
  <pageSetup paperSize="9" scale="81" orientation="portrait" horizontalDpi="4294967294" verticalDpi="4294967294" r:id="rId1"/>
  <rowBreaks count="1" manualBreakCount="1"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view="pageBreakPreview" topLeftCell="A13" zoomScale="90" zoomScaleSheetLayoutView="90" workbookViewId="0">
      <selection activeCell="H37" sqref="H37"/>
    </sheetView>
  </sheetViews>
  <sheetFormatPr defaultColWidth="9.140625" defaultRowHeight="15"/>
  <cols>
    <col min="1" max="1" width="78.7109375" style="88" customWidth="1"/>
    <col min="2" max="11" width="15.7109375" style="88" customWidth="1"/>
    <col min="12" max="12" width="9.140625" style="88"/>
    <col min="13" max="13" width="11.28515625" style="88" bestFit="1" customWidth="1"/>
    <col min="14" max="16384" width="9.140625" style="88"/>
  </cols>
  <sheetData>
    <row r="1" spans="1:12">
      <c r="A1" s="1" t="s">
        <v>302</v>
      </c>
    </row>
    <row r="2" spans="1:12">
      <c r="A2" s="4" t="s">
        <v>232</v>
      </c>
    </row>
    <row r="3" spans="1:12">
      <c r="A3" s="4" t="s">
        <v>233</v>
      </c>
    </row>
    <row r="4" spans="1:12">
      <c r="A4" s="4" t="s">
        <v>225</v>
      </c>
    </row>
    <row r="5" spans="1:12">
      <c r="A5" s="1" t="s">
        <v>188</v>
      </c>
    </row>
    <row r="6" spans="1:12">
      <c r="A6" s="89"/>
    </row>
    <row r="7" spans="1:12" ht="72">
      <c r="B7" s="90" t="s">
        <v>189</v>
      </c>
      <c r="C7" s="90" t="s">
        <v>75</v>
      </c>
      <c r="D7" s="90" t="s">
        <v>76</v>
      </c>
      <c r="E7" s="90" t="s">
        <v>77</v>
      </c>
      <c r="F7" s="90" t="s">
        <v>80</v>
      </c>
      <c r="G7" s="90" t="s">
        <v>190</v>
      </c>
      <c r="H7" s="90" t="s">
        <v>191</v>
      </c>
      <c r="I7" s="90" t="s">
        <v>192</v>
      </c>
      <c r="J7" s="90" t="s">
        <v>84</v>
      </c>
      <c r="K7" s="90" t="s">
        <v>192</v>
      </c>
      <c r="L7" s="54"/>
    </row>
    <row r="8" spans="1:12">
      <c r="A8" s="91"/>
      <c r="B8" s="54"/>
      <c r="C8" s="92"/>
      <c r="D8" s="92"/>
      <c r="E8" s="93"/>
      <c r="F8" s="93"/>
      <c r="G8" s="93"/>
      <c r="H8" s="94"/>
      <c r="I8" s="94"/>
      <c r="J8" s="94"/>
      <c r="K8" s="92"/>
      <c r="L8" s="92"/>
    </row>
    <row r="9" spans="1:12">
      <c r="A9" s="95"/>
      <c r="B9" s="96"/>
      <c r="C9" s="96"/>
      <c r="D9" s="96"/>
      <c r="E9" s="97"/>
      <c r="F9" s="97"/>
      <c r="G9" s="97"/>
      <c r="H9" s="64"/>
      <c r="I9" s="64"/>
      <c r="J9" s="64"/>
      <c r="K9" s="64"/>
      <c r="L9" s="92"/>
    </row>
    <row r="10" spans="1:12" ht="15.75" thickBot="1">
      <c r="A10" s="98" t="s">
        <v>234</v>
      </c>
      <c r="B10" s="65">
        <v>100000</v>
      </c>
      <c r="C10" s="65"/>
      <c r="D10" s="65"/>
      <c r="E10" s="65">
        <v>0</v>
      </c>
      <c r="F10" s="65"/>
      <c r="G10" s="65">
        <v>-2178175.0499999998</v>
      </c>
      <c r="H10" s="65">
        <v>-6613581.3800000027</v>
      </c>
      <c r="I10" s="65">
        <f>SUM(B10:H10)</f>
        <v>-8691756.4300000034</v>
      </c>
      <c r="J10" s="65"/>
      <c r="K10" s="65">
        <f>SUM(I10:J10)</f>
        <v>-8691756.4300000034</v>
      </c>
      <c r="L10" s="92"/>
    </row>
    <row r="11" spans="1:12" ht="15.75" thickTop="1">
      <c r="A11" s="99" t="s">
        <v>193</v>
      </c>
      <c r="B11" s="96"/>
      <c r="C11" s="96"/>
      <c r="D11" s="96"/>
      <c r="E11" s="96"/>
      <c r="F11" s="96"/>
      <c r="G11" s="96"/>
      <c r="H11" s="64"/>
      <c r="I11" s="64">
        <f>SUM(B11:H11)</f>
        <v>0</v>
      </c>
      <c r="J11" s="100"/>
      <c r="K11" s="96">
        <f>SUM(I11:J11)</f>
        <v>0</v>
      </c>
      <c r="L11" s="92"/>
    </row>
    <row r="12" spans="1:12">
      <c r="A12" s="98" t="s">
        <v>194</v>
      </c>
      <c r="B12" s="101">
        <f>B10</f>
        <v>100000</v>
      </c>
      <c r="C12" s="101">
        <f t="shared" ref="C12:J12" si="0">SUM(C10:C11)</f>
        <v>0</v>
      </c>
      <c r="D12" s="101">
        <f t="shared" si="0"/>
        <v>0</v>
      </c>
      <c r="E12" s="101">
        <f t="shared" si="0"/>
        <v>0</v>
      </c>
      <c r="F12" s="101">
        <f t="shared" si="0"/>
        <v>0</v>
      </c>
      <c r="G12" s="101">
        <f t="shared" si="0"/>
        <v>-2178175.0499999998</v>
      </c>
      <c r="H12" s="101">
        <v>0</v>
      </c>
      <c r="I12" s="101">
        <f>SUM(B12:H12)</f>
        <v>-2078175.0499999998</v>
      </c>
      <c r="J12" s="101">
        <f t="shared" si="0"/>
        <v>0</v>
      </c>
      <c r="K12" s="101">
        <f>SUM(I12:J12)</f>
        <v>-2078175.0499999998</v>
      </c>
      <c r="L12" s="92"/>
    </row>
    <row r="13" spans="1:12">
      <c r="A13" s="102" t="s">
        <v>195</v>
      </c>
      <c r="B13" s="96"/>
      <c r="C13" s="96"/>
      <c r="D13" s="96"/>
      <c r="E13" s="96"/>
      <c r="F13" s="96"/>
      <c r="G13" s="96"/>
      <c r="H13" s="63"/>
      <c r="I13" s="63">
        <f t="shared" ref="I13:I37" si="1">SUM(B13:H13)</f>
        <v>0</v>
      </c>
      <c r="J13" s="63"/>
      <c r="K13" s="96">
        <f t="shared" ref="K13:K37" si="2">SUM(I13:J13)</f>
        <v>0</v>
      </c>
      <c r="L13" s="92"/>
    </row>
    <row r="14" spans="1:12">
      <c r="A14" s="103" t="s">
        <v>191</v>
      </c>
      <c r="B14" s="64"/>
      <c r="C14" s="64"/>
      <c r="D14" s="64"/>
      <c r="E14" s="64"/>
      <c r="F14" s="64"/>
      <c r="G14" s="63"/>
      <c r="H14" s="104">
        <f>PASH!D47</f>
        <v>-7796237</v>
      </c>
      <c r="I14" s="63">
        <f t="shared" si="1"/>
        <v>-7796237</v>
      </c>
      <c r="J14" s="104"/>
      <c r="K14" s="63">
        <f t="shared" si="2"/>
        <v>-7796237</v>
      </c>
      <c r="L14" s="92"/>
    </row>
    <row r="15" spans="1:12">
      <c r="A15" s="103" t="s">
        <v>196</v>
      </c>
      <c r="B15" s="64"/>
      <c r="C15" s="64"/>
      <c r="D15" s="64"/>
      <c r="E15" s="64"/>
      <c r="F15" s="64"/>
      <c r="G15" s="63"/>
      <c r="H15" s="104"/>
      <c r="I15" s="63">
        <f t="shared" si="1"/>
        <v>0</v>
      </c>
      <c r="J15" s="104"/>
      <c r="K15" s="63">
        <f t="shared" si="2"/>
        <v>0</v>
      </c>
      <c r="L15" s="92"/>
    </row>
    <row r="16" spans="1:12">
      <c r="A16" s="103" t="s">
        <v>197</v>
      </c>
      <c r="B16" s="64"/>
      <c r="C16" s="64"/>
      <c r="D16" s="64"/>
      <c r="E16" s="64"/>
      <c r="F16" s="64"/>
      <c r="G16" s="63"/>
      <c r="H16" s="63"/>
      <c r="I16" s="63">
        <f t="shared" si="1"/>
        <v>0</v>
      </c>
      <c r="J16" s="63"/>
      <c r="K16" s="63">
        <f t="shared" si="2"/>
        <v>0</v>
      </c>
      <c r="L16" s="92"/>
    </row>
    <row r="17" spans="1:13">
      <c r="A17" s="102" t="s">
        <v>198</v>
      </c>
      <c r="B17" s="105">
        <f>SUM(B13:B16)</f>
        <v>0</v>
      </c>
      <c r="C17" s="105">
        <f t="shared" ref="C17:J17" si="3">SUM(C13:C16)</f>
        <v>0</v>
      </c>
      <c r="D17" s="105">
        <f t="shared" si="3"/>
        <v>0</v>
      </c>
      <c r="E17" s="105">
        <f t="shared" si="3"/>
        <v>0</v>
      </c>
      <c r="F17" s="105">
        <f t="shared" si="3"/>
        <v>0</v>
      </c>
      <c r="G17" s="105">
        <f t="shared" si="3"/>
        <v>0</v>
      </c>
      <c r="H17" s="106">
        <f>SUM(H13:H16)</f>
        <v>-7796237</v>
      </c>
      <c r="I17" s="105">
        <f t="shared" si="1"/>
        <v>-7796237</v>
      </c>
      <c r="J17" s="106">
        <f t="shared" si="3"/>
        <v>0</v>
      </c>
      <c r="K17" s="105">
        <f t="shared" si="2"/>
        <v>-7796237</v>
      </c>
      <c r="L17" s="92"/>
      <c r="M17" s="113">
        <f>K17-PASH!D57</f>
        <v>0</v>
      </c>
    </row>
    <row r="18" spans="1:13">
      <c r="A18" s="102" t="s">
        <v>199</v>
      </c>
      <c r="B18" s="64"/>
      <c r="C18" s="64"/>
      <c r="D18" s="64"/>
      <c r="E18" s="64"/>
      <c r="F18" s="64"/>
      <c r="G18" s="63"/>
      <c r="H18" s="63"/>
      <c r="I18" s="63">
        <f t="shared" si="1"/>
        <v>0</v>
      </c>
      <c r="J18" s="63"/>
      <c r="K18" s="63">
        <f t="shared" si="2"/>
        <v>0</v>
      </c>
      <c r="L18" s="92"/>
    </row>
    <row r="19" spans="1:13">
      <c r="A19" s="107" t="s">
        <v>200</v>
      </c>
      <c r="B19" s="64"/>
      <c r="C19" s="64"/>
      <c r="D19" s="64"/>
      <c r="E19" s="64"/>
      <c r="F19" s="64"/>
      <c r="G19" s="63">
        <f>H10</f>
        <v>-6613581.3800000027</v>
      </c>
      <c r="H19" s="63"/>
      <c r="I19" s="63">
        <f t="shared" si="1"/>
        <v>-6613581.3800000027</v>
      </c>
      <c r="J19" s="63"/>
      <c r="K19" s="63">
        <f t="shared" si="2"/>
        <v>-6613581.3800000027</v>
      </c>
      <c r="L19" s="92"/>
    </row>
    <row r="20" spans="1:13">
      <c r="A20" s="107" t="s">
        <v>201</v>
      </c>
      <c r="B20" s="64"/>
      <c r="C20" s="64"/>
      <c r="D20" s="64"/>
      <c r="E20" s="64"/>
      <c r="F20" s="64"/>
      <c r="G20" s="63"/>
      <c r="H20" s="63"/>
      <c r="I20" s="63">
        <f t="shared" si="1"/>
        <v>0</v>
      </c>
      <c r="J20" s="63"/>
      <c r="K20" s="63">
        <f t="shared" si="2"/>
        <v>0</v>
      </c>
      <c r="L20" s="92"/>
    </row>
    <row r="21" spans="1:13">
      <c r="A21" s="108" t="s">
        <v>202</v>
      </c>
      <c r="B21" s="64"/>
      <c r="C21" s="64"/>
      <c r="D21" s="64"/>
      <c r="E21" s="109"/>
      <c r="F21" s="109"/>
      <c r="G21" s="63"/>
      <c r="H21" s="63"/>
      <c r="I21" s="63">
        <f t="shared" si="1"/>
        <v>0</v>
      </c>
      <c r="J21" s="63"/>
      <c r="K21" s="63">
        <f t="shared" si="2"/>
        <v>0</v>
      </c>
      <c r="L21" s="92"/>
    </row>
    <row r="22" spans="1:13">
      <c r="A22" s="102" t="s">
        <v>203</v>
      </c>
      <c r="B22" s="101">
        <f>SUM(B19:B21)</f>
        <v>0</v>
      </c>
      <c r="C22" s="101">
        <f t="shared" ref="C22:J22" si="4">SUM(C19:C21)</f>
        <v>0</v>
      </c>
      <c r="D22" s="101">
        <f t="shared" si="4"/>
        <v>0</v>
      </c>
      <c r="E22" s="101">
        <f t="shared" si="4"/>
        <v>0</v>
      </c>
      <c r="F22" s="101">
        <f t="shared" si="4"/>
        <v>0</v>
      </c>
      <c r="G22" s="101">
        <f>G19</f>
        <v>-6613581.3800000027</v>
      </c>
      <c r="H22" s="101">
        <f>-H12</f>
        <v>0</v>
      </c>
      <c r="I22" s="105">
        <f t="shared" si="1"/>
        <v>-6613581.3800000027</v>
      </c>
      <c r="J22" s="101">
        <f t="shared" si="4"/>
        <v>0</v>
      </c>
      <c r="K22" s="101">
        <f t="shared" si="2"/>
        <v>-6613581.3800000027</v>
      </c>
      <c r="L22" s="92"/>
    </row>
    <row r="23" spans="1:13">
      <c r="A23" s="102"/>
      <c r="B23" s="96"/>
      <c r="C23" s="97"/>
      <c r="D23" s="96"/>
      <c r="E23" s="97"/>
      <c r="F23" s="97"/>
      <c r="G23" s="97"/>
      <c r="H23" s="63"/>
      <c r="I23" s="63"/>
      <c r="J23" s="63"/>
      <c r="K23" s="97"/>
      <c r="L23" s="92"/>
    </row>
    <row r="24" spans="1:13" ht="15.75" thickBot="1">
      <c r="A24" s="102" t="s">
        <v>235</v>
      </c>
      <c r="B24" s="110">
        <f>B12+B17+B22</f>
        <v>100000</v>
      </c>
      <c r="C24" s="110">
        <f t="shared" ref="C24:J24" si="5">C12+C17+C22</f>
        <v>0</v>
      </c>
      <c r="D24" s="110">
        <f t="shared" si="5"/>
        <v>0</v>
      </c>
      <c r="E24" s="110">
        <f t="shared" si="5"/>
        <v>0</v>
      </c>
      <c r="F24" s="110">
        <f t="shared" si="5"/>
        <v>0</v>
      </c>
      <c r="G24" s="110">
        <f>G12+G17+G22</f>
        <v>-8791756.4300000034</v>
      </c>
      <c r="H24" s="110">
        <f t="shared" si="5"/>
        <v>-7796237</v>
      </c>
      <c r="I24" s="110">
        <f t="shared" si="1"/>
        <v>-16487993.430000003</v>
      </c>
      <c r="J24" s="110">
        <f t="shared" si="5"/>
        <v>0</v>
      </c>
      <c r="K24" s="110">
        <f t="shared" si="2"/>
        <v>-16487993.430000003</v>
      </c>
      <c r="L24" s="92"/>
      <c r="M24" s="113">
        <f>K24-BK!D109</f>
        <v>-0.17000000365078449</v>
      </c>
    </row>
    <row r="25" spans="1:13" ht="15.75" thickTop="1">
      <c r="A25" s="111"/>
      <c r="B25" s="96"/>
      <c r="C25" s="96"/>
      <c r="D25" s="96"/>
      <c r="E25" s="96"/>
      <c r="F25" s="96"/>
      <c r="G25" s="96"/>
      <c r="H25" s="63"/>
      <c r="I25" s="63">
        <f t="shared" si="1"/>
        <v>0</v>
      </c>
      <c r="J25" s="63"/>
      <c r="K25" s="96">
        <f t="shared" si="2"/>
        <v>0</v>
      </c>
      <c r="L25" s="92"/>
    </row>
    <row r="26" spans="1:13">
      <c r="A26" s="102" t="s">
        <v>195</v>
      </c>
      <c r="B26" s="64"/>
      <c r="C26" s="64"/>
      <c r="D26" s="64"/>
      <c r="E26" s="64"/>
      <c r="F26" s="64"/>
      <c r="G26" s="63"/>
      <c r="H26" s="63"/>
      <c r="I26" s="63">
        <f t="shared" si="1"/>
        <v>0</v>
      </c>
      <c r="J26" s="63"/>
      <c r="K26" s="63">
        <f t="shared" si="2"/>
        <v>0</v>
      </c>
      <c r="L26" s="92"/>
    </row>
    <row r="27" spans="1:13">
      <c r="A27" s="103" t="s">
        <v>191</v>
      </c>
      <c r="B27" s="64">
        <v>0</v>
      </c>
      <c r="C27" s="64"/>
      <c r="D27" s="64"/>
      <c r="E27" s="64"/>
      <c r="F27" s="64"/>
      <c r="G27" s="63"/>
      <c r="H27" s="104">
        <f>PASH!B57</f>
        <v>-401896</v>
      </c>
      <c r="I27" s="63">
        <f t="shared" si="1"/>
        <v>-401896</v>
      </c>
      <c r="J27" s="104"/>
      <c r="K27" s="63">
        <f t="shared" si="2"/>
        <v>-401896</v>
      </c>
      <c r="L27" s="92"/>
    </row>
    <row r="28" spans="1:13">
      <c r="A28" s="103" t="s">
        <v>196</v>
      </c>
      <c r="B28" s="64"/>
      <c r="C28" s="64"/>
      <c r="D28" s="64"/>
      <c r="E28" s="64"/>
      <c r="F28" s="64"/>
      <c r="G28" s="63"/>
      <c r="H28" s="104"/>
      <c r="I28" s="63">
        <f t="shared" si="1"/>
        <v>0</v>
      </c>
      <c r="J28" s="104"/>
      <c r="K28" s="63">
        <f t="shared" si="2"/>
        <v>0</v>
      </c>
      <c r="L28" s="92"/>
    </row>
    <row r="29" spans="1:13">
      <c r="A29" s="103" t="s">
        <v>197</v>
      </c>
      <c r="B29" s="64"/>
      <c r="C29" s="64"/>
      <c r="D29" s="64"/>
      <c r="E29" s="64"/>
      <c r="F29" s="64"/>
      <c r="G29" s="63"/>
      <c r="H29" s="63"/>
      <c r="I29" s="63">
        <f t="shared" si="1"/>
        <v>0</v>
      </c>
      <c r="J29" s="63"/>
      <c r="K29" s="63">
        <f t="shared" si="2"/>
        <v>0</v>
      </c>
      <c r="L29" s="92"/>
    </row>
    <row r="30" spans="1:13">
      <c r="A30" s="102" t="s">
        <v>198</v>
      </c>
      <c r="B30" s="105">
        <f>SUM(B27:B29)</f>
        <v>0</v>
      </c>
      <c r="C30" s="105">
        <f t="shared" ref="C30:J30" si="6">SUM(C27:C29)</f>
        <v>0</v>
      </c>
      <c r="D30" s="105">
        <f t="shared" si="6"/>
        <v>0</v>
      </c>
      <c r="E30" s="105">
        <f t="shared" si="6"/>
        <v>0</v>
      </c>
      <c r="F30" s="105">
        <f t="shared" si="6"/>
        <v>0</v>
      </c>
      <c r="G30" s="105">
        <f t="shared" si="6"/>
        <v>0</v>
      </c>
      <c r="H30" s="106">
        <f t="shared" si="6"/>
        <v>-401896</v>
      </c>
      <c r="I30" s="105">
        <f t="shared" si="1"/>
        <v>-401896</v>
      </c>
      <c r="J30" s="106">
        <f t="shared" si="6"/>
        <v>0</v>
      </c>
      <c r="K30" s="105">
        <f t="shared" si="2"/>
        <v>-401896</v>
      </c>
      <c r="L30" s="92"/>
      <c r="M30" s="113">
        <f>K30-PASH!B57</f>
        <v>0</v>
      </c>
    </row>
    <row r="31" spans="1:13">
      <c r="A31" s="102" t="s">
        <v>199</v>
      </c>
      <c r="B31" s="64"/>
      <c r="C31" s="64"/>
      <c r="D31" s="64"/>
      <c r="E31" s="64"/>
      <c r="F31" s="64"/>
      <c r="G31" s="63"/>
      <c r="H31" s="63"/>
      <c r="I31" s="63">
        <f t="shared" si="1"/>
        <v>0</v>
      </c>
      <c r="J31" s="63"/>
      <c r="K31" s="63">
        <f t="shared" si="2"/>
        <v>0</v>
      </c>
      <c r="L31" s="92"/>
    </row>
    <row r="32" spans="1:13">
      <c r="A32" s="107" t="s">
        <v>200</v>
      </c>
      <c r="B32" s="64"/>
      <c r="C32" s="64"/>
      <c r="D32" s="64"/>
      <c r="E32" s="64">
        <v>0</v>
      </c>
      <c r="F32" s="64"/>
      <c r="G32" s="63">
        <f>-H32</f>
        <v>-7796237</v>
      </c>
      <c r="H32" s="63">
        <f>-H24</f>
        <v>7796237</v>
      </c>
      <c r="I32" s="63">
        <f t="shared" si="1"/>
        <v>0</v>
      </c>
      <c r="J32" s="63"/>
      <c r="K32" s="63">
        <f t="shared" si="2"/>
        <v>0</v>
      </c>
      <c r="L32" s="92"/>
    </row>
    <row r="33" spans="1:13">
      <c r="A33" s="107" t="s">
        <v>201</v>
      </c>
      <c r="B33" s="64"/>
      <c r="C33" s="64"/>
      <c r="D33" s="64"/>
      <c r="E33" s="64"/>
      <c r="F33" s="64"/>
      <c r="G33" s="63"/>
      <c r="H33" s="63"/>
      <c r="I33" s="63">
        <f t="shared" si="1"/>
        <v>0</v>
      </c>
      <c r="J33" s="63"/>
      <c r="K33" s="63">
        <f t="shared" si="2"/>
        <v>0</v>
      </c>
      <c r="L33" s="92"/>
    </row>
    <row r="34" spans="1:13">
      <c r="A34" s="108" t="s">
        <v>202</v>
      </c>
      <c r="B34" s="64"/>
      <c r="C34" s="64"/>
      <c r="D34" s="64">
        <f>BK!B99</f>
        <v>0</v>
      </c>
      <c r="E34" s="109"/>
      <c r="F34" s="109"/>
      <c r="G34" s="63"/>
      <c r="H34" s="63"/>
      <c r="I34" s="63">
        <f t="shared" si="1"/>
        <v>0</v>
      </c>
      <c r="J34" s="63"/>
      <c r="K34" s="63">
        <f t="shared" si="2"/>
        <v>0</v>
      </c>
      <c r="L34" s="92"/>
    </row>
    <row r="35" spans="1:13">
      <c r="A35" s="102" t="s">
        <v>203</v>
      </c>
      <c r="B35" s="105">
        <f>SUM(B32:B34)</f>
        <v>0</v>
      </c>
      <c r="C35" s="105">
        <f t="shared" ref="C35:J35" si="7">SUM(C32:C34)</f>
        <v>0</v>
      </c>
      <c r="D35" s="105">
        <f t="shared" si="7"/>
        <v>0</v>
      </c>
      <c r="E35" s="105">
        <f t="shared" si="7"/>
        <v>0</v>
      </c>
      <c r="F35" s="105">
        <f t="shared" si="7"/>
        <v>0</v>
      </c>
      <c r="G35" s="105">
        <f t="shared" si="7"/>
        <v>-7796237</v>
      </c>
      <c r="H35" s="105">
        <f t="shared" si="7"/>
        <v>7796237</v>
      </c>
      <c r="I35" s="105">
        <f t="shared" si="1"/>
        <v>0</v>
      </c>
      <c r="J35" s="105">
        <f t="shared" si="7"/>
        <v>0</v>
      </c>
      <c r="K35" s="105">
        <f t="shared" si="2"/>
        <v>0</v>
      </c>
      <c r="L35" s="92"/>
    </row>
    <row r="36" spans="1:13">
      <c r="A36" s="102"/>
      <c r="B36" s="64"/>
      <c r="C36" s="64"/>
      <c r="D36" s="64"/>
      <c r="E36" s="64"/>
      <c r="F36" s="64"/>
      <c r="G36" s="63"/>
      <c r="H36" s="63"/>
      <c r="I36" s="63"/>
      <c r="J36" s="63"/>
      <c r="K36" s="63"/>
      <c r="L36" s="92"/>
    </row>
    <row r="37" spans="1:13" ht="15.75" thickBot="1">
      <c r="A37" s="102" t="s">
        <v>236</v>
      </c>
      <c r="B37" s="110">
        <f>B24+B30+B35</f>
        <v>100000</v>
      </c>
      <c r="C37" s="110">
        <f t="shared" ref="C37:J37" si="8">C24+C30+C35</f>
        <v>0</v>
      </c>
      <c r="D37" s="110">
        <f t="shared" si="8"/>
        <v>0</v>
      </c>
      <c r="E37" s="110">
        <f t="shared" si="8"/>
        <v>0</v>
      </c>
      <c r="F37" s="110">
        <f t="shared" si="8"/>
        <v>0</v>
      </c>
      <c r="G37" s="110">
        <f t="shared" si="8"/>
        <v>-16587993.430000003</v>
      </c>
      <c r="H37" s="110">
        <f t="shared" si="8"/>
        <v>-401896</v>
      </c>
      <c r="I37" s="110">
        <f t="shared" si="1"/>
        <v>-16889889.430000003</v>
      </c>
      <c r="J37" s="110">
        <f t="shared" si="8"/>
        <v>0</v>
      </c>
      <c r="K37" s="110">
        <f t="shared" si="2"/>
        <v>-16889889.430000003</v>
      </c>
      <c r="L37" s="92"/>
      <c r="M37" s="113">
        <f>K37-BK!B109</f>
        <v>0.17999999597668648</v>
      </c>
    </row>
    <row r="38" spans="1:13" ht="15.75" thickTop="1">
      <c r="B38" s="112"/>
      <c r="C38" s="112"/>
      <c r="D38" s="112"/>
      <c r="E38" s="112"/>
      <c r="F38" s="112"/>
      <c r="G38" s="113"/>
      <c r="H38" s="113"/>
      <c r="I38" s="113"/>
      <c r="J38" s="113"/>
      <c r="K38" s="113"/>
      <c r="L38" s="92"/>
      <c r="M38" s="113"/>
    </row>
    <row r="39" spans="1:13">
      <c r="B39" s="92"/>
      <c r="C39" s="92"/>
      <c r="D39" s="92"/>
      <c r="E39" s="92"/>
      <c r="F39" s="92"/>
      <c r="L39" s="92"/>
    </row>
    <row r="40" spans="1:13">
      <c r="B40" s="92"/>
      <c r="C40" s="92"/>
      <c r="D40" s="92"/>
      <c r="E40" s="92"/>
      <c r="F40" s="92"/>
      <c r="L40" s="92"/>
    </row>
    <row r="41" spans="1:13">
      <c r="B41" s="92"/>
      <c r="C41" s="92"/>
      <c r="D41" s="92"/>
      <c r="E41" s="92"/>
      <c r="F41" s="92"/>
    </row>
  </sheetData>
  <pageMargins left="0.7" right="0.7" top="0.75" bottom="0.75" header="0.3" footer="0.3"/>
  <pageSetup paperSize="9" scale="57" orientation="landscape" horizontalDpi="4294967294" verticalDpi="4294967294" r:id="rId1"/>
  <colBreaks count="1" manualBreakCount="1">
    <brk id="11" max="1048575" man="1"/>
  </colBreaks>
  <ignoredErrors>
    <ignoredError sqref="I17 I22:I39 I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K188"/>
  <sheetViews>
    <sheetView topLeftCell="B77" workbookViewId="0">
      <selection activeCell="B94" sqref="A94:XFD95"/>
    </sheetView>
  </sheetViews>
  <sheetFormatPr defaultColWidth="6.5703125" defaultRowHeight="15"/>
  <cols>
    <col min="1" max="1" width="6.5703125" style="163" customWidth="1"/>
    <col min="2" max="2" width="39" style="163" customWidth="1"/>
    <col min="3" max="3" width="21.28515625" style="163" customWidth="1"/>
    <col min="4" max="4" width="3.85546875" style="163" customWidth="1"/>
    <col min="5" max="5" width="21.7109375" style="163" customWidth="1"/>
    <col min="6" max="6" width="6.5703125" style="163"/>
    <col min="7" max="7" width="18.7109375" style="163" bestFit="1" customWidth="1"/>
    <col min="8" max="8" width="6.5703125" style="163"/>
    <col min="9" max="10" width="12.140625" style="163" bestFit="1" customWidth="1"/>
    <col min="11" max="256" width="6.5703125" style="163"/>
    <col min="257" max="257" width="6.5703125" style="163" customWidth="1"/>
    <col min="258" max="258" width="38.7109375" style="163" customWidth="1"/>
    <col min="259" max="259" width="19.5703125" style="163" customWidth="1"/>
    <col min="260" max="260" width="6.5703125" style="163" customWidth="1"/>
    <col min="261" max="261" width="18" style="163" customWidth="1"/>
    <col min="262" max="262" width="6.5703125" style="163"/>
    <col min="263" max="263" width="12.85546875" style="163" bestFit="1" customWidth="1"/>
    <col min="264" max="264" width="6.5703125" style="163"/>
    <col min="265" max="266" width="12.140625" style="163" bestFit="1" customWidth="1"/>
    <col min="267" max="512" width="6.5703125" style="163"/>
    <col min="513" max="513" width="6.5703125" style="163" customWidth="1"/>
    <col min="514" max="514" width="38.7109375" style="163" customWidth="1"/>
    <col min="515" max="515" width="19.5703125" style="163" customWidth="1"/>
    <col min="516" max="516" width="6.5703125" style="163" customWidth="1"/>
    <col min="517" max="517" width="18" style="163" customWidth="1"/>
    <col min="518" max="518" width="6.5703125" style="163"/>
    <col min="519" max="519" width="12.85546875" style="163" bestFit="1" customWidth="1"/>
    <col min="520" max="520" width="6.5703125" style="163"/>
    <col min="521" max="522" width="12.140625" style="163" bestFit="1" customWidth="1"/>
    <col min="523" max="768" width="6.5703125" style="163"/>
    <col min="769" max="769" width="6.5703125" style="163" customWidth="1"/>
    <col min="770" max="770" width="38.7109375" style="163" customWidth="1"/>
    <col min="771" max="771" width="19.5703125" style="163" customWidth="1"/>
    <col min="772" max="772" width="6.5703125" style="163" customWidth="1"/>
    <col min="773" max="773" width="18" style="163" customWidth="1"/>
    <col min="774" max="774" width="6.5703125" style="163"/>
    <col min="775" max="775" width="12.85546875" style="163" bestFit="1" customWidth="1"/>
    <col min="776" max="776" width="6.5703125" style="163"/>
    <col min="777" max="778" width="12.140625" style="163" bestFit="1" customWidth="1"/>
    <col min="779" max="1024" width="6.5703125" style="163"/>
    <col min="1025" max="1025" width="6.5703125" style="163" customWidth="1"/>
    <col min="1026" max="1026" width="38.7109375" style="163" customWidth="1"/>
    <col min="1027" max="1027" width="19.5703125" style="163" customWidth="1"/>
    <col min="1028" max="1028" width="6.5703125" style="163" customWidth="1"/>
    <col min="1029" max="1029" width="18" style="163" customWidth="1"/>
    <col min="1030" max="1030" width="6.5703125" style="163"/>
    <col min="1031" max="1031" width="12.85546875" style="163" bestFit="1" customWidth="1"/>
    <col min="1032" max="1032" width="6.5703125" style="163"/>
    <col min="1033" max="1034" width="12.140625" style="163" bestFit="1" customWidth="1"/>
    <col min="1035" max="1280" width="6.5703125" style="163"/>
    <col min="1281" max="1281" width="6.5703125" style="163" customWidth="1"/>
    <col min="1282" max="1282" width="38.7109375" style="163" customWidth="1"/>
    <col min="1283" max="1283" width="19.5703125" style="163" customWidth="1"/>
    <col min="1284" max="1284" width="6.5703125" style="163" customWidth="1"/>
    <col min="1285" max="1285" width="18" style="163" customWidth="1"/>
    <col min="1286" max="1286" width="6.5703125" style="163"/>
    <col min="1287" max="1287" width="12.85546875" style="163" bestFit="1" customWidth="1"/>
    <col min="1288" max="1288" width="6.5703125" style="163"/>
    <col min="1289" max="1290" width="12.140625" style="163" bestFit="1" customWidth="1"/>
    <col min="1291" max="1536" width="6.5703125" style="163"/>
    <col min="1537" max="1537" width="6.5703125" style="163" customWidth="1"/>
    <col min="1538" max="1538" width="38.7109375" style="163" customWidth="1"/>
    <col min="1539" max="1539" width="19.5703125" style="163" customWidth="1"/>
    <col min="1540" max="1540" width="6.5703125" style="163" customWidth="1"/>
    <col min="1541" max="1541" width="18" style="163" customWidth="1"/>
    <col min="1542" max="1542" width="6.5703125" style="163"/>
    <col min="1543" max="1543" width="12.85546875" style="163" bestFit="1" customWidth="1"/>
    <col min="1544" max="1544" width="6.5703125" style="163"/>
    <col min="1545" max="1546" width="12.140625" style="163" bestFit="1" customWidth="1"/>
    <col min="1547" max="1792" width="6.5703125" style="163"/>
    <col min="1793" max="1793" width="6.5703125" style="163" customWidth="1"/>
    <col min="1794" max="1794" width="38.7109375" style="163" customWidth="1"/>
    <col min="1795" max="1795" width="19.5703125" style="163" customWidth="1"/>
    <col min="1796" max="1796" width="6.5703125" style="163" customWidth="1"/>
    <col min="1797" max="1797" width="18" style="163" customWidth="1"/>
    <col min="1798" max="1798" width="6.5703125" style="163"/>
    <col min="1799" max="1799" width="12.85546875" style="163" bestFit="1" customWidth="1"/>
    <col min="1800" max="1800" width="6.5703125" style="163"/>
    <col min="1801" max="1802" width="12.140625" style="163" bestFit="1" customWidth="1"/>
    <col min="1803" max="2048" width="6.5703125" style="163"/>
    <col min="2049" max="2049" width="6.5703125" style="163" customWidth="1"/>
    <col min="2050" max="2050" width="38.7109375" style="163" customWidth="1"/>
    <col min="2051" max="2051" width="19.5703125" style="163" customWidth="1"/>
    <col min="2052" max="2052" width="6.5703125" style="163" customWidth="1"/>
    <col min="2053" max="2053" width="18" style="163" customWidth="1"/>
    <col min="2054" max="2054" width="6.5703125" style="163"/>
    <col min="2055" max="2055" width="12.85546875" style="163" bestFit="1" customWidth="1"/>
    <col min="2056" max="2056" width="6.5703125" style="163"/>
    <col min="2057" max="2058" width="12.140625" style="163" bestFit="1" customWidth="1"/>
    <col min="2059" max="2304" width="6.5703125" style="163"/>
    <col min="2305" max="2305" width="6.5703125" style="163" customWidth="1"/>
    <col min="2306" max="2306" width="38.7109375" style="163" customWidth="1"/>
    <col min="2307" max="2307" width="19.5703125" style="163" customWidth="1"/>
    <col min="2308" max="2308" width="6.5703125" style="163" customWidth="1"/>
    <col min="2309" max="2309" width="18" style="163" customWidth="1"/>
    <col min="2310" max="2310" width="6.5703125" style="163"/>
    <col min="2311" max="2311" width="12.85546875" style="163" bestFit="1" customWidth="1"/>
    <col min="2312" max="2312" width="6.5703125" style="163"/>
    <col min="2313" max="2314" width="12.140625" style="163" bestFit="1" customWidth="1"/>
    <col min="2315" max="2560" width="6.5703125" style="163"/>
    <col min="2561" max="2561" width="6.5703125" style="163" customWidth="1"/>
    <col min="2562" max="2562" width="38.7109375" style="163" customWidth="1"/>
    <col min="2563" max="2563" width="19.5703125" style="163" customWidth="1"/>
    <col min="2564" max="2564" width="6.5703125" style="163" customWidth="1"/>
    <col min="2565" max="2565" width="18" style="163" customWidth="1"/>
    <col min="2566" max="2566" width="6.5703125" style="163"/>
    <col min="2567" max="2567" width="12.85546875" style="163" bestFit="1" customWidth="1"/>
    <col min="2568" max="2568" width="6.5703125" style="163"/>
    <col min="2569" max="2570" width="12.140625" style="163" bestFit="1" customWidth="1"/>
    <col min="2571" max="2816" width="6.5703125" style="163"/>
    <col min="2817" max="2817" width="6.5703125" style="163" customWidth="1"/>
    <col min="2818" max="2818" width="38.7109375" style="163" customWidth="1"/>
    <col min="2819" max="2819" width="19.5703125" style="163" customWidth="1"/>
    <col min="2820" max="2820" width="6.5703125" style="163" customWidth="1"/>
    <col min="2821" max="2821" width="18" style="163" customWidth="1"/>
    <col min="2822" max="2822" width="6.5703125" style="163"/>
    <col min="2823" max="2823" width="12.85546875" style="163" bestFit="1" customWidth="1"/>
    <col min="2824" max="2824" width="6.5703125" style="163"/>
    <col min="2825" max="2826" width="12.140625" style="163" bestFit="1" customWidth="1"/>
    <col min="2827" max="3072" width="6.5703125" style="163"/>
    <col min="3073" max="3073" width="6.5703125" style="163" customWidth="1"/>
    <col min="3074" max="3074" width="38.7109375" style="163" customWidth="1"/>
    <col min="3075" max="3075" width="19.5703125" style="163" customWidth="1"/>
    <col min="3076" max="3076" width="6.5703125" style="163" customWidth="1"/>
    <col min="3077" max="3077" width="18" style="163" customWidth="1"/>
    <col min="3078" max="3078" width="6.5703125" style="163"/>
    <col min="3079" max="3079" width="12.85546875" style="163" bestFit="1" customWidth="1"/>
    <col min="3080" max="3080" width="6.5703125" style="163"/>
    <col min="3081" max="3082" width="12.140625" style="163" bestFit="1" customWidth="1"/>
    <col min="3083" max="3328" width="6.5703125" style="163"/>
    <col min="3329" max="3329" width="6.5703125" style="163" customWidth="1"/>
    <col min="3330" max="3330" width="38.7109375" style="163" customWidth="1"/>
    <col min="3331" max="3331" width="19.5703125" style="163" customWidth="1"/>
    <col min="3332" max="3332" width="6.5703125" style="163" customWidth="1"/>
    <col min="3333" max="3333" width="18" style="163" customWidth="1"/>
    <col min="3334" max="3334" width="6.5703125" style="163"/>
    <col min="3335" max="3335" width="12.85546875" style="163" bestFit="1" customWidth="1"/>
    <col min="3336" max="3336" width="6.5703125" style="163"/>
    <col min="3337" max="3338" width="12.140625" style="163" bestFit="1" customWidth="1"/>
    <col min="3339" max="3584" width="6.5703125" style="163"/>
    <col min="3585" max="3585" width="6.5703125" style="163" customWidth="1"/>
    <col min="3586" max="3586" width="38.7109375" style="163" customWidth="1"/>
    <col min="3587" max="3587" width="19.5703125" style="163" customWidth="1"/>
    <col min="3588" max="3588" width="6.5703125" style="163" customWidth="1"/>
    <col min="3589" max="3589" width="18" style="163" customWidth="1"/>
    <col min="3590" max="3590" width="6.5703125" style="163"/>
    <col min="3591" max="3591" width="12.85546875" style="163" bestFit="1" customWidth="1"/>
    <col min="3592" max="3592" width="6.5703125" style="163"/>
    <col min="3593" max="3594" width="12.140625" style="163" bestFit="1" customWidth="1"/>
    <col min="3595" max="3840" width="6.5703125" style="163"/>
    <col min="3841" max="3841" width="6.5703125" style="163" customWidth="1"/>
    <col min="3842" max="3842" width="38.7109375" style="163" customWidth="1"/>
    <col min="3843" max="3843" width="19.5703125" style="163" customWidth="1"/>
    <col min="3844" max="3844" width="6.5703125" style="163" customWidth="1"/>
    <col min="3845" max="3845" width="18" style="163" customWidth="1"/>
    <col min="3846" max="3846" width="6.5703125" style="163"/>
    <col min="3847" max="3847" width="12.85546875" style="163" bestFit="1" customWidth="1"/>
    <col min="3848" max="3848" width="6.5703125" style="163"/>
    <col min="3849" max="3850" width="12.140625" style="163" bestFit="1" customWidth="1"/>
    <col min="3851" max="4096" width="6.5703125" style="163"/>
    <col min="4097" max="4097" width="6.5703125" style="163" customWidth="1"/>
    <col min="4098" max="4098" width="38.7109375" style="163" customWidth="1"/>
    <col min="4099" max="4099" width="19.5703125" style="163" customWidth="1"/>
    <col min="4100" max="4100" width="6.5703125" style="163" customWidth="1"/>
    <col min="4101" max="4101" width="18" style="163" customWidth="1"/>
    <col min="4102" max="4102" width="6.5703125" style="163"/>
    <col min="4103" max="4103" width="12.85546875" style="163" bestFit="1" customWidth="1"/>
    <col min="4104" max="4104" width="6.5703125" style="163"/>
    <col min="4105" max="4106" width="12.140625" style="163" bestFit="1" customWidth="1"/>
    <col min="4107" max="4352" width="6.5703125" style="163"/>
    <col min="4353" max="4353" width="6.5703125" style="163" customWidth="1"/>
    <col min="4354" max="4354" width="38.7109375" style="163" customWidth="1"/>
    <col min="4355" max="4355" width="19.5703125" style="163" customWidth="1"/>
    <col min="4356" max="4356" width="6.5703125" style="163" customWidth="1"/>
    <col min="4357" max="4357" width="18" style="163" customWidth="1"/>
    <col min="4358" max="4358" width="6.5703125" style="163"/>
    <col min="4359" max="4359" width="12.85546875" style="163" bestFit="1" customWidth="1"/>
    <col min="4360" max="4360" width="6.5703125" style="163"/>
    <col min="4361" max="4362" width="12.140625" style="163" bestFit="1" customWidth="1"/>
    <col min="4363" max="4608" width="6.5703125" style="163"/>
    <col min="4609" max="4609" width="6.5703125" style="163" customWidth="1"/>
    <col min="4610" max="4610" width="38.7109375" style="163" customWidth="1"/>
    <col min="4611" max="4611" width="19.5703125" style="163" customWidth="1"/>
    <col min="4612" max="4612" width="6.5703125" style="163" customWidth="1"/>
    <col min="4613" max="4613" width="18" style="163" customWidth="1"/>
    <col min="4614" max="4614" width="6.5703125" style="163"/>
    <col min="4615" max="4615" width="12.85546875" style="163" bestFit="1" customWidth="1"/>
    <col min="4616" max="4616" width="6.5703125" style="163"/>
    <col min="4617" max="4618" width="12.140625" style="163" bestFit="1" customWidth="1"/>
    <col min="4619" max="4864" width="6.5703125" style="163"/>
    <col min="4865" max="4865" width="6.5703125" style="163" customWidth="1"/>
    <col min="4866" max="4866" width="38.7109375" style="163" customWidth="1"/>
    <col min="4867" max="4867" width="19.5703125" style="163" customWidth="1"/>
    <col min="4868" max="4868" width="6.5703125" style="163" customWidth="1"/>
    <col min="4869" max="4869" width="18" style="163" customWidth="1"/>
    <col min="4870" max="4870" width="6.5703125" style="163"/>
    <col min="4871" max="4871" width="12.85546875" style="163" bestFit="1" customWidth="1"/>
    <col min="4872" max="4872" width="6.5703125" style="163"/>
    <col min="4873" max="4874" width="12.140625" style="163" bestFit="1" customWidth="1"/>
    <col min="4875" max="5120" width="6.5703125" style="163"/>
    <col min="5121" max="5121" width="6.5703125" style="163" customWidth="1"/>
    <col min="5122" max="5122" width="38.7109375" style="163" customWidth="1"/>
    <col min="5123" max="5123" width="19.5703125" style="163" customWidth="1"/>
    <col min="5124" max="5124" width="6.5703125" style="163" customWidth="1"/>
    <col min="5125" max="5125" width="18" style="163" customWidth="1"/>
    <col min="5126" max="5126" width="6.5703125" style="163"/>
    <col min="5127" max="5127" width="12.85546875" style="163" bestFit="1" customWidth="1"/>
    <col min="5128" max="5128" width="6.5703125" style="163"/>
    <col min="5129" max="5130" width="12.140625" style="163" bestFit="1" customWidth="1"/>
    <col min="5131" max="5376" width="6.5703125" style="163"/>
    <col min="5377" max="5377" width="6.5703125" style="163" customWidth="1"/>
    <col min="5378" max="5378" width="38.7109375" style="163" customWidth="1"/>
    <col min="5379" max="5379" width="19.5703125" style="163" customWidth="1"/>
    <col min="5380" max="5380" width="6.5703125" style="163" customWidth="1"/>
    <col min="5381" max="5381" width="18" style="163" customWidth="1"/>
    <col min="5382" max="5382" width="6.5703125" style="163"/>
    <col min="5383" max="5383" width="12.85546875" style="163" bestFit="1" customWidth="1"/>
    <col min="5384" max="5384" width="6.5703125" style="163"/>
    <col min="5385" max="5386" width="12.140625" style="163" bestFit="1" customWidth="1"/>
    <col min="5387" max="5632" width="6.5703125" style="163"/>
    <col min="5633" max="5633" width="6.5703125" style="163" customWidth="1"/>
    <col min="5634" max="5634" width="38.7109375" style="163" customWidth="1"/>
    <col min="5635" max="5635" width="19.5703125" style="163" customWidth="1"/>
    <col min="5636" max="5636" width="6.5703125" style="163" customWidth="1"/>
    <col min="5637" max="5637" width="18" style="163" customWidth="1"/>
    <col min="5638" max="5638" width="6.5703125" style="163"/>
    <col min="5639" max="5639" width="12.85546875" style="163" bestFit="1" customWidth="1"/>
    <col min="5640" max="5640" width="6.5703125" style="163"/>
    <col min="5641" max="5642" width="12.140625" style="163" bestFit="1" customWidth="1"/>
    <col min="5643" max="5888" width="6.5703125" style="163"/>
    <col min="5889" max="5889" width="6.5703125" style="163" customWidth="1"/>
    <col min="5890" max="5890" width="38.7109375" style="163" customWidth="1"/>
    <col min="5891" max="5891" width="19.5703125" style="163" customWidth="1"/>
    <col min="5892" max="5892" width="6.5703125" style="163" customWidth="1"/>
    <col min="5893" max="5893" width="18" style="163" customWidth="1"/>
    <col min="5894" max="5894" width="6.5703125" style="163"/>
    <col min="5895" max="5895" width="12.85546875" style="163" bestFit="1" customWidth="1"/>
    <col min="5896" max="5896" width="6.5703125" style="163"/>
    <col min="5897" max="5898" width="12.140625" style="163" bestFit="1" customWidth="1"/>
    <col min="5899" max="6144" width="6.5703125" style="163"/>
    <col min="6145" max="6145" width="6.5703125" style="163" customWidth="1"/>
    <col min="6146" max="6146" width="38.7109375" style="163" customWidth="1"/>
    <col min="6147" max="6147" width="19.5703125" style="163" customWidth="1"/>
    <col min="6148" max="6148" width="6.5703125" style="163" customWidth="1"/>
    <col min="6149" max="6149" width="18" style="163" customWidth="1"/>
    <col min="6150" max="6150" width="6.5703125" style="163"/>
    <col min="6151" max="6151" width="12.85546875" style="163" bestFit="1" customWidth="1"/>
    <col min="6152" max="6152" width="6.5703125" style="163"/>
    <col min="6153" max="6154" width="12.140625" style="163" bestFit="1" customWidth="1"/>
    <col min="6155" max="6400" width="6.5703125" style="163"/>
    <col min="6401" max="6401" width="6.5703125" style="163" customWidth="1"/>
    <col min="6402" max="6402" width="38.7109375" style="163" customWidth="1"/>
    <col min="6403" max="6403" width="19.5703125" style="163" customWidth="1"/>
    <col min="6404" max="6404" width="6.5703125" style="163" customWidth="1"/>
    <col min="6405" max="6405" width="18" style="163" customWidth="1"/>
    <col min="6406" max="6406" width="6.5703125" style="163"/>
    <col min="6407" max="6407" width="12.85546875" style="163" bestFit="1" customWidth="1"/>
    <col min="6408" max="6408" width="6.5703125" style="163"/>
    <col min="6409" max="6410" width="12.140625" style="163" bestFit="1" customWidth="1"/>
    <col min="6411" max="6656" width="6.5703125" style="163"/>
    <col min="6657" max="6657" width="6.5703125" style="163" customWidth="1"/>
    <col min="6658" max="6658" width="38.7109375" style="163" customWidth="1"/>
    <col min="6659" max="6659" width="19.5703125" style="163" customWidth="1"/>
    <col min="6660" max="6660" width="6.5703125" style="163" customWidth="1"/>
    <col min="6661" max="6661" width="18" style="163" customWidth="1"/>
    <col min="6662" max="6662" width="6.5703125" style="163"/>
    <col min="6663" max="6663" width="12.85546875" style="163" bestFit="1" customWidth="1"/>
    <col min="6664" max="6664" width="6.5703125" style="163"/>
    <col min="6665" max="6666" width="12.140625" style="163" bestFit="1" customWidth="1"/>
    <col min="6667" max="6912" width="6.5703125" style="163"/>
    <col min="6913" max="6913" width="6.5703125" style="163" customWidth="1"/>
    <col min="6914" max="6914" width="38.7109375" style="163" customWidth="1"/>
    <col min="6915" max="6915" width="19.5703125" style="163" customWidth="1"/>
    <col min="6916" max="6916" width="6.5703125" style="163" customWidth="1"/>
    <col min="6917" max="6917" width="18" style="163" customWidth="1"/>
    <col min="6918" max="6918" width="6.5703125" style="163"/>
    <col min="6919" max="6919" width="12.85546875" style="163" bestFit="1" customWidth="1"/>
    <col min="6920" max="6920" width="6.5703125" style="163"/>
    <col min="6921" max="6922" width="12.140625" style="163" bestFit="1" customWidth="1"/>
    <col min="6923" max="7168" width="6.5703125" style="163"/>
    <col min="7169" max="7169" width="6.5703125" style="163" customWidth="1"/>
    <col min="7170" max="7170" width="38.7109375" style="163" customWidth="1"/>
    <col min="7171" max="7171" width="19.5703125" style="163" customWidth="1"/>
    <col min="7172" max="7172" width="6.5703125" style="163" customWidth="1"/>
    <col min="7173" max="7173" width="18" style="163" customWidth="1"/>
    <col min="7174" max="7174" width="6.5703125" style="163"/>
    <col min="7175" max="7175" width="12.85546875" style="163" bestFit="1" customWidth="1"/>
    <col min="7176" max="7176" width="6.5703125" style="163"/>
    <col min="7177" max="7178" width="12.140625" style="163" bestFit="1" customWidth="1"/>
    <col min="7179" max="7424" width="6.5703125" style="163"/>
    <col min="7425" max="7425" width="6.5703125" style="163" customWidth="1"/>
    <col min="7426" max="7426" width="38.7109375" style="163" customWidth="1"/>
    <col min="7427" max="7427" width="19.5703125" style="163" customWidth="1"/>
    <col min="7428" max="7428" width="6.5703125" style="163" customWidth="1"/>
    <col min="7429" max="7429" width="18" style="163" customWidth="1"/>
    <col min="7430" max="7430" width="6.5703125" style="163"/>
    <col min="7431" max="7431" width="12.85546875" style="163" bestFit="1" customWidth="1"/>
    <col min="7432" max="7432" width="6.5703125" style="163"/>
    <col min="7433" max="7434" width="12.140625" style="163" bestFit="1" customWidth="1"/>
    <col min="7435" max="7680" width="6.5703125" style="163"/>
    <col min="7681" max="7681" width="6.5703125" style="163" customWidth="1"/>
    <col min="7682" max="7682" width="38.7109375" style="163" customWidth="1"/>
    <col min="7683" max="7683" width="19.5703125" style="163" customWidth="1"/>
    <col min="7684" max="7684" width="6.5703125" style="163" customWidth="1"/>
    <col min="7685" max="7685" width="18" style="163" customWidth="1"/>
    <col min="7686" max="7686" width="6.5703125" style="163"/>
    <col min="7687" max="7687" width="12.85546875" style="163" bestFit="1" customWidth="1"/>
    <col min="7688" max="7688" width="6.5703125" style="163"/>
    <col min="7689" max="7690" width="12.140625" style="163" bestFit="1" customWidth="1"/>
    <col min="7691" max="7936" width="6.5703125" style="163"/>
    <col min="7937" max="7937" width="6.5703125" style="163" customWidth="1"/>
    <col min="7938" max="7938" width="38.7109375" style="163" customWidth="1"/>
    <col min="7939" max="7939" width="19.5703125" style="163" customWidth="1"/>
    <col min="7940" max="7940" width="6.5703125" style="163" customWidth="1"/>
    <col min="7941" max="7941" width="18" style="163" customWidth="1"/>
    <col min="7942" max="7942" width="6.5703125" style="163"/>
    <col min="7943" max="7943" width="12.85546875" style="163" bestFit="1" customWidth="1"/>
    <col min="7944" max="7944" width="6.5703125" style="163"/>
    <col min="7945" max="7946" width="12.140625" style="163" bestFit="1" customWidth="1"/>
    <col min="7947" max="8192" width="6.5703125" style="163"/>
    <col min="8193" max="8193" width="6.5703125" style="163" customWidth="1"/>
    <col min="8194" max="8194" width="38.7109375" style="163" customWidth="1"/>
    <col min="8195" max="8195" width="19.5703125" style="163" customWidth="1"/>
    <col min="8196" max="8196" width="6.5703125" style="163" customWidth="1"/>
    <col min="8197" max="8197" width="18" style="163" customWidth="1"/>
    <col min="8198" max="8198" width="6.5703125" style="163"/>
    <col min="8199" max="8199" width="12.85546875" style="163" bestFit="1" customWidth="1"/>
    <col min="8200" max="8200" width="6.5703125" style="163"/>
    <col min="8201" max="8202" width="12.140625" style="163" bestFit="1" customWidth="1"/>
    <col min="8203" max="8448" width="6.5703125" style="163"/>
    <col min="8449" max="8449" width="6.5703125" style="163" customWidth="1"/>
    <col min="8450" max="8450" width="38.7109375" style="163" customWidth="1"/>
    <col min="8451" max="8451" width="19.5703125" style="163" customWidth="1"/>
    <col min="8452" max="8452" width="6.5703125" style="163" customWidth="1"/>
    <col min="8453" max="8453" width="18" style="163" customWidth="1"/>
    <col min="8454" max="8454" width="6.5703125" style="163"/>
    <col min="8455" max="8455" width="12.85546875" style="163" bestFit="1" customWidth="1"/>
    <col min="8456" max="8456" width="6.5703125" style="163"/>
    <col min="8457" max="8458" width="12.140625" style="163" bestFit="1" customWidth="1"/>
    <col min="8459" max="8704" width="6.5703125" style="163"/>
    <col min="8705" max="8705" width="6.5703125" style="163" customWidth="1"/>
    <col min="8706" max="8706" width="38.7109375" style="163" customWidth="1"/>
    <col min="8707" max="8707" width="19.5703125" style="163" customWidth="1"/>
    <col min="8708" max="8708" width="6.5703125" style="163" customWidth="1"/>
    <col min="8709" max="8709" width="18" style="163" customWidth="1"/>
    <col min="8710" max="8710" width="6.5703125" style="163"/>
    <col min="8711" max="8711" width="12.85546875" style="163" bestFit="1" customWidth="1"/>
    <col min="8712" max="8712" width="6.5703125" style="163"/>
    <col min="8713" max="8714" width="12.140625" style="163" bestFit="1" customWidth="1"/>
    <col min="8715" max="8960" width="6.5703125" style="163"/>
    <col min="8961" max="8961" width="6.5703125" style="163" customWidth="1"/>
    <col min="8962" max="8962" width="38.7109375" style="163" customWidth="1"/>
    <col min="8963" max="8963" width="19.5703125" style="163" customWidth="1"/>
    <col min="8964" max="8964" width="6.5703125" style="163" customWidth="1"/>
    <col min="8965" max="8965" width="18" style="163" customWidth="1"/>
    <col min="8966" max="8966" width="6.5703125" style="163"/>
    <col min="8967" max="8967" width="12.85546875" style="163" bestFit="1" customWidth="1"/>
    <col min="8968" max="8968" width="6.5703125" style="163"/>
    <col min="8969" max="8970" width="12.140625" style="163" bestFit="1" customWidth="1"/>
    <col min="8971" max="9216" width="6.5703125" style="163"/>
    <col min="9217" max="9217" width="6.5703125" style="163" customWidth="1"/>
    <col min="9218" max="9218" width="38.7109375" style="163" customWidth="1"/>
    <col min="9219" max="9219" width="19.5703125" style="163" customWidth="1"/>
    <col min="9220" max="9220" width="6.5703125" style="163" customWidth="1"/>
    <col min="9221" max="9221" width="18" style="163" customWidth="1"/>
    <col min="9222" max="9222" width="6.5703125" style="163"/>
    <col min="9223" max="9223" width="12.85546875" style="163" bestFit="1" customWidth="1"/>
    <col min="9224" max="9224" width="6.5703125" style="163"/>
    <col min="9225" max="9226" width="12.140625" style="163" bestFit="1" customWidth="1"/>
    <col min="9227" max="9472" width="6.5703125" style="163"/>
    <col min="9473" max="9473" width="6.5703125" style="163" customWidth="1"/>
    <col min="9474" max="9474" width="38.7109375" style="163" customWidth="1"/>
    <col min="9475" max="9475" width="19.5703125" style="163" customWidth="1"/>
    <col min="9476" max="9476" width="6.5703125" style="163" customWidth="1"/>
    <col min="9477" max="9477" width="18" style="163" customWidth="1"/>
    <col min="9478" max="9478" width="6.5703125" style="163"/>
    <col min="9479" max="9479" width="12.85546875" style="163" bestFit="1" customWidth="1"/>
    <col min="9480" max="9480" width="6.5703125" style="163"/>
    <col min="9481" max="9482" width="12.140625" style="163" bestFit="1" customWidth="1"/>
    <col min="9483" max="9728" width="6.5703125" style="163"/>
    <col min="9729" max="9729" width="6.5703125" style="163" customWidth="1"/>
    <col min="9730" max="9730" width="38.7109375" style="163" customWidth="1"/>
    <col min="9731" max="9731" width="19.5703125" style="163" customWidth="1"/>
    <col min="9732" max="9732" width="6.5703125" style="163" customWidth="1"/>
    <col min="9733" max="9733" width="18" style="163" customWidth="1"/>
    <col min="9734" max="9734" width="6.5703125" style="163"/>
    <col min="9735" max="9735" width="12.85546875" style="163" bestFit="1" customWidth="1"/>
    <col min="9736" max="9736" width="6.5703125" style="163"/>
    <col min="9737" max="9738" width="12.140625" style="163" bestFit="1" customWidth="1"/>
    <col min="9739" max="9984" width="6.5703125" style="163"/>
    <col min="9985" max="9985" width="6.5703125" style="163" customWidth="1"/>
    <col min="9986" max="9986" width="38.7109375" style="163" customWidth="1"/>
    <col min="9987" max="9987" width="19.5703125" style="163" customWidth="1"/>
    <col min="9988" max="9988" width="6.5703125" style="163" customWidth="1"/>
    <col min="9989" max="9989" width="18" style="163" customWidth="1"/>
    <col min="9990" max="9990" width="6.5703125" style="163"/>
    <col min="9991" max="9991" width="12.85546875" style="163" bestFit="1" customWidth="1"/>
    <col min="9992" max="9992" width="6.5703125" style="163"/>
    <col min="9993" max="9994" width="12.140625" style="163" bestFit="1" customWidth="1"/>
    <col min="9995" max="10240" width="6.5703125" style="163"/>
    <col min="10241" max="10241" width="6.5703125" style="163" customWidth="1"/>
    <col min="10242" max="10242" width="38.7109375" style="163" customWidth="1"/>
    <col min="10243" max="10243" width="19.5703125" style="163" customWidth="1"/>
    <col min="10244" max="10244" width="6.5703125" style="163" customWidth="1"/>
    <col min="10245" max="10245" width="18" style="163" customWidth="1"/>
    <col min="10246" max="10246" width="6.5703125" style="163"/>
    <col min="10247" max="10247" width="12.85546875" style="163" bestFit="1" customWidth="1"/>
    <col min="10248" max="10248" width="6.5703125" style="163"/>
    <col min="10249" max="10250" width="12.140625" style="163" bestFit="1" customWidth="1"/>
    <col min="10251" max="10496" width="6.5703125" style="163"/>
    <col min="10497" max="10497" width="6.5703125" style="163" customWidth="1"/>
    <col min="10498" max="10498" width="38.7109375" style="163" customWidth="1"/>
    <col min="10499" max="10499" width="19.5703125" style="163" customWidth="1"/>
    <col min="10500" max="10500" width="6.5703125" style="163" customWidth="1"/>
    <col min="10501" max="10501" width="18" style="163" customWidth="1"/>
    <col min="10502" max="10502" width="6.5703125" style="163"/>
    <col min="10503" max="10503" width="12.85546875" style="163" bestFit="1" customWidth="1"/>
    <col min="10504" max="10504" width="6.5703125" style="163"/>
    <col min="10505" max="10506" width="12.140625" style="163" bestFit="1" customWidth="1"/>
    <col min="10507" max="10752" width="6.5703125" style="163"/>
    <col min="10753" max="10753" width="6.5703125" style="163" customWidth="1"/>
    <col min="10754" max="10754" width="38.7109375" style="163" customWidth="1"/>
    <col min="10755" max="10755" width="19.5703125" style="163" customWidth="1"/>
    <col min="10756" max="10756" width="6.5703125" style="163" customWidth="1"/>
    <col min="10757" max="10757" width="18" style="163" customWidth="1"/>
    <col min="10758" max="10758" width="6.5703125" style="163"/>
    <col min="10759" max="10759" width="12.85546875" style="163" bestFit="1" customWidth="1"/>
    <col min="10760" max="10760" width="6.5703125" style="163"/>
    <col min="10761" max="10762" width="12.140625" style="163" bestFit="1" customWidth="1"/>
    <col min="10763" max="11008" width="6.5703125" style="163"/>
    <col min="11009" max="11009" width="6.5703125" style="163" customWidth="1"/>
    <col min="11010" max="11010" width="38.7109375" style="163" customWidth="1"/>
    <col min="11011" max="11011" width="19.5703125" style="163" customWidth="1"/>
    <col min="11012" max="11012" width="6.5703125" style="163" customWidth="1"/>
    <col min="11013" max="11013" width="18" style="163" customWidth="1"/>
    <col min="11014" max="11014" width="6.5703125" style="163"/>
    <col min="11015" max="11015" width="12.85546875" style="163" bestFit="1" customWidth="1"/>
    <col min="11016" max="11016" width="6.5703125" style="163"/>
    <col min="11017" max="11018" width="12.140625" style="163" bestFit="1" customWidth="1"/>
    <col min="11019" max="11264" width="6.5703125" style="163"/>
    <col min="11265" max="11265" width="6.5703125" style="163" customWidth="1"/>
    <col min="11266" max="11266" width="38.7109375" style="163" customWidth="1"/>
    <col min="11267" max="11267" width="19.5703125" style="163" customWidth="1"/>
    <col min="11268" max="11268" width="6.5703125" style="163" customWidth="1"/>
    <col min="11269" max="11269" width="18" style="163" customWidth="1"/>
    <col min="11270" max="11270" width="6.5703125" style="163"/>
    <col min="11271" max="11271" width="12.85546875" style="163" bestFit="1" customWidth="1"/>
    <col min="11272" max="11272" width="6.5703125" style="163"/>
    <col min="11273" max="11274" width="12.140625" style="163" bestFit="1" customWidth="1"/>
    <col min="11275" max="11520" width="6.5703125" style="163"/>
    <col min="11521" max="11521" width="6.5703125" style="163" customWidth="1"/>
    <col min="11522" max="11522" width="38.7109375" style="163" customWidth="1"/>
    <col min="11523" max="11523" width="19.5703125" style="163" customWidth="1"/>
    <col min="11524" max="11524" width="6.5703125" style="163" customWidth="1"/>
    <col min="11525" max="11525" width="18" style="163" customWidth="1"/>
    <col min="11526" max="11526" width="6.5703125" style="163"/>
    <col min="11527" max="11527" width="12.85546875" style="163" bestFit="1" customWidth="1"/>
    <col min="11528" max="11528" width="6.5703125" style="163"/>
    <col min="11529" max="11530" width="12.140625" style="163" bestFit="1" customWidth="1"/>
    <col min="11531" max="11776" width="6.5703125" style="163"/>
    <col min="11777" max="11777" width="6.5703125" style="163" customWidth="1"/>
    <col min="11778" max="11778" width="38.7109375" style="163" customWidth="1"/>
    <col min="11779" max="11779" width="19.5703125" style="163" customWidth="1"/>
    <col min="11780" max="11780" width="6.5703125" style="163" customWidth="1"/>
    <col min="11781" max="11781" width="18" style="163" customWidth="1"/>
    <col min="11782" max="11782" width="6.5703125" style="163"/>
    <col min="11783" max="11783" width="12.85546875" style="163" bestFit="1" customWidth="1"/>
    <col min="11784" max="11784" width="6.5703125" style="163"/>
    <col min="11785" max="11786" width="12.140625" style="163" bestFit="1" customWidth="1"/>
    <col min="11787" max="12032" width="6.5703125" style="163"/>
    <col min="12033" max="12033" width="6.5703125" style="163" customWidth="1"/>
    <col min="12034" max="12034" width="38.7109375" style="163" customWidth="1"/>
    <col min="12035" max="12035" width="19.5703125" style="163" customWidth="1"/>
    <col min="12036" max="12036" width="6.5703125" style="163" customWidth="1"/>
    <col min="12037" max="12037" width="18" style="163" customWidth="1"/>
    <col min="12038" max="12038" width="6.5703125" style="163"/>
    <col min="12039" max="12039" width="12.85546875" style="163" bestFit="1" customWidth="1"/>
    <col min="12040" max="12040" width="6.5703125" style="163"/>
    <col min="12041" max="12042" width="12.140625" style="163" bestFit="1" customWidth="1"/>
    <col min="12043" max="12288" width="6.5703125" style="163"/>
    <col min="12289" max="12289" width="6.5703125" style="163" customWidth="1"/>
    <col min="12290" max="12290" width="38.7109375" style="163" customWidth="1"/>
    <col min="12291" max="12291" width="19.5703125" style="163" customWidth="1"/>
    <col min="12292" max="12292" width="6.5703125" style="163" customWidth="1"/>
    <col min="12293" max="12293" width="18" style="163" customWidth="1"/>
    <col min="12294" max="12294" width="6.5703125" style="163"/>
    <col min="12295" max="12295" width="12.85546875" style="163" bestFit="1" customWidth="1"/>
    <col min="12296" max="12296" width="6.5703125" style="163"/>
    <col min="12297" max="12298" width="12.140625" style="163" bestFit="1" customWidth="1"/>
    <col min="12299" max="12544" width="6.5703125" style="163"/>
    <col min="12545" max="12545" width="6.5703125" style="163" customWidth="1"/>
    <col min="12546" max="12546" width="38.7109375" style="163" customWidth="1"/>
    <col min="12547" max="12547" width="19.5703125" style="163" customWidth="1"/>
    <col min="12548" max="12548" width="6.5703125" style="163" customWidth="1"/>
    <col min="12549" max="12549" width="18" style="163" customWidth="1"/>
    <col min="12550" max="12550" width="6.5703125" style="163"/>
    <col min="12551" max="12551" width="12.85546875" style="163" bestFit="1" customWidth="1"/>
    <col min="12552" max="12552" width="6.5703125" style="163"/>
    <col min="12553" max="12554" width="12.140625" style="163" bestFit="1" customWidth="1"/>
    <col min="12555" max="12800" width="6.5703125" style="163"/>
    <col min="12801" max="12801" width="6.5703125" style="163" customWidth="1"/>
    <col min="12802" max="12802" width="38.7109375" style="163" customWidth="1"/>
    <col min="12803" max="12803" width="19.5703125" style="163" customWidth="1"/>
    <col min="12804" max="12804" width="6.5703125" style="163" customWidth="1"/>
    <col min="12805" max="12805" width="18" style="163" customWidth="1"/>
    <col min="12806" max="12806" width="6.5703125" style="163"/>
    <col min="12807" max="12807" width="12.85546875" style="163" bestFit="1" customWidth="1"/>
    <col min="12808" max="12808" width="6.5703125" style="163"/>
    <col min="12809" max="12810" width="12.140625" style="163" bestFit="1" customWidth="1"/>
    <col min="12811" max="13056" width="6.5703125" style="163"/>
    <col min="13057" max="13057" width="6.5703125" style="163" customWidth="1"/>
    <col min="13058" max="13058" width="38.7109375" style="163" customWidth="1"/>
    <col min="13059" max="13059" width="19.5703125" style="163" customWidth="1"/>
    <col min="13060" max="13060" width="6.5703125" style="163" customWidth="1"/>
    <col min="13061" max="13061" width="18" style="163" customWidth="1"/>
    <col min="13062" max="13062" width="6.5703125" style="163"/>
    <col min="13063" max="13063" width="12.85546875" style="163" bestFit="1" customWidth="1"/>
    <col min="13064" max="13064" width="6.5703125" style="163"/>
    <col min="13065" max="13066" width="12.140625" style="163" bestFit="1" customWidth="1"/>
    <col min="13067" max="13312" width="6.5703125" style="163"/>
    <col min="13313" max="13313" width="6.5703125" style="163" customWidth="1"/>
    <col min="13314" max="13314" width="38.7109375" style="163" customWidth="1"/>
    <col min="13315" max="13315" width="19.5703125" style="163" customWidth="1"/>
    <col min="13316" max="13316" width="6.5703125" style="163" customWidth="1"/>
    <col min="13317" max="13317" width="18" style="163" customWidth="1"/>
    <col min="13318" max="13318" width="6.5703125" style="163"/>
    <col min="13319" max="13319" width="12.85546875" style="163" bestFit="1" customWidth="1"/>
    <col min="13320" max="13320" width="6.5703125" style="163"/>
    <col min="13321" max="13322" width="12.140625" style="163" bestFit="1" customWidth="1"/>
    <col min="13323" max="13568" width="6.5703125" style="163"/>
    <col min="13569" max="13569" width="6.5703125" style="163" customWidth="1"/>
    <col min="13570" max="13570" width="38.7109375" style="163" customWidth="1"/>
    <col min="13571" max="13571" width="19.5703125" style="163" customWidth="1"/>
    <col min="13572" max="13572" width="6.5703125" style="163" customWidth="1"/>
    <col min="13573" max="13573" width="18" style="163" customWidth="1"/>
    <col min="13574" max="13574" width="6.5703125" style="163"/>
    <col min="13575" max="13575" width="12.85546875" style="163" bestFit="1" customWidth="1"/>
    <col min="13576" max="13576" width="6.5703125" style="163"/>
    <col min="13577" max="13578" width="12.140625" style="163" bestFit="1" customWidth="1"/>
    <col min="13579" max="13824" width="6.5703125" style="163"/>
    <col min="13825" max="13825" width="6.5703125" style="163" customWidth="1"/>
    <col min="13826" max="13826" width="38.7109375" style="163" customWidth="1"/>
    <col min="13827" max="13827" width="19.5703125" style="163" customWidth="1"/>
    <col min="13828" max="13828" width="6.5703125" style="163" customWidth="1"/>
    <col min="13829" max="13829" width="18" style="163" customWidth="1"/>
    <col min="13830" max="13830" width="6.5703125" style="163"/>
    <col min="13831" max="13831" width="12.85546875" style="163" bestFit="1" customWidth="1"/>
    <col min="13832" max="13832" width="6.5703125" style="163"/>
    <col min="13833" max="13834" width="12.140625" style="163" bestFit="1" customWidth="1"/>
    <col min="13835" max="14080" width="6.5703125" style="163"/>
    <col min="14081" max="14081" width="6.5703125" style="163" customWidth="1"/>
    <col min="14082" max="14082" width="38.7109375" style="163" customWidth="1"/>
    <col min="14083" max="14083" width="19.5703125" style="163" customWidth="1"/>
    <col min="14084" max="14084" width="6.5703125" style="163" customWidth="1"/>
    <col min="14085" max="14085" width="18" style="163" customWidth="1"/>
    <col min="14086" max="14086" width="6.5703125" style="163"/>
    <col min="14087" max="14087" width="12.85546875" style="163" bestFit="1" customWidth="1"/>
    <col min="14088" max="14088" width="6.5703125" style="163"/>
    <col min="14089" max="14090" width="12.140625" style="163" bestFit="1" customWidth="1"/>
    <col min="14091" max="14336" width="6.5703125" style="163"/>
    <col min="14337" max="14337" width="6.5703125" style="163" customWidth="1"/>
    <col min="14338" max="14338" width="38.7109375" style="163" customWidth="1"/>
    <col min="14339" max="14339" width="19.5703125" style="163" customWidth="1"/>
    <col min="14340" max="14340" width="6.5703125" style="163" customWidth="1"/>
    <col min="14341" max="14341" width="18" style="163" customWidth="1"/>
    <col min="14342" max="14342" width="6.5703125" style="163"/>
    <col min="14343" max="14343" width="12.85546875" style="163" bestFit="1" customWidth="1"/>
    <col min="14344" max="14344" width="6.5703125" style="163"/>
    <col min="14345" max="14346" width="12.140625" style="163" bestFit="1" customWidth="1"/>
    <col min="14347" max="14592" width="6.5703125" style="163"/>
    <col min="14593" max="14593" width="6.5703125" style="163" customWidth="1"/>
    <col min="14594" max="14594" width="38.7109375" style="163" customWidth="1"/>
    <col min="14595" max="14595" width="19.5703125" style="163" customWidth="1"/>
    <col min="14596" max="14596" width="6.5703125" style="163" customWidth="1"/>
    <col min="14597" max="14597" width="18" style="163" customWidth="1"/>
    <col min="14598" max="14598" width="6.5703125" style="163"/>
    <col min="14599" max="14599" width="12.85546875" style="163" bestFit="1" customWidth="1"/>
    <col min="14600" max="14600" width="6.5703125" style="163"/>
    <col min="14601" max="14602" width="12.140625" style="163" bestFit="1" customWidth="1"/>
    <col min="14603" max="14848" width="6.5703125" style="163"/>
    <col min="14849" max="14849" width="6.5703125" style="163" customWidth="1"/>
    <col min="14850" max="14850" width="38.7109375" style="163" customWidth="1"/>
    <col min="14851" max="14851" width="19.5703125" style="163" customWidth="1"/>
    <col min="14852" max="14852" width="6.5703125" style="163" customWidth="1"/>
    <col min="14853" max="14853" width="18" style="163" customWidth="1"/>
    <col min="14854" max="14854" width="6.5703125" style="163"/>
    <col min="14855" max="14855" width="12.85546875" style="163" bestFit="1" customWidth="1"/>
    <col min="14856" max="14856" width="6.5703125" style="163"/>
    <col min="14857" max="14858" width="12.140625" style="163" bestFit="1" customWidth="1"/>
    <col min="14859" max="15104" width="6.5703125" style="163"/>
    <col min="15105" max="15105" width="6.5703125" style="163" customWidth="1"/>
    <col min="15106" max="15106" width="38.7109375" style="163" customWidth="1"/>
    <col min="15107" max="15107" width="19.5703125" style="163" customWidth="1"/>
    <col min="15108" max="15108" width="6.5703125" style="163" customWidth="1"/>
    <col min="15109" max="15109" width="18" style="163" customWidth="1"/>
    <col min="15110" max="15110" width="6.5703125" style="163"/>
    <col min="15111" max="15111" width="12.85546875" style="163" bestFit="1" customWidth="1"/>
    <col min="15112" max="15112" width="6.5703125" style="163"/>
    <col min="15113" max="15114" width="12.140625" style="163" bestFit="1" customWidth="1"/>
    <col min="15115" max="15360" width="6.5703125" style="163"/>
    <col min="15361" max="15361" width="6.5703125" style="163" customWidth="1"/>
    <col min="15362" max="15362" width="38.7109375" style="163" customWidth="1"/>
    <col min="15363" max="15363" width="19.5703125" style="163" customWidth="1"/>
    <col min="15364" max="15364" width="6.5703125" style="163" customWidth="1"/>
    <col min="15365" max="15365" width="18" style="163" customWidth="1"/>
    <col min="15366" max="15366" width="6.5703125" style="163"/>
    <col min="15367" max="15367" width="12.85546875" style="163" bestFit="1" customWidth="1"/>
    <col min="15368" max="15368" width="6.5703125" style="163"/>
    <col min="15369" max="15370" width="12.140625" style="163" bestFit="1" customWidth="1"/>
    <col min="15371" max="15616" width="6.5703125" style="163"/>
    <col min="15617" max="15617" width="6.5703125" style="163" customWidth="1"/>
    <col min="15618" max="15618" width="38.7109375" style="163" customWidth="1"/>
    <col min="15619" max="15619" width="19.5703125" style="163" customWidth="1"/>
    <col min="15620" max="15620" width="6.5703125" style="163" customWidth="1"/>
    <col min="15621" max="15621" width="18" style="163" customWidth="1"/>
    <col min="15622" max="15622" width="6.5703125" style="163"/>
    <col min="15623" max="15623" width="12.85546875" style="163" bestFit="1" customWidth="1"/>
    <col min="15624" max="15624" width="6.5703125" style="163"/>
    <col min="15625" max="15626" width="12.140625" style="163" bestFit="1" customWidth="1"/>
    <col min="15627" max="15872" width="6.5703125" style="163"/>
    <col min="15873" max="15873" width="6.5703125" style="163" customWidth="1"/>
    <col min="15874" max="15874" width="38.7109375" style="163" customWidth="1"/>
    <col min="15875" max="15875" width="19.5703125" style="163" customWidth="1"/>
    <col min="15876" max="15876" width="6.5703125" style="163" customWidth="1"/>
    <col min="15877" max="15877" width="18" style="163" customWidth="1"/>
    <col min="15878" max="15878" width="6.5703125" style="163"/>
    <col min="15879" max="15879" width="12.85546875" style="163" bestFit="1" customWidth="1"/>
    <col min="15880" max="15880" width="6.5703125" style="163"/>
    <col min="15881" max="15882" width="12.140625" style="163" bestFit="1" customWidth="1"/>
    <col min="15883" max="16128" width="6.5703125" style="163"/>
    <col min="16129" max="16129" width="6.5703125" style="163" customWidth="1"/>
    <col min="16130" max="16130" width="38.7109375" style="163" customWidth="1"/>
    <col min="16131" max="16131" width="19.5703125" style="163" customWidth="1"/>
    <col min="16132" max="16132" width="6.5703125" style="163" customWidth="1"/>
    <col min="16133" max="16133" width="18" style="163" customWidth="1"/>
    <col min="16134" max="16134" width="6.5703125" style="163"/>
    <col min="16135" max="16135" width="12.85546875" style="163" bestFit="1" customWidth="1"/>
    <col min="16136" max="16136" width="6.5703125" style="163"/>
    <col min="16137" max="16138" width="12.140625" style="163" bestFit="1" customWidth="1"/>
    <col min="16139" max="16384" width="6.5703125" style="163"/>
  </cols>
  <sheetData>
    <row r="1" spans="1:6" ht="18.75">
      <c r="A1" s="162"/>
      <c r="B1" s="337" t="s">
        <v>232</v>
      </c>
    </row>
    <row r="2" spans="1:6" ht="16.5">
      <c r="B2" s="164" t="s">
        <v>306</v>
      </c>
      <c r="C2" s="165"/>
      <c r="D2" s="165"/>
      <c r="E2" s="165"/>
    </row>
    <row r="3" spans="1:6" ht="16.5">
      <c r="B3" s="164"/>
      <c r="C3" s="165"/>
      <c r="D3" s="165"/>
      <c r="E3" s="165"/>
    </row>
    <row r="4" spans="1:6" ht="16.5">
      <c r="B4" s="164"/>
      <c r="C4" s="165"/>
      <c r="D4" s="165"/>
      <c r="E4" s="165"/>
    </row>
    <row r="5" spans="1:6" ht="16.5">
      <c r="B5" s="166" t="s">
        <v>237</v>
      </c>
      <c r="C5" s="165"/>
      <c r="D5" s="165"/>
      <c r="E5" s="165"/>
    </row>
    <row r="6" spans="1:6" ht="16.5">
      <c r="B6" s="167" t="s">
        <v>238</v>
      </c>
      <c r="C6" s="168"/>
      <c r="D6" s="168"/>
      <c r="E6" s="168"/>
    </row>
    <row r="7" spans="1:6" ht="17.25">
      <c r="B7" s="169"/>
      <c r="C7" s="227" t="s">
        <v>307</v>
      </c>
      <c r="D7" s="168"/>
      <c r="E7" s="227" t="s">
        <v>290</v>
      </c>
      <c r="F7" s="170"/>
    </row>
    <row r="8" spans="1:6" ht="17.25">
      <c r="B8" s="169" t="s">
        <v>239</v>
      </c>
      <c r="C8" s="171">
        <f>2250884.44+446812</f>
        <v>2697696.44</v>
      </c>
      <c r="D8" s="168"/>
      <c r="E8" s="171">
        <v>5935185.3799999999</v>
      </c>
    </row>
    <row r="9" spans="1:6" ht="17.25">
      <c r="B9" s="169" t="s">
        <v>240</v>
      </c>
      <c r="C9" s="171">
        <f>14534.52+3237.58</f>
        <v>17772.099999999999</v>
      </c>
      <c r="D9" s="168"/>
      <c r="E9" s="171">
        <v>52571.939999999995</v>
      </c>
    </row>
    <row r="10" spans="1:6" ht="18" thickBot="1">
      <c r="B10" s="338" t="s">
        <v>192</v>
      </c>
      <c r="C10" s="173">
        <f>C8+C9</f>
        <v>2715468.54</v>
      </c>
      <c r="D10" s="168"/>
      <c r="E10" s="173">
        <f t="shared" ref="E10" si="0">E8+E9</f>
        <v>5987757.3200000003</v>
      </c>
      <c r="F10" s="164"/>
    </row>
    <row r="11" spans="1:6" ht="17.25" thickTop="1">
      <c r="B11" s="174"/>
      <c r="C11" s="175">
        <f>C10-BK!B11</f>
        <v>0</v>
      </c>
      <c r="D11" s="168"/>
      <c r="E11" s="175">
        <f>E10-BK!D11</f>
        <v>0</v>
      </c>
    </row>
    <row r="12" spans="1:6" ht="16.5">
      <c r="B12" s="176" t="s">
        <v>241</v>
      </c>
      <c r="C12" s="175"/>
      <c r="D12" s="168"/>
      <c r="E12" s="175"/>
    </row>
    <row r="13" spans="1:6" ht="17.25">
      <c r="B13" s="177"/>
      <c r="C13" s="227" t="s">
        <v>307</v>
      </c>
      <c r="D13" s="168"/>
      <c r="E13" s="227" t="s">
        <v>290</v>
      </c>
      <c r="F13" s="170"/>
    </row>
    <row r="14" spans="1:6" ht="17.25">
      <c r="B14" s="177" t="s">
        <v>242</v>
      </c>
      <c r="C14" s="171">
        <f>BK!B27</f>
        <v>0</v>
      </c>
      <c r="D14" s="168"/>
      <c r="E14" s="171">
        <f>BK!D27</f>
        <v>3176219.79</v>
      </c>
    </row>
    <row r="15" spans="1:6" ht="17.25">
      <c r="B15" s="177" t="s">
        <v>25</v>
      </c>
      <c r="C15" s="171">
        <f>BK!B30</f>
        <v>0</v>
      </c>
      <c r="D15" s="168"/>
      <c r="E15" s="171">
        <f>BK!D30</f>
        <v>9125200</v>
      </c>
    </row>
    <row r="16" spans="1:6" ht="18" thickBot="1">
      <c r="B16" s="178" t="s">
        <v>192</v>
      </c>
      <c r="C16" s="179">
        <f>SUM(C14:C15)</f>
        <v>0</v>
      </c>
      <c r="D16" s="168"/>
      <c r="E16" s="179">
        <f t="shared" ref="E16" si="1">SUM(E14:E15)</f>
        <v>12301419.789999999</v>
      </c>
    </row>
    <row r="17" spans="2:11" ht="17.25" thickTop="1">
      <c r="B17" s="174"/>
      <c r="C17" s="175">
        <f>C16-BK!B27-BK!B30</f>
        <v>0</v>
      </c>
      <c r="D17" s="168"/>
      <c r="E17" s="175">
        <f>E16-BK!D27-BK!D30</f>
        <v>0</v>
      </c>
    </row>
    <row r="18" spans="2:11" ht="16.5">
      <c r="B18" s="176" t="s">
        <v>243</v>
      </c>
      <c r="C18" s="175"/>
      <c r="D18" s="175"/>
      <c r="E18" s="175"/>
    </row>
    <row r="19" spans="2:11" ht="17.25">
      <c r="B19" s="177"/>
      <c r="C19" s="227" t="s">
        <v>307</v>
      </c>
      <c r="D19" s="228"/>
      <c r="E19" s="227" t="s">
        <v>290</v>
      </c>
      <c r="F19" s="170"/>
    </row>
    <row r="20" spans="2:11" ht="17.25">
      <c r="B20" s="177" t="s">
        <v>13</v>
      </c>
      <c r="C20" s="181">
        <f>BK!B18</f>
        <v>1229658.02</v>
      </c>
      <c r="D20" s="228"/>
      <c r="E20" s="181">
        <f>BK!D18</f>
        <v>1259594.92</v>
      </c>
    </row>
    <row r="21" spans="2:11" ht="17.25">
      <c r="B21" s="177" t="s">
        <v>244</v>
      </c>
      <c r="C21" s="181">
        <f>BK!B21</f>
        <v>2317272</v>
      </c>
      <c r="D21" s="228"/>
      <c r="E21" s="181">
        <f>BK!D21</f>
        <v>2467723</v>
      </c>
      <c r="G21" s="182"/>
      <c r="H21" s="182"/>
      <c r="I21" s="182"/>
      <c r="J21" s="182"/>
    </row>
    <row r="22" spans="2:11" ht="18" thickBot="1">
      <c r="B22" s="178" t="s">
        <v>192</v>
      </c>
      <c r="C22" s="179">
        <f>SUM(C20:C21)</f>
        <v>3546930.02</v>
      </c>
      <c r="D22" s="228"/>
      <c r="E22" s="179">
        <f t="shared" ref="E22" si="2">SUM(E20:E21)</f>
        <v>3727317.92</v>
      </c>
      <c r="G22" s="182"/>
      <c r="H22" s="182"/>
      <c r="I22" s="182"/>
      <c r="J22" s="182"/>
    </row>
    <row r="23" spans="2:11" ht="18" thickTop="1">
      <c r="B23" s="177"/>
      <c r="C23" s="181">
        <f>C22-BK!B18-BK!B21</f>
        <v>0</v>
      </c>
      <c r="D23" s="228"/>
      <c r="E23" s="181">
        <f>E22-BK!D18-BK!D21</f>
        <v>0</v>
      </c>
      <c r="G23" s="182"/>
      <c r="H23" s="182"/>
      <c r="I23" s="182"/>
      <c r="J23" s="182"/>
    </row>
    <row r="24" spans="2:11" ht="17.25">
      <c r="B24" s="183" t="s">
        <v>245</v>
      </c>
      <c r="C24" s="181"/>
      <c r="D24" s="228"/>
      <c r="E24" s="181"/>
      <c r="G24" s="182"/>
      <c r="H24" s="182"/>
      <c r="I24" s="182"/>
      <c r="J24" s="182"/>
    </row>
    <row r="25" spans="2:11" ht="17.25">
      <c r="B25" s="177"/>
      <c r="C25" s="227" t="s">
        <v>307</v>
      </c>
      <c r="D25" s="228"/>
      <c r="E25" s="227" t="s">
        <v>290</v>
      </c>
      <c r="G25" s="182"/>
      <c r="H25" s="182"/>
      <c r="I25" s="182"/>
      <c r="J25" s="182"/>
    </row>
    <row r="26" spans="2:11" ht="17.25">
      <c r="B26" s="177" t="s">
        <v>246</v>
      </c>
      <c r="C26" s="171">
        <f>2016+2167506</f>
        <v>2169522</v>
      </c>
      <c r="D26" s="171"/>
      <c r="E26" s="171">
        <v>1777433</v>
      </c>
      <c r="G26" s="182"/>
      <c r="H26" s="182"/>
      <c r="I26" s="184"/>
      <c r="J26" s="184"/>
      <c r="K26" s="184"/>
    </row>
    <row r="27" spans="2:11" ht="17.25">
      <c r="B27" s="177" t="s">
        <v>123</v>
      </c>
      <c r="C27" s="171">
        <f>167750-20000</f>
        <v>147750</v>
      </c>
      <c r="D27" s="171"/>
      <c r="E27" s="171">
        <v>167750</v>
      </c>
      <c r="G27" s="182"/>
      <c r="H27" s="182"/>
      <c r="I27" s="184"/>
      <c r="J27" s="184"/>
      <c r="K27" s="184"/>
    </row>
    <row r="28" spans="2:11" ht="17.25">
      <c r="B28" s="177" t="s">
        <v>291</v>
      </c>
      <c r="C28" s="171">
        <v>0</v>
      </c>
      <c r="D28" s="171"/>
      <c r="E28" s="171">
        <v>522540</v>
      </c>
      <c r="G28" s="182"/>
      <c r="H28" s="182"/>
      <c r="I28" s="184"/>
      <c r="J28" s="184"/>
      <c r="K28" s="184"/>
    </row>
    <row r="29" spans="2:11" ht="18" thickBot="1">
      <c r="B29" s="178" t="s">
        <v>192</v>
      </c>
      <c r="C29" s="179">
        <f>SUM(C26:C27:C28)</f>
        <v>2317272</v>
      </c>
      <c r="D29" s="171"/>
      <c r="E29" s="179">
        <f>SUM(E26:E27:E28)</f>
        <v>2467723</v>
      </c>
      <c r="G29" s="182"/>
      <c r="H29" s="182"/>
      <c r="I29" s="185"/>
      <c r="J29" s="182"/>
    </row>
    <row r="30" spans="2:11" ht="18" thickTop="1">
      <c r="B30" s="174"/>
      <c r="C30" s="186">
        <f>C29-BK!B21</f>
        <v>0</v>
      </c>
      <c r="D30" s="171"/>
      <c r="E30" s="186">
        <f>E29-BK!D21</f>
        <v>0</v>
      </c>
      <c r="G30" s="182"/>
      <c r="H30" s="182"/>
      <c r="I30" s="182"/>
      <c r="J30" s="182"/>
    </row>
    <row r="31" spans="2:11" ht="16.5">
      <c r="B31" s="174"/>
      <c r="C31" s="186"/>
      <c r="D31" s="187"/>
      <c r="E31" s="186"/>
      <c r="G31" s="182"/>
      <c r="H31" s="182"/>
      <c r="I31" s="182"/>
      <c r="J31" s="182"/>
    </row>
    <row r="32" spans="2:11" ht="17.25">
      <c r="B32" s="188"/>
      <c r="C32" s="171"/>
      <c r="D32" s="171"/>
      <c r="E32" s="171"/>
    </row>
    <row r="33" spans="2:6" ht="17.25">
      <c r="B33" s="189" t="s">
        <v>247</v>
      </c>
      <c r="C33" s="171"/>
      <c r="D33" s="171"/>
      <c r="E33" s="171"/>
    </row>
    <row r="34" spans="2:6" ht="17.25">
      <c r="B34" s="188"/>
      <c r="C34" s="227" t="s">
        <v>307</v>
      </c>
      <c r="D34" s="171"/>
      <c r="E34" s="227" t="s">
        <v>290</v>
      </c>
    </row>
    <row r="35" spans="2:6" ht="17.25">
      <c r="B35" s="339" t="s">
        <v>249</v>
      </c>
      <c r="C35" s="171">
        <f>BK!B65</f>
        <v>3275198.45</v>
      </c>
      <c r="D35" s="171"/>
      <c r="E35" s="171">
        <f>BK!D65</f>
        <v>8843415.8699999992</v>
      </c>
    </row>
    <row r="36" spans="2:6" ht="17.25">
      <c r="B36" s="339" t="s">
        <v>250</v>
      </c>
      <c r="C36" s="171">
        <f>BK!B69</f>
        <v>58017</v>
      </c>
      <c r="D36" s="171"/>
      <c r="E36" s="171">
        <f>BK!D69</f>
        <v>15622</v>
      </c>
    </row>
    <row r="37" spans="2:6" ht="17.25" hidden="1">
      <c r="B37" s="339" t="s">
        <v>251</v>
      </c>
      <c r="C37" s="171">
        <f>BK!B70</f>
        <v>0</v>
      </c>
      <c r="D37" s="171"/>
      <c r="E37" s="171">
        <f>BK!D71</f>
        <v>0</v>
      </c>
    </row>
    <row r="38" spans="2:6" ht="17.25">
      <c r="B38" s="169" t="s">
        <v>251</v>
      </c>
      <c r="C38" s="171">
        <v>0</v>
      </c>
      <c r="D38" s="171"/>
      <c r="E38" s="171">
        <f>BK!D70</f>
        <v>14358</v>
      </c>
    </row>
    <row r="39" spans="2:6" ht="18" thickBot="1">
      <c r="B39" s="191" t="s">
        <v>192</v>
      </c>
      <c r="C39" s="173">
        <f>SUM(C35:C37)</f>
        <v>3333215.45</v>
      </c>
      <c r="D39" s="171"/>
      <c r="E39" s="173">
        <f>SUM(E35:E38)</f>
        <v>8873395.8699999992</v>
      </c>
      <c r="F39" s="170"/>
    </row>
    <row r="40" spans="2:6" ht="18" thickTop="1">
      <c r="B40" s="191"/>
      <c r="C40" s="192">
        <f>C39-BK!B75</f>
        <v>0</v>
      </c>
      <c r="D40" s="171"/>
      <c r="E40" s="192">
        <f>E39-BK!D75</f>
        <v>0</v>
      </c>
      <c r="F40" s="170"/>
    </row>
    <row r="41" spans="2:6" ht="17.25">
      <c r="B41" s="191"/>
      <c r="C41" s="192"/>
      <c r="D41" s="171"/>
      <c r="E41" s="192"/>
      <c r="F41" s="170"/>
    </row>
    <row r="42" spans="2:6" ht="17.25">
      <c r="B42" s="193" t="s">
        <v>252</v>
      </c>
      <c r="C42" s="171"/>
      <c r="D42" s="171"/>
      <c r="E42" s="171"/>
    </row>
    <row r="43" spans="2:6" ht="17.25">
      <c r="B43" s="194"/>
      <c r="C43" s="227" t="s">
        <v>307</v>
      </c>
      <c r="D43" s="228"/>
      <c r="E43" s="227" t="s">
        <v>290</v>
      </c>
    </row>
    <row r="44" spans="2:6" ht="17.25">
      <c r="B44" s="190" t="s">
        <v>248</v>
      </c>
      <c r="C44" s="171">
        <f>BK!B63</f>
        <v>0</v>
      </c>
      <c r="D44" s="228"/>
      <c r="E44" s="171">
        <f>BK!D63</f>
        <v>0</v>
      </c>
    </row>
    <row r="45" spans="2:6" ht="18" thickBot="1">
      <c r="B45" s="178" t="s">
        <v>192</v>
      </c>
      <c r="C45" s="179">
        <f>C44</f>
        <v>0</v>
      </c>
      <c r="D45" s="228"/>
      <c r="E45" s="179">
        <f t="shared" ref="E45" si="3">E44</f>
        <v>0</v>
      </c>
    </row>
    <row r="46" spans="2:6" ht="18" thickTop="1">
      <c r="B46" s="191"/>
      <c r="C46" s="192">
        <f>C45-BK!B63</f>
        <v>0</v>
      </c>
      <c r="D46" s="228"/>
      <c r="E46" s="192">
        <f>E45-BK!D63</f>
        <v>0</v>
      </c>
      <c r="F46" s="170"/>
    </row>
    <row r="47" spans="2:6" ht="17.25">
      <c r="B47" s="191"/>
      <c r="C47" s="192"/>
      <c r="D47" s="228"/>
      <c r="E47" s="192"/>
      <c r="F47" s="170"/>
    </row>
    <row r="48" spans="2:6" ht="17.25">
      <c r="B48" s="368" t="s">
        <v>316</v>
      </c>
      <c r="C48" s="368"/>
      <c r="D48" s="368"/>
      <c r="E48" s="368"/>
      <c r="F48" s="170"/>
    </row>
    <row r="49" spans="2:6" ht="17.25">
      <c r="B49" s="169"/>
      <c r="C49" s="227" t="s">
        <v>307</v>
      </c>
      <c r="D49" s="228"/>
      <c r="E49" s="227" t="s">
        <v>290</v>
      </c>
      <c r="F49" s="170"/>
    </row>
    <row r="50" spans="2:6" ht="17.25">
      <c r="B50" s="169" t="s">
        <v>317</v>
      </c>
      <c r="C50" s="171">
        <v>49647</v>
      </c>
      <c r="D50" s="171"/>
      <c r="E50" s="171">
        <v>0</v>
      </c>
      <c r="F50" s="170"/>
    </row>
    <row r="51" spans="2:6" ht="17.25">
      <c r="B51" s="169" t="s">
        <v>292</v>
      </c>
      <c r="C51" s="171">
        <v>8370</v>
      </c>
      <c r="D51" s="171"/>
      <c r="E51" s="171">
        <v>15622</v>
      </c>
      <c r="F51" s="170"/>
    </row>
    <row r="52" spans="2:6" ht="18" thickBot="1">
      <c r="B52" s="191" t="s">
        <v>192</v>
      </c>
      <c r="C52" s="173">
        <f>SUM(C50:C51)</f>
        <v>58017</v>
      </c>
      <c r="D52" s="171"/>
      <c r="E52" s="173">
        <f>SUM(E50:E51)</f>
        <v>15622</v>
      </c>
      <c r="F52" s="170"/>
    </row>
    <row r="53" spans="2:6" ht="18" thickTop="1">
      <c r="B53" s="191"/>
      <c r="C53" s="192"/>
      <c r="D53" s="228"/>
      <c r="E53" s="192"/>
      <c r="F53" s="170"/>
    </row>
    <row r="54" spans="2:6" ht="17.25">
      <c r="B54" s="195" t="s">
        <v>251</v>
      </c>
      <c r="C54" s="171"/>
      <c r="D54" s="171"/>
      <c r="E54" s="171"/>
      <c r="F54" s="170"/>
    </row>
    <row r="55" spans="2:6" ht="17.25">
      <c r="B55" s="169"/>
      <c r="C55" s="227" t="s">
        <v>307</v>
      </c>
      <c r="D55" s="228"/>
      <c r="E55" s="227" t="s">
        <v>290</v>
      </c>
      <c r="F55" s="170"/>
    </row>
    <row r="56" spans="2:6" ht="17.25">
      <c r="B56" s="169" t="s">
        <v>253</v>
      </c>
      <c r="C56" s="171">
        <v>0</v>
      </c>
      <c r="D56" s="171"/>
      <c r="E56" s="171">
        <v>14358</v>
      </c>
      <c r="F56" s="170"/>
    </row>
    <row r="57" spans="2:6" ht="17.25" hidden="1">
      <c r="B57" s="169" t="s">
        <v>254</v>
      </c>
      <c r="C57" s="171">
        <v>0</v>
      </c>
      <c r="D57" s="171"/>
      <c r="E57" s="171">
        <v>0</v>
      </c>
      <c r="F57" s="170"/>
    </row>
    <row r="58" spans="2:6" ht="18" thickBot="1">
      <c r="B58" s="191" t="s">
        <v>192</v>
      </c>
      <c r="C58" s="173">
        <f>SUM(C56:C57)</f>
        <v>0</v>
      </c>
      <c r="D58" s="171"/>
      <c r="E58" s="173">
        <f>SUM(E56:E57)</f>
        <v>14358</v>
      </c>
      <c r="F58" s="170"/>
    </row>
    <row r="59" spans="2:6" ht="18" thickTop="1">
      <c r="B59" s="191"/>
      <c r="C59" s="192">
        <f>C58-BK!B70</f>
        <v>0</v>
      </c>
      <c r="D59" s="171"/>
      <c r="E59" s="192">
        <f>E58-BK!D70</f>
        <v>0</v>
      </c>
      <c r="F59" s="170"/>
    </row>
    <row r="60" spans="2:6" ht="17.25">
      <c r="B60" s="230" t="s">
        <v>256</v>
      </c>
      <c r="C60" s="196"/>
      <c r="D60" s="171"/>
      <c r="E60" s="196"/>
    </row>
    <row r="61" spans="2:6" ht="17.25">
      <c r="B61" s="188"/>
      <c r="C61" s="227" t="s">
        <v>307</v>
      </c>
      <c r="D61" s="171"/>
      <c r="E61" s="227" t="s">
        <v>290</v>
      </c>
    </row>
    <row r="62" spans="2:6" ht="17.25">
      <c r="B62" s="197" t="s">
        <v>256</v>
      </c>
      <c r="C62" s="171">
        <f>BK!B79</f>
        <v>47582878</v>
      </c>
      <c r="D62" s="171"/>
      <c r="E62" s="171">
        <f>BK!D79</f>
        <v>49204252</v>
      </c>
    </row>
    <row r="63" spans="2:6" ht="18" thickBot="1">
      <c r="B63" s="191" t="s">
        <v>192</v>
      </c>
      <c r="C63" s="173">
        <f>SUM(C62:C62)</f>
        <v>47582878</v>
      </c>
      <c r="D63" s="171"/>
      <c r="E63" s="173">
        <f>SUM(E62:E62)</f>
        <v>49204252</v>
      </c>
    </row>
    <row r="64" spans="2:6" ht="18" thickTop="1">
      <c r="B64" s="188"/>
      <c r="C64" s="196">
        <f>C63-BK!B79</f>
        <v>0</v>
      </c>
      <c r="D64" s="171"/>
      <c r="E64" s="196">
        <f>E63-BK!D79</f>
        <v>0</v>
      </c>
    </row>
    <row r="65" spans="2:7" ht="17.25">
      <c r="B65" s="189" t="s">
        <v>255</v>
      </c>
      <c r="C65" s="196"/>
      <c r="D65" s="171"/>
      <c r="E65" s="196"/>
    </row>
    <row r="66" spans="2:7" ht="17.25">
      <c r="B66" s="188"/>
      <c r="C66" s="227" t="s">
        <v>307</v>
      </c>
      <c r="D66" s="171"/>
      <c r="E66" s="227" t="s">
        <v>290</v>
      </c>
    </row>
    <row r="67" spans="2:7" ht="17.25" hidden="1">
      <c r="B67" s="197" t="s">
        <v>256</v>
      </c>
      <c r="C67" s="171">
        <f>BK!B79</f>
        <v>47582878</v>
      </c>
      <c r="D67" s="171"/>
      <c r="E67" s="171">
        <v>0</v>
      </c>
    </row>
    <row r="68" spans="2:7" ht="17.25">
      <c r="B68" s="197" t="s">
        <v>62</v>
      </c>
      <c r="C68" s="171">
        <f>BK!B85</f>
        <v>16711883</v>
      </c>
      <c r="D68" s="171"/>
      <c r="E68" s="171">
        <f>BK!D85</f>
        <v>25305531.399999999</v>
      </c>
    </row>
    <row r="69" spans="2:7" ht="18" thickBot="1">
      <c r="B69" s="191" t="s">
        <v>192</v>
      </c>
      <c r="C69" s="173">
        <f>SUM(C68)</f>
        <v>16711883</v>
      </c>
      <c r="D69" s="171"/>
      <c r="E69" s="173">
        <f t="shared" ref="E69" si="4">SUM(E67:E68)</f>
        <v>25305531.399999999</v>
      </c>
    </row>
    <row r="70" spans="2:7" ht="18" thickTop="1">
      <c r="B70" s="188"/>
      <c r="C70" s="172">
        <f>C69-BK!B85</f>
        <v>0</v>
      </c>
      <c r="D70" s="171"/>
      <c r="E70" s="172">
        <f>E69-BK!D85</f>
        <v>0</v>
      </c>
    </row>
    <row r="71" spans="2:7" ht="17.25">
      <c r="B71" s="189" t="s">
        <v>257</v>
      </c>
      <c r="C71" s="198"/>
      <c r="D71" s="171"/>
      <c r="E71" s="198"/>
      <c r="F71" s="170"/>
    </row>
    <row r="72" spans="2:7" ht="17.25">
      <c r="B72" s="188"/>
      <c r="C72" s="227" t="s">
        <v>307</v>
      </c>
      <c r="D72" s="228"/>
      <c r="E72" s="227" t="s">
        <v>290</v>
      </c>
    </row>
    <row r="73" spans="2:7" ht="17.25">
      <c r="B73" s="190" t="s">
        <v>189</v>
      </c>
      <c r="C73" s="171">
        <f>[1]BK!B97</f>
        <v>100000</v>
      </c>
      <c r="D73" s="171"/>
      <c r="E73" s="171">
        <v>100000</v>
      </c>
    </row>
    <row r="74" spans="2:7" ht="17.25">
      <c r="B74" s="190" t="s">
        <v>76</v>
      </c>
      <c r="C74" s="171">
        <v>0</v>
      </c>
      <c r="D74" s="171"/>
      <c r="E74" s="171">
        <v>0</v>
      </c>
    </row>
    <row r="75" spans="2:7" ht="17.25">
      <c r="B75" s="190" t="s">
        <v>78</v>
      </c>
      <c r="C75" s="181">
        <v>0</v>
      </c>
      <c r="D75" s="171"/>
      <c r="E75" s="181">
        <v>0</v>
      </c>
      <c r="G75" s="199"/>
    </row>
    <row r="76" spans="2:7" ht="17.25">
      <c r="B76" s="190" t="s">
        <v>77</v>
      </c>
      <c r="C76" s="181">
        <v>0</v>
      </c>
      <c r="D76" s="171"/>
      <c r="E76" s="181">
        <v>0</v>
      </c>
    </row>
    <row r="77" spans="2:7" ht="17.25">
      <c r="B77" s="200" t="s">
        <v>258</v>
      </c>
      <c r="C77" s="181">
        <f>BK!B105</f>
        <v>-16587993.26</v>
      </c>
      <c r="D77" s="171"/>
      <c r="E77" s="181">
        <v>-8791756.4299999997</v>
      </c>
    </row>
    <row r="78" spans="2:7" ht="17.25">
      <c r="B78" s="200" t="s">
        <v>259</v>
      </c>
      <c r="C78" s="171">
        <f>BK!B106</f>
        <v>-401896.35</v>
      </c>
      <c r="D78" s="171"/>
      <c r="E78" s="171">
        <v>-7796236.8300000001</v>
      </c>
    </row>
    <row r="79" spans="2:7" ht="18" thickBot="1">
      <c r="B79" s="178" t="s">
        <v>192</v>
      </c>
      <c r="C79" s="179">
        <f>SUM(C73:C78)</f>
        <v>-16889889.609999999</v>
      </c>
      <c r="D79" s="171"/>
      <c r="E79" s="179">
        <f t="shared" ref="E79" si="5">SUM(E73:E78)</f>
        <v>-16487993.26</v>
      </c>
    </row>
    <row r="80" spans="2:7" ht="18" thickTop="1">
      <c r="B80" s="178"/>
      <c r="C80" s="201">
        <f>C79-BK!B107</f>
        <v>0</v>
      </c>
      <c r="D80" s="171"/>
      <c r="E80" s="201">
        <f>E79-BK!D107</f>
        <v>0</v>
      </c>
    </row>
    <row r="81" spans="1:6" ht="17.25">
      <c r="A81" s="202"/>
      <c r="B81" s="203"/>
      <c r="C81" s="204"/>
      <c r="D81" s="171"/>
      <c r="E81" s="204"/>
      <c r="F81" s="202"/>
    </row>
    <row r="82" spans="1:6" ht="17.25">
      <c r="B82" s="205" t="s">
        <v>260</v>
      </c>
      <c r="C82" s="171"/>
      <c r="D82" s="171"/>
      <c r="E82" s="171"/>
    </row>
    <row r="83" spans="1:6" ht="17.25">
      <c r="B83" s="194"/>
      <c r="C83" s="227" t="s">
        <v>307</v>
      </c>
      <c r="D83" s="171"/>
      <c r="E83" s="227" t="s">
        <v>290</v>
      </c>
    </row>
    <row r="84" spans="1:6" ht="17.25">
      <c r="B84" s="200" t="s">
        <v>261</v>
      </c>
      <c r="C84" s="172">
        <f>PASH!B10</f>
        <v>8788793</v>
      </c>
      <c r="D84" s="171"/>
      <c r="E84" s="172">
        <f>PASH!D10</f>
        <v>25859365</v>
      </c>
    </row>
    <row r="85" spans="1:6" ht="18" thickBot="1">
      <c r="B85" s="178" t="s">
        <v>192</v>
      </c>
      <c r="C85" s="179">
        <f>SUM(C84)</f>
        <v>8788793</v>
      </c>
      <c r="D85" s="171"/>
      <c r="E85" s="179">
        <f t="shared" ref="E85" si="6">SUM(E84)</f>
        <v>25859365</v>
      </c>
    </row>
    <row r="86" spans="1:6" ht="18" thickTop="1">
      <c r="B86" s="194"/>
      <c r="C86" s="171">
        <f>[1]PASH!B10-'[2]Te tjera'!C74</f>
        <v>0</v>
      </c>
      <c r="D86" s="171"/>
      <c r="E86" s="171"/>
    </row>
    <row r="87" spans="1:6" ht="17.25">
      <c r="B87" s="194"/>
      <c r="C87" s="171"/>
      <c r="D87" s="171"/>
      <c r="E87" s="171"/>
    </row>
    <row r="88" spans="1:6" ht="17.25">
      <c r="B88" s="347" t="s">
        <v>362</v>
      </c>
      <c r="C88" s="171"/>
      <c r="D88" s="171"/>
      <c r="E88" s="171"/>
    </row>
    <row r="89" spans="1:6" ht="17.25">
      <c r="B89" s="194"/>
      <c r="C89" s="340" t="s">
        <v>307</v>
      </c>
      <c r="D89" s="171"/>
      <c r="E89" s="340" t="s">
        <v>290</v>
      </c>
    </row>
    <row r="90" spans="1:6" ht="17.25">
      <c r="B90" s="190" t="s">
        <v>364</v>
      </c>
      <c r="C90" s="171">
        <v>5838289</v>
      </c>
      <c r="D90" s="171"/>
      <c r="E90" s="171">
        <v>0</v>
      </c>
    </row>
    <row r="91" spans="1:6" ht="17.25">
      <c r="B91" s="190" t="s">
        <v>363</v>
      </c>
      <c r="C91" s="171">
        <v>-5770596</v>
      </c>
      <c r="D91" s="171"/>
      <c r="E91" s="171">
        <v>0</v>
      </c>
    </row>
    <row r="92" spans="1:6" ht="18" thickBot="1">
      <c r="B92" s="178" t="s">
        <v>192</v>
      </c>
      <c r="C92" s="179">
        <f>SUM(C90:C91)</f>
        <v>67693</v>
      </c>
      <c r="D92" s="171"/>
      <c r="E92" s="179">
        <f t="shared" ref="E92" si="7">SUM(E91)</f>
        <v>0</v>
      </c>
    </row>
    <row r="93" spans="1:6" ht="18" thickTop="1">
      <c r="B93" s="194"/>
      <c r="C93" s="171">
        <f>C92-PASH!B14</f>
        <v>67693</v>
      </c>
      <c r="D93" s="171"/>
      <c r="E93" s="171"/>
    </row>
    <row r="94" spans="1:6" ht="17.25">
      <c r="B94" s="194"/>
      <c r="C94" s="171"/>
      <c r="D94" s="171"/>
      <c r="E94" s="171"/>
    </row>
    <row r="95" spans="1:6" ht="17.25">
      <c r="B95" s="205" t="s">
        <v>262</v>
      </c>
      <c r="C95" s="171"/>
      <c r="D95" s="171"/>
      <c r="E95" s="171"/>
    </row>
    <row r="96" spans="1:6" ht="17.25">
      <c r="B96" s="194"/>
      <c r="C96" s="227" t="s">
        <v>307</v>
      </c>
      <c r="D96" s="228"/>
      <c r="E96" s="227" t="s">
        <v>290</v>
      </c>
    </row>
    <row r="97" spans="2:9" ht="17.25">
      <c r="B97" s="200" t="s">
        <v>22</v>
      </c>
      <c r="C97" s="171">
        <f>-PASH!B19</f>
        <v>3338782</v>
      </c>
      <c r="D97" s="172"/>
      <c r="E97" s="171">
        <f>-PASH!D19</f>
        <v>22621402</v>
      </c>
    </row>
    <row r="98" spans="2:9" ht="17.25">
      <c r="B98" s="190" t="s">
        <v>263</v>
      </c>
      <c r="C98" s="171">
        <v>0</v>
      </c>
      <c r="D98" s="171"/>
      <c r="E98" s="171">
        <f>-PASH!D20</f>
        <v>78151</v>
      </c>
    </row>
    <row r="99" spans="2:9" ht="18" thickBot="1">
      <c r="B99" s="178" t="s">
        <v>192</v>
      </c>
      <c r="C99" s="179">
        <f>SUM(C97:C98)</f>
        <v>3338782</v>
      </c>
      <c r="D99" s="171"/>
      <c r="E99" s="179">
        <f t="shared" ref="E99" si="8">SUM(E97:E98)</f>
        <v>22699553</v>
      </c>
    </row>
    <row r="100" spans="2:9" ht="18" thickTop="1">
      <c r="B100" s="194"/>
      <c r="C100" s="171"/>
      <c r="D100" s="171"/>
      <c r="E100" s="171"/>
    </row>
    <row r="101" spans="2:9" ht="17.25">
      <c r="B101" s="194"/>
      <c r="C101" s="171"/>
      <c r="D101" s="171"/>
      <c r="E101" s="171"/>
    </row>
    <row r="102" spans="2:9" ht="17.25">
      <c r="B102" s="231" t="s">
        <v>264</v>
      </c>
      <c r="C102" s="171"/>
      <c r="D102" s="171"/>
      <c r="E102" s="171"/>
    </row>
    <row r="103" spans="2:9" ht="17.25">
      <c r="B103" s="194"/>
      <c r="C103" s="345" t="s">
        <v>307</v>
      </c>
      <c r="D103" s="228"/>
      <c r="E103" s="345" t="s">
        <v>290</v>
      </c>
    </row>
    <row r="104" spans="2:9" ht="17.25">
      <c r="B104" s="200" t="s">
        <v>265</v>
      </c>
      <c r="C104" s="196">
        <f>-PASH!B22</f>
        <v>369545</v>
      </c>
      <c r="D104" s="346"/>
      <c r="E104" s="196">
        <f>-PASH!D22</f>
        <v>1993816</v>
      </c>
    </row>
    <row r="105" spans="2:9" ht="17.25">
      <c r="B105" s="190" t="s">
        <v>266</v>
      </c>
      <c r="C105" s="340">
        <f>-PASH!B23</f>
        <v>61713</v>
      </c>
      <c r="D105" s="346"/>
      <c r="E105" s="340">
        <f>-PASH!D23</f>
        <v>332970</v>
      </c>
    </row>
    <row r="106" spans="2:9" ht="18" thickBot="1">
      <c r="B106" s="178" t="s">
        <v>192</v>
      </c>
      <c r="C106" s="341">
        <f>SUM(C104:C105)</f>
        <v>431258</v>
      </c>
      <c r="D106" s="228"/>
      <c r="E106" s="341">
        <f t="shared" ref="E106" si="9">SUM(E104:E105)</f>
        <v>2326786</v>
      </c>
    </row>
    <row r="107" spans="2:9" ht="18" thickTop="1">
      <c r="B107" s="194"/>
      <c r="C107" s="171"/>
      <c r="D107" s="228"/>
      <c r="E107" s="171"/>
    </row>
    <row r="108" spans="2:9" ht="17.25">
      <c r="B108" s="366" t="s">
        <v>267</v>
      </c>
      <c r="C108" s="366"/>
      <c r="D108" s="169"/>
      <c r="E108" s="169"/>
    </row>
    <row r="109" spans="2:9" ht="15.75" customHeight="1">
      <c r="B109" s="169"/>
      <c r="C109" s="227" t="s">
        <v>307</v>
      </c>
      <c r="D109" s="228"/>
      <c r="E109" s="227" t="s">
        <v>290</v>
      </c>
      <c r="H109" s="206"/>
      <c r="I109" s="171"/>
    </row>
    <row r="110" spans="2:9" ht="15.75" customHeight="1">
      <c r="B110" s="169" t="s">
        <v>268</v>
      </c>
      <c r="C110" s="342">
        <v>90000</v>
      </c>
      <c r="D110" s="342"/>
      <c r="E110" s="342">
        <v>1200000</v>
      </c>
      <c r="H110" s="206"/>
      <c r="I110" s="171"/>
    </row>
    <row r="111" spans="2:9" ht="15.75" customHeight="1">
      <c r="B111" s="169" t="s">
        <v>293</v>
      </c>
      <c r="C111" s="342">
        <v>18337</v>
      </c>
      <c r="D111" s="342"/>
      <c r="E111" s="342">
        <v>13333.34</v>
      </c>
    </row>
    <row r="112" spans="2:9" ht="15.75" customHeight="1">
      <c r="B112" s="169" t="s">
        <v>16</v>
      </c>
      <c r="C112" s="342">
        <v>26350</v>
      </c>
      <c r="D112" s="342"/>
      <c r="E112" s="342">
        <v>1040500</v>
      </c>
    </row>
    <row r="113" spans="2:5" ht="15.75" customHeight="1">
      <c r="B113" s="169" t="s">
        <v>269</v>
      </c>
      <c r="C113" s="342">
        <v>20000</v>
      </c>
      <c r="D113" s="342"/>
      <c r="E113" s="342">
        <v>360000</v>
      </c>
    </row>
    <row r="114" spans="2:5" ht="15.75" customHeight="1">
      <c r="B114" s="169" t="s">
        <v>270</v>
      </c>
      <c r="C114" s="342">
        <v>92707.5</v>
      </c>
      <c r="D114" s="342"/>
      <c r="E114" s="342">
        <v>831967</v>
      </c>
    </row>
    <row r="115" spans="2:5" ht="15.75" customHeight="1">
      <c r="B115" s="169" t="s">
        <v>271</v>
      </c>
      <c r="C115" s="342">
        <v>18314.736000000001</v>
      </c>
      <c r="D115" s="342"/>
      <c r="E115" s="342">
        <v>215524.13</v>
      </c>
    </row>
    <row r="116" spans="2:5" ht="15.75" customHeight="1">
      <c r="B116" s="169" t="s">
        <v>272</v>
      </c>
      <c r="C116" s="342">
        <v>53650</v>
      </c>
      <c r="D116" s="342"/>
      <c r="E116" s="342">
        <v>829493.59</v>
      </c>
    </row>
    <row r="117" spans="2:5" ht="15.75" customHeight="1">
      <c r="B117" s="169" t="s">
        <v>273</v>
      </c>
      <c r="C117" s="342">
        <f>65792.78+3303.86</f>
        <v>69096.639999999999</v>
      </c>
      <c r="D117" s="342"/>
      <c r="E117" s="342">
        <v>995472.82000000007</v>
      </c>
    </row>
    <row r="118" spans="2:5" ht="15.75" customHeight="1" thickBot="1">
      <c r="B118" s="169" t="s">
        <v>192</v>
      </c>
      <c r="C118" s="343">
        <f>SUM(C110:C117)</f>
        <v>388455.87599999999</v>
      </c>
      <c r="D118" s="342"/>
      <c r="E118" s="343">
        <f t="shared" ref="E118" si="10">SUM(E110:E117)</f>
        <v>5486290.8799999999</v>
      </c>
    </row>
    <row r="119" spans="2:5" ht="18" thickTop="1">
      <c r="B119" s="194"/>
      <c r="C119" s="171">
        <f>C118+PASH!B20</f>
        <v>-0.12400000001071021</v>
      </c>
      <c r="D119" s="342"/>
      <c r="E119" s="171">
        <f>E118+PASH!D27</f>
        <v>-0.12000000011175871</v>
      </c>
    </row>
    <row r="120" spans="2:5" ht="17.25">
      <c r="B120" s="194"/>
      <c r="C120" s="171"/>
      <c r="D120" s="342"/>
      <c r="E120" s="171"/>
    </row>
    <row r="121" spans="2:5" ht="17.25">
      <c r="B121" s="367" t="s">
        <v>274</v>
      </c>
      <c r="C121" s="367"/>
      <c r="D121" s="171"/>
      <c r="E121" s="171"/>
    </row>
    <row r="122" spans="2:5" ht="17.25">
      <c r="B122" s="194"/>
      <c r="C122" s="227" t="s">
        <v>307</v>
      </c>
      <c r="D122" s="228"/>
      <c r="E122" s="227" t="s">
        <v>290</v>
      </c>
    </row>
    <row r="123" spans="2:5" ht="17.25">
      <c r="B123" s="190" t="s">
        <v>275</v>
      </c>
      <c r="C123" s="181">
        <v>172662.19</v>
      </c>
      <c r="D123" s="171"/>
      <c r="E123" s="181">
        <v>393909.03</v>
      </c>
    </row>
    <row r="124" spans="2:5" ht="17.25">
      <c r="B124" s="190" t="s">
        <v>276</v>
      </c>
      <c r="C124" s="181">
        <v>-213676.05</v>
      </c>
      <c r="D124" s="171"/>
      <c r="E124" s="181">
        <v>-1017523.9</v>
      </c>
    </row>
    <row r="125" spans="2:5" ht="18" thickBot="1">
      <c r="B125" s="178" t="s">
        <v>192</v>
      </c>
      <c r="C125" s="179">
        <f>SUM(C123:C124)</f>
        <v>-41013.859999999986</v>
      </c>
      <c r="D125" s="171"/>
      <c r="E125" s="179">
        <f t="shared" ref="E125" si="11">SUM(E123:E124)</f>
        <v>-623614.87</v>
      </c>
    </row>
    <row r="126" spans="2:5" ht="18" thickTop="1">
      <c r="B126" s="178"/>
      <c r="C126" s="201"/>
      <c r="D126" s="171"/>
      <c r="E126" s="201"/>
    </row>
    <row r="127" spans="2:5" ht="17.25">
      <c r="B127" s="367" t="s">
        <v>277</v>
      </c>
      <c r="C127" s="367"/>
      <c r="D127" s="171"/>
      <c r="E127" s="344"/>
    </row>
    <row r="128" spans="2:5" ht="17.25">
      <c r="B128" s="190"/>
      <c r="C128" s="227" t="s">
        <v>307</v>
      </c>
      <c r="D128" s="171"/>
      <c r="E128" s="227" t="s">
        <v>290</v>
      </c>
    </row>
    <row r="129" spans="2:5" ht="17.25">
      <c r="B129" s="190" t="s">
        <v>278</v>
      </c>
      <c r="C129" s="181">
        <v>0</v>
      </c>
      <c r="D129" s="171"/>
      <c r="E129" s="181">
        <v>18.13</v>
      </c>
    </row>
    <row r="130" spans="2:5" ht="17.25">
      <c r="B130" s="190" t="s">
        <v>279</v>
      </c>
      <c r="C130" s="181">
        <v>-2822131.83</v>
      </c>
      <c r="D130" s="171"/>
      <c r="E130" s="181">
        <v>-1393412.19</v>
      </c>
    </row>
    <row r="131" spans="2:5" ht="18" thickBot="1">
      <c r="B131" s="178" t="s">
        <v>192</v>
      </c>
      <c r="C131" s="179">
        <f>SUM(C129:C130)</f>
        <v>-2822131.83</v>
      </c>
      <c r="D131" s="171"/>
      <c r="E131" s="179">
        <f t="shared" ref="E131" si="12">SUM(E129:E130)</f>
        <v>-1393394.06</v>
      </c>
    </row>
    <row r="132" spans="2:5" ht="18" thickTop="1">
      <c r="B132" s="178"/>
      <c r="C132" s="201">
        <f>C131-PASH!B37</f>
        <v>0.16999999992549419</v>
      </c>
      <c r="D132" s="171"/>
      <c r="E132" s="201">
        <f>E131-PASH!D37</f>
        <v>-6.0000000055879354E-2</v>
      </c>
    </row>
    <row r="133" spans="2:5" ht="17.25">
      <c r="B133" s="195" t="s">
        <v>280</v>
      </c>
      <c r="C133" s="171"/>
      <c r="D133" s="171"/>
      <c r="E133" s="171"/>
    </row>
    <row r="134" spans="2:5" ht="17.25">
      <c r="B134" s="194"/>
      <c r="C134" s="227" t="s">
        <v>307</v>
      </c>
      <c r="D134" s="228"/>
      <c r="E134" s="227" t="s">
        <v>290</v>
      </c>
    </row>
    <row r="135" spans="2:5" ht="17.25">
      <c r="B135" s="190" t="s">
        <v>281</v>
      </c>
      <c r="C135" s="171">
        <f>PASH!B42</f>
        <v>-460625</v>
      </c>
      <c r="D135" s="171"/>
      <c r="E135" s="171">
        <f>PASH!D42</f>
        <v>-8996372</v>
      </c>
    </row>
    <row r="136" spans="2:5" ht="17.25">
      <c r="B136" s="190" t="s">
        <v>282</v>
      </c>
      <c r="C136" s="171">
        <f>C137+C138</f>
        <v>69096.639999999999</v>
      </c>
      <c r="D136" s="171"/>
      <c r="E136" s="171">
        <f>E137+E138</f>
        <v>995472.82000000007</v>
      </c>
    </row>
    <row r="137" spans="2:5" ht="17.25">
      <c r="B137" s="207" t="s">
        <v>283</v>
      </c>
      <c r="C137" s="208">
        <v>65792.78</v>
      </c>
      <c r="D137" s="171"/>
      <c r="E137" s="208">
        <v>6068.3</v>
      </c>
    </row>
    <row r="138" spans="2:5" ht="17.25">
      <c r="B138" s="207" t="s">
        <v>284</v>
      </c>
      <c r="C138" s="208">
        <v>3303.86</v>
      </c>
      <c r="D138" s="171"/>
      <c r="E138" s="208">
        <v>989404.52</v>
      </c>
    </row>
    <row r="139" spans="2:5" ht="17.25">
      <c r="B139" s="190" t="s">
        <v>285</v>
      </c>
      <c r="C139" s="229">
        <f>C135+C136</f>
        <v>-391528.36</v>
      </c>
      <c r="D139" s="171"/>
      <c r="E139" s="229">
        <f>E135+E136</f>
        <v>-8000899.1799999997</v>
      </c>
    </row>
    <row r="140" spans="2:5" ht="17.25">
      <c r="B140" s="190" t="s">
        <v>286</v>
      </c>
      <c r="C140" s="181">
        <v>15</v>
      </c>
      <c r="D140" s="171"/>
      <c r="E140" s="181">
        <v>15</v>
      </c>
    </row>
    <row r="141" spans="2:5" ht="17.25">
      <c r="B141" s="178" t="s">
        <v>287</v>
      </c>
      <c r="C141" s="180">
        <v>0</v>
      </c>
      <c r="D141" s="171"/>
      <c r="E141" s="180">
        <v>0</v>
      </c>
    </row>
    <row r="142" spans="2:5" ht="17.25">
      <c r="B142" s="178" t="s">
        <v>288</v>
      </c>
      <c r="C142" s="180">
        <f>C139*0.15</f>
        <v>-58729.253999999994</v>
      </c>
      <c r="D142" s="171"/>
      <c r="E142" s="180">
        <f t="shared" ref="E142" si="13">E139*0.15</f>
        <v>-1200134.8769999999</v>
      </c>
    </row>
    <row r="143" spans="2:5" ht="17.25">
      <c r="B143" s="178" t="s">
        <v>289</v>
      </c>
      <c r="C143" s="180">
        <f>C135-C141-C142</f>
        <v>-401895.74599999998</v>
      </c>
      <c r="D143" s="171"/>
      <c r="E143" s="180">
        <f>E135-E142</f>
        <v>-7796237.1229999997</v>
      </c>
    </row>
    <row r="144" spans="2:5" ht="17.25">
      <c r="B144" s="194"/>
      <c r="C144" s="171"/>
      <c r="D144" s="171"/>
      <c r="E144" s="171"/>
    </row>
    <row r="145" spans="2:5" ht="17.25">
      <c r="B145" s="194"/>
      <c r="C145" s="171">
        <f>C143-PASH!B57</f>
        <v>0.25400000001536682</v>
      </c>
      <c r="D145" s="171"/>
      <c r="E145" s="171">
        <v>-0.15150000248104301</v>
      </c>
    </row>
    <row r="146" spans="2:5" ht="17.25">
      <c r="B146" s="194"/>
      <c r="C146" s="171"/>
      <c r="D146" s="171"/>
      <c r="E146" s="171"/>
    </row>
    <row r="147" spans="2:5" ht="17.25">
      <c r="B147" s="194"/>
      <c r="C147" s="171"/>
      <c r="D147" s="171"/>
      <c r="E147" s="171"/>
    </row>
    <row r="148" spans="2:5" ht="17.25">
      <c r="B148" s="194"/>
      <c r="C148" s="171"/>
      <c r="D148" s="171"/>
      <c r="E148" s="171"/>
    </row>
    <row r="149" spans="2:5" ht="17.25">
      <c r="B149" s="194"/>
      <c r="C149" s="171"/>
      <c r="D149" s="171"/>
      <c r="E149" s="171"/>
    </row>
    <row r="150" spans="2:5" ht="17.25">
      <c r="B150" s="194"/>
      <c r="C150" s="171"/>
      <c r="D150" s="171"/>
      <c r="E150" s="171"/>
    </row>
    <row r="151" spans="2:5" ht="17.25">
      <c r="B151" s="194"/>
      <c r="C151" s="171"/>
      <c r="D151" s="171"/>
      <c r="E151" s="171"/>
    </row>
    <row r="152" spans="2:5" ht="17.25">
      <c r="B152" s="194"/>
      <c r="C152" s="171"/>
      <c r="D152" s="171"/>
      <c r="E152" s="171"/>
    </row>
    <row r="153" spans="2:5" ht="17.25">
      <c r="B153" s="194"/>
      <c r="C153" s="171"/>
      <c r="D153" s="171"/>
      <c r="E153" s="171"/>
    </row>
    <row r="154" spans="2:5" ht="16.5">
      <c r="B154" s="165"/>
      <c r="C154" s="175"/>
      <c r="D154" s="175"/>
      <c r="E154" s="175"/>
    </row>
    <row r="155" spans="2:5" ht="16.5">
      <c r="B155" s="165"/>
      <c r="C155" s="175"/>
      <c r="D155" s="175"/>
      <c r="E155" s="175"/>
    </row>
    <row r="156" spans="2:5" ht="16.5">
      <c r="B156" s="165"/>
      <c r="C156" s="175"/>
      <c r="D156" s="175"/>
      <c r="E156" s="175"/>
    </row>
    <row r="157" spans="2:5" ht="16.5">
      <c r="B157" s="165"/>
      <c r="C157" s="175"/>
      <c r="D157" s="175"/>
      <c r="E157" s="175"/>
    </row>
    <row r="158" spans="2:5" ht="16.5">
      <c r="B158" s="165"/>
      <c r="C158" s="175"/>
      <c r="D158" s="175"/>
      <c r="E158" s="175"/>
    </row>
    <row r="159" spans="2:5" ht="16.5">
      <c r="B159" s="165"/>
      <c r="C159" s="175"/>
      <c r="D159" s="175"/>
      <c r="E159" s="175"/>
    </row>
    <row r="160" spans="2:5" ht="16.5">
      <c r="B160" s="165"/>
      <c r="C160" s="175"/>
      <c r="D160" s="175"/>
      <c r="E160" s="175"/>
    </row>
    <row r="161" spans="2:5" ht="16.5">
      <c r="B161" s="165"/>
      <c r="C161" s="175"/>
      <c r="D161" s="175"/>
      <c r="E161" s="175"/>
    </row>
    <row r="162" spans="2:5" ht="16.5">
      <c r="B162" s="165"/>
      <c r="C162" s="175"/>
      <c r="D162" s="175"/>
      <c r="E162" s="175"/>
    </row>
    <row r="163" spans="2:5" ht="16.5">
      <c r="B163" s="165"/>
      <c r="C163" s="175"/>
      <c r="D163" s="175"/>
      <c r="E163" s="175"/>
    </row>
    <row r="164" spans="2:5" ht="16.5">
      <c r="B164" s="165"/>
      <c r="C164" s="175"/>
      <c r="D164" s="175"/>
      <c r="E164" s="175"/>
    </row>
    <row r="165" spans="2:5" ht="16.5">
      <c r="B165" s="165"/>
      <c r="C165" s="175"/>
      <c r="D165" s="175"/>
      <c r="E165" s="175"/>
    </row>
    <row r="166" spans="2:5">
      <c r="C166" s="209"/>
      <c r="D166" s="209"/>
      <c r="E166" s="209"/>
    </row>
    <row r="167" spans="2:5">
      <c r="C167" s="209"/>
      <c r="D167" s="209"/>
      <c r="E167" s="209"/>
    </row>
    <row r="168" spans="2:5">
      <c r="C168" s="209"/>
      <c r="D168" s="209"/>
      <c r="E168" s="209"/>
    </row>
    <row r="169" spans="2:5">
      <c r="C169" s="209"/>
      <c r="D169" s="209"/>
      <c r="E169" s="209"/>
    </row>
    <row r="170" spans="2:5">
      <c r="C170" s="209"/>
      <c r="D170" s="209"/>
      <c r="E170" s="209"/>
    </row>
    <row r="171" spans="2:5">
      <c r="C171" s="209"/>
      <c r="D171" s="209"/>
      <c r="E171" s="209"/>
    </row>
    <row r="172" spans="2:5">
      <c r="C172" s="209"/>
      <c r="D172" s="209"/>
      <c r="E172" s="209"/>
    </row>
    <row r="173" spans="2:5">
      <c r="C173" s="209"/>
      <c r="D173" s="209"/>
      <c r="E173" s="209"/>
    </row>
    <row r="174" spans="2:5">
      <c r="C174" s="209"/>
      <c r="D174" s="209"/>
      <c r="E174" s="209"/>
    </row>
    <row r="175" spans="2:5">
      <c r="C175" s="209"/>
      <c r="D175" s="209"/>
      <c r="E175" s="209"/>
    </row>
    <row r="176" spans="2:5">
      <c r="C176" s="209"/>
      <c r="D176" s="209"/>
      <c r="E176" s="209"/>
    </row>
    <row r="177" spans="3:5">
      <c r="C177" s="209"/>
      <c r="D177" s="209"/>
      <c r="E177" s="209"/>
    </row>
    <row r="178" spans="3:5">
      <c r="C178" s="209"/>
      <c r="D178" s="209"/>
      <c r="E178" s="209"/>
    </row>
    <row r="179" spans="3:5">
      <c r="C179" s="209"/>
      <c r="D179" s="209"/>
      <c r="E179" s="209"/>
    </row>
    <row r="180" spans="3:5">
      <c r="C180" s="209"/>
      <c r="D180" s="209"/>
      <c r="E180" s="209"/>
    </row>
    <row r="181" spans="3:5">
      <c r="C181" s="209"/>
      <c r="D181" s="209"/>
      <c r="E181" s="209"/>
    </row>
    <row r="182" spans="3:5">
      <c r="C182" s="209"/>
      <c r="D182" s="209"/>
      <c r="E182" s="209"/>
    </row>
    <row r="183" spans="3:5">
      <c r="C183" s="210"/>
      <c r="D183" s="210"/>
      <c r="E183" s="210"/>
    </row>
    <row r="184" spans="3:5">
      <c r="C184" s="210"/>
      <c r="D184" s="210"/>
      <c r="E184" s="210"/>
    </row>
    <row r="185" spans="3:5">
      <c r="C185" s="210"/>
      <c r="D185" s="210"/>
      <c r="E185" s="210"/>
    </row>
    <row r="186" spans="3:5">
      <c r="C186" s="210"/>
      <c r="D186" s="210"/>
      <c r="E186" s="210"/>
    </row>
    <row r="187" spans="3:5">
      <c r="C187" s="210"/>
      <c r="D187" s="210"/>
      <c r="E187" s="210"/>
    </row>
    <row r="188" spans="3:5">
      <c r="C188" s="210"/>
      <c r="D188" s="210"/>
      <c r="E188" s="210"/>
    </row>
  </sheetData>
  <mergeCells count="4">
    <mergeCell ref="B108:C108"/>
    <mergeCell ref="B121:C121"/>
    <mergeCell ref="B127:C127"/>
    <mergeCell ref="B48:E4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8"/>
  <sheetViews>
    <sheetView topLeftCell="A3" workbookViewId="0">
      <selection activeCell="A3" sqref="A3:H17"/>
    </sheetView>
  </sheetViews>
  <sheetFormatPr defaultRowHeight="15"/>
  <cols>
    <col min="1" max="1" width="21.42578125" customWidth="1"/>
    <col min="2" max="2" width="16" customWidth="1"/>
    <col min="3" max="3" width="1.7109375" customWidth="1"/>
    <col min="4" max="4" width="16.5703125" customWidth="1"/>
    <col min="5" max="5" width="1.7109375" customWidth="1"/>
    <col min="6" max="6" width="12.140625" customWidth="1"/>
    <col min="7" max="7" width="1.7109375" customWidth="1"/>
    <col min="8" max="8" width="15" customWidth="1"/>
    <col min="9" max="9" width="12.140625" customWidth="1"/>
  </cols>
  <sheetData>
    <row r="1" spans="1:11">
      <c r="A1" s="162" t="s">
        <v>294</v>
      </c>
      <c r="B1" s="211"/>
      <c r="C1" s="211"/>
      <c r="D1" s="212"/>
      <c r="E1" s="212"/>
      <c r="F1" s="212"/>
      <c r="G1" s="212"/>
      <c r="H1" s="212"/>
    </row>
    <row r="2" spans="1:11" ht="15.75">
      <c r="A2" s="213" t="s">
        <v>309</v>
      </c>
      <c r="B2" s="214"/>
      <c r="C2" s="214"/>
      <c r="D2" s="214"/>
      <c r="E2" s="215"/>
      <c r="F2" s="214"/>
      <c r="G2" s="215"/>
      <c r="H2" s="214"/>
    </row>
    <row r="3" spans="1:11">
      <c r="A3" s="216"/>
      <c r="B3" s="217" t="s">
        <v>295</v>
      </c>
      <c r="C3" s="217"/>
      <c r="D3" s="217" t="s">
        <v>296</v>
      </c>
      <c r="E3" s="218"/>
      <c r="F3" s="217" t="s">
        <v>16</v>
      </c>
      <c r="G3" s="219"/>
      <c r="H3" s="217" t="s">
        <v>192</v>
      </c>
    </row>
    <row r="4" spans="1:11">
      <c r="A4" s="220" t="s">
        <v>297</v>
      </c>
      <c r="B4" s="221"/>
      <c r="C4" s="221"/>
      <c r="D4" s="222"/>
      <c r="E4" s="221"/>
      <c r="F4" s="221"/>
      <c r="G4" s="221"/>
      <c r="H4" s="223"/>
    </row>
    <row r="5" spans="1:11">
      <c r="A5" s="223" t="s">
        <v>310</v>
      </c>
      <c r="B5" s="223">
        <f>1488360+27038540</f>
        <v>28526900</v>
      </c>
      <c r="C5" s="223"/>
      <c r="D5" s="222">
        <f>8091096.68+367890</f>
        <v>8458986.6799999997</v>
      </c>
      <c r="E5" s="221"/>
      <c r="F5" s="223">
        <f>17325+333333.33+7516899</f>
        <v>7867557.3300000001</v>
      </c>
      <c r="G5" s="221"/>
      <c r="H5" s="223">
        <f>SUM(B5:G5)</f>
        <v>44853444.009999998</v>
      </c>
    </row>
    <row r="6" spans="1:11">
      <c r="A6" s="223" t="s">
        <v>298</v>
      </c>
      <c r="B6" s="223">
        <v>15121232.33</v>
      </c>
      <c r="C6" s="223"/>
      <c r="D6" s="223">
        <v>0</v>
      </c>
      <c r="E6" s="224"/>
      <c r="F6" s="223">
        <f>3075000+4529333.33</f>
        <v>7604333.3300000001</v>
      </c>
      <c r="G6" s="224"/>
      <c r="H6" s="223">
        <f t="shared" ref="H6:H7" si="0">SUM(B6:G6)</f>
        <v>22725565.66</v>
      </c>
      <c r="K6" s="226"/>
    </row>
    <row r="7" spans="1:11">
      <c r="A7" s="223" t="s">
        <v>299</v>
      </c>
      <c r="B7" s="223">
        <v>0</v>
      </c>
      <c r="C7" s="223"/>
      <c r="D7" s="223">
        <f>-(7963800+367890)</f>
        <v>-8331690</v>
      </c>
      <c r="E7" s="223"/>
      <c r="F7" s="223">
        <v>-15121232.33</v>
      </c>
      <c r="G7" s="223"/>
      <c r="H7" s="223">
        <f t="shared" si="0"/>
        <v>-23452922.329999998</v>
      </c>
    </row>
    <row r="8" spans="1:11" ht="15.75" thickBot="1">
      <c r="A8" s="223" t="s">
        <v>311</v>
      </c>
      <c r="B8" s="225">
        <f>SUM(B5:B7)</f>
        <v>43648132.329999998</v>
      </c>
      <c r="C8" s="225">
        <f t="shared" ref="C8:F8" si="1">SUM(C5:C7)</f>
        <v>0</v>
      </c>
      <c r="D8" s="225">
        <f t="shared" si="1"/>
        <v>127296.6799999997</v>
      </c>
      <c r="E8" s="225">
        <f t="shared" si="1"/>
        <v>0</v>
      </c>
      <c r="F8" s="225">
        <f t="shared" si="1"/>
        <v>350658.33000000007</v>
      </c>
      <c r="G8" s="225"/>
      <c r="H8" s="225">
        <f>SUM(H5:H7)</f>
        <v>44126087.340000004</v>
      </c>
    </row>
    <row r="9" spans="1:11" ht="15.75" thickTop="1">
      <c r="A9" s="223"/>
      <c r="B9" s="223"/>
      <c r="C9" s="223"/>
      <c r="D9" s="223"/>
      <c r="E9" s="223"/>
      <c r="F9" s="223"/>
      <c r="G9" s="223"/>
      <c r="H9" s="223"/>
    </row>
    <row r="10" spans="1:11">
      <c r="A10" s="220" t="s">
        <v>300</v>
      </c>
      <c r="B10" s="223"/>
      <c r="C10" s="223"/>
      <c r="D10" s="223"/>
      <c r="E10" s="223"/>
      <c r="F10" s="223"/>
      <c r="G10" s="223"/>
      <c r="H10" s="223"/>
    </row>
    <row r="11" spans="1:11">
      <c r="A11" s="223" t="s">
        <v>312</v>
      </c>
      <c r="B11" s="223">
        <v>563303</v>
      </c>
      <c r="C11" s="223"/>
      <c r="D11" s="223">
        <v>1691797</v>
      </c>
      <c r="E11" s="223"/>
      <c r="F11" s="223">
        <v>70998</v>
      </c>
      <c r="G11" s="223"/>
      <c r="H11" s="223">
        <f>SUM(B11:G11)</f>
        <v>2326098</v>
      </c>
    </row>
    <row r="12" spans="1:11">
      <c r="A12" s="223" t="s">
        <v>301</v>
      </c>
      <c r="B12" s="223">
        <v>1323762</v>
      </c>
      <c r="C12" s="223"/>
      <c r="D12" s="223">
        <f>869840+45284</f>
        <v>915124</v>
      </c>
      <c r="E12" s="224"/>
      <c r="F12" s="223">
        <f>53334+3249</f>
        <v>56583</v>
      </c>
      <c r="G12" s="224"/>
      <c r="H12" s="223">
        <f t="shared" ref="H12:H13" si="2">SUM(B12:G12)</f>
        <v>2295469</v>
      </c>
    </row>
    <row r="13" spans="1:11">
      <c r="A13" s="223" t="s">
        <v>299</v>
      </c>
      <c r="B13" s="223">
        <v>0</v>
      </c>
      <c r="C13" s="223"/>
      <c r="D13" s="223">
        <f>-(2442232+118862)</f>
        <v>-2561094</v>
      </c>
      <c r="E13" s="223"/>
      <c r="F13" s="223"/>
      <c r="G13" s="223"/>
      <c r="H13" s="223">
        <f t="shared" si="2"/>
        <v>-2561094</v>
      </c>
    </row>
    <row r="14" spans="1:11" ht="15.75" thickBot="1">
      <c r="A14" s="223" t="s">
        <v>313</v>
      </c>
      <c r="B14" s="225">
        <f>SUM(B11:B13)</f>
        <v>1887065</v>
      </c>
      <c r="C14" s="225">
        <f t="shared" ref="C14:F14" si="3">SUM(C11:C13)</f>
        <v>0</v>
      </c>
      <c r="D14" s="225">
        <f t="shared" si="3"/>
        <v>45827</v>
      </c>
      <c r="E14" s="225">
        <f t="shared" si="3"/>
        <v>0</v>
      </c>
      <c r="F14" s="225">
        <f t="shared" si="3"/>
        <v>127581</v>
      </c>
      <c r="G14" s="225"/>
      <c r="H14" s="225">
        <f>SUM(B14:G14)</f>
        <v>2060473</v>
      </c>
    </row>
    <row r="15" spans="1:11" ht="15.75" thickTop="1">
      <c r="A15" s="223"/>
      <c r="B15" s="223"/>
      <c r="C15" s="223"/>
      <c r="D15" s="223"/>
      <c r="E15" s="223"/>
      <c r="F15" s="223"/>
      <c r="G15" s="223"/>
      <c r="H15" s="223"/>
    </row>
    <row r="16" spans="1:11">
      <c r="A16" s="220" t="s">
        <v>314</v>
      </c>
      <c r="B16" s="223">
        <f>B5-B11</f>
        <v>27963597</v>
      </c>
      <c r="C16" s="223"/>
      <c r="D16" s="223">
        <f>D5-D11</f>
        <v>6767189.6799999997</v>
      </c>
      <c r="E16" s="223"/>
      <c r="F16" s="223">
        <f>F5-F14</f>
        <v>7739976.3300000001</v>
      </c>
      <c r="G16" s="223"/>
      <c r="H16" s="223">
        <f>H5-H11</f>
        <v>42527346.009999998</v>
      </c>
      <c r="I16" s="226">
        <f>H16-BK!D44-BK!D45-BK!D46</f>
        <v>2.9999998223502189E-2</v>
      </c>
    </row>
    <row r="17" spans="1:9" ht="15.75" thickBot="1">
      <c r="A17" s="220" t="s">
        <v>315</v>
      </c>
      <c r="B17" s="225">
        <f>B8-B14</f>
        <v>41761067.329999998</v>
      </c>
      <c r="C17" s="225">
        <f t="shared" ref="C17:G17" si="4">C8-C14</f>
        <v>0</v>
      </c>
      <c r="D17" s="225">
        <f t="shared" si="4"/>
        <v>81469.679999999702</v>
      </c>
      <c r="E17" s="225">
        <f t="shared" si="4"/>
        <v>0</v>
      </c>
      <c r="F17" s="225">
        <f t="shared" si="4"/>
        <v>223077.33000000007</v>
      </c>
      <c r="G17" s="225">
        <f t="shared" si="4"/>
        <v>0</v>
      </c>
      <c r="H17" s="225">
        <f>H8-H14</f>
        <v>42065614.340000004</v>
      </c>
      <c r="I17" s="226">
        <f>H17-BK!B44-BK!B45-BK!B46</f>
        <v>3.0000005383044481E-2</v>
      </c>
    </row>
    <row r="18" spans="1:9" ht="15.75" thickTop="1">
      <c r="F18" s="226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30"/>
  <sheetViews>
    <sheetView workbookViewId="0">
      <selection activeCell="N24" sqref="N24"/>
    </sheetView>
  </sheetViews>
  <sheetFormatPr defaultColWidth="9.140625" defaultRowHeight="12.75"/>
  <cols>
    <col min="1" max="1" width="10.140625" style="232" customWidth="1"/>
    <col min="2" max="2" width="10.140625" style="233" customWidth="1"/>
    <col min="3" max="3" width="9" style="233" customWidth="1"/>
    <col min="4" max="4" width="10.28515625" style="233" customWidth="1"/>
    <col min="5" max="5" width="10.85546875" style="233" customWidth="1"/>
    <col min="6" max="6" width="10.7109375" style="233" customWidth="1"/>
    <col min="7" max="7" width="12.5703125" style="233" customWidth="1"/>
    <col min="8" max="8" width="11.7109375" style="233" customWidth="1"/>
    <col min="9" max="9" width="6" style="233" customWidth="1"/>
    <col min="10" max="10" width="10.7109375" style="233" customWidth="1"/>
    <col min="11" max="11" width="9.85546875" style="233" customWidth="1"/>
    <col min="12" max="12" width="10.7109375" style="233" customWidth="1"/>
    <col min="13" max="13" width="12.28515625" style="233" customWidth="1"/>
    <col min="14" max="14" width="9.5703125" style="233" customWidth="1"/>
    <col min="15" max="16" width="10" style="233" customWidth="1"/>
    <col min="17" max="17" width="12.85546875" style="332" customWidth="1"/>
    <col min="18" max="18" width="10.28515625" style="233" customWidth="1"/>
    <col min="19" max="19" width="9.140625" style="234" customWidth="1"/>
    <col min="20" max="20" width="6.7109375" style="232" customWidth="1"/>
    <col min="21" max="21" width="7.42578125" style="232" customWidth="1"/>
    <col min="22" max="22" width="11.28515625" style="232" customWidth="1"/>
    <col min="23" max="23" width="12.5703125" style="232" customWidth="1"/>
    <col min="24" max="24" width="13.5703125" style="234" customWidth="1"/>
    <col min="25" max="25" width="10.5703125" style="232" bestFit="1" customWidth="1"/>
    <col min="26" max="26" width="13" style="234" customWidth="1"/>
    <col min="27" max="16384" width="9.140625" style="232"/>
  </cols>
  <sheetData>
    <row r="1" spans="1:27" ht="24" customHeight="1"/>
    <row r="2" spans="1:27">
      <c r="D2" s="233" t="s">
        <v>361</v>
      </c>
      <c r="T2" s="234"/>
      <c r="U2" s="234"/>
      <c r="V2" s="234"/>
      <c r="W2" s="234"/>
      <c r="Y2" s="234"/>
    </row>
    <row r="3" spans="1:27" ht="13.5" thickBot="1"/>
    <row r="4" spans="1:27" s="246" customFormat="1" ht="13.5" thickBot="1">
      <c r="A4" s="235"/>
      <c r="B4" s="236"/>
      <c r="C4" s="236"/>
      <c r="D4" s="237"/>
      <c r="E4" s="236" t="s">
        <v>318</v>
      </c>
      <c r="F4" s="236"/>
      <c r="G4" s="236"/>
      <c r="H4" s="236"/>
      <c r="I4" s="236"/>
      <c r="J4" s="238" t="s">
        <v>319</v>
      </c>
      <c r="K4" s="239"/>
      <c r="L4" s="239"/>
      <c r="M4" s="239"/>
      <c r="N4" s="239"/>
      <c r="O4" s="239"/>
      <c r="P4" s="239"/>
      <c r="Q4" s="333"/>
      <c r="R4" s="239"/>
      <c r="S4" s="240"/>
      <c r="T4" s="241"/>
      <c r="U4" s="242"/>
      <c r="V4" s="243"/>
      <c r="W4" s="243"/>
      <c r="X4" s="244"/>
      <c r="Y4" s="245"/>
      <c r="Z4" s="234"/>
    </row>
    <row r="5" spans="1:27" s="246" customFormat="1" ht="25.5" customHeight="1">
      <c r="A5" s="371" t="s">
        <v>320</v>
      </c>
      <c r="B5" s="247" t="s">
        <v>321</v>
      </c>
      <c r="C5" s="247" t="s">
        <v>322</v>
      </c>
      <c r="D5" s="373" t="s">
        <v>323</v>
      </c>
      <c r="E5" s="375" t="s">
        <v>324</v>
      </c>
      <c r="F5" s="377" t="s">
        <v>325</v>
      </c>
      <c r="G5" s="248"/>
      <c r="H5" s="249" t="s">
        <v>326</v>
      </c>
      <c r="I5" s="379" t="s">
        <v>327</v>
      </c>
      <c r="J5" s="250" t="s">
        <v>328</v>
      </c>
      <c r="K5" s="251" t="s">
        <v>329</v>
      </c>
      <c r="L5" s="373" t="s">
        <v>330</v>
      </c>
      <c r="M5" s="373" t="s">
        <v>331</v>
      </c>
      <c r="N5" s="377" t="s">
        <v>332</v>
      </c>
      <c r="O5" s="248"/>
      <c r="P5" s="377" t="s">
        <v>333</v>
      </c>
      <c r="Q5" s="381" t="s">
        <v>246</v>
      </c>
      <c r="R5" s="377" t="s">
        <v>334</v>
      </c>
      <c r="S5" s="369" t="s">
        <v>331</v>
      </c>
      <c r="T5" s="252" t="s">
        <v>335</v>
      </c>
      <c r="U5" s="253"/>
      <c r="V5" s="254" t="s">
        <v>336</v>
      </c>
      <c r="W5" s="255" t="s">
        <v>327</v>
      </c>
      <c r="X5" s="256" t="s">
        <v>337</v>
      </c>
      <c r="Y5" s="257" t="s">
        <v>338</v>
      </c>
      <c r="Z5" s="258" t="s">
        <v>331</v>
      </c>
    </row>
    <row r="6" spans="1:27" s="246" customFormat="1">
      <c r="A6" s="372"/>
      <c r="B6" s="259"/>
      <c r="C6" s="259"/>
      <c r="D6" s="374"/>
      <c r="E6" s="376"/>
      <c r="F6" s="378"/>
      <c r="G6" s="260" t="s">
        <v>331</v>
      </c>
      <c r="H6" s="261" t="s">
        <v>339</v>
      </c>
      <c r="I6" s="380"/>
      <c r="J6" s="262" t="s">
        <v>340</v>
      </c>
      <c r="K6" s="263" t="s">
        <v>341</v>
      </c>
      <c r="L6" s="374"/>
      <c r="M6" s="374"/>
      <c r="N6" s="378"/>
      <c r="O6" s="260" t="s">
        <v>246</v>
      </c>
      <c r="P6" s="378"/>
      <c r="Q6" s="382"/>
      <c r="R6" s="378"/>
      <c r="S6" s="370"/>
      <c r="T6" s="264" t="s">
        <v>342</v>
      </c>
      <c r="U6" s="265" t="s">
        <v>331</v>
      </c>
      <c r="V6" s="266" t="s">
        <v>343</v>
      </c>
      <c r="W6" s="267"/>
      <c r="X6" s="268" t="s">
        <v>344</v>
      </c>
      <c r="Y6" s="269" t="s">
        <v>345</v>
      </c>
      <c r="Z6" s="270" t="s">
        <v>346</v>
      </c>
    </row>
    <row r="7" spans="1:27">
      <c r="A7" s="271" t="s">
        <v>347</v>
      </c>
      <c r="B7" s="272"/>
      <c r="C7" s="272"/>
      <c r="D7" s="273"/>
      <c r="E7" s="273"/>
      <c r="F7" s="273"/>
      <c r="G7" s="274">
        <f>F7*0.2</f>
        <v>0</v>
      </c>
      <c r="H7" s="275"/>
      <c r="I7" s="276"/>
      <c r="J7" s="277"/>
      <c r="K7" s="272"/>
      <c r="L7" s="275"/>
      <c r="M7" s="278"/>
      <c r="N7" s="273"/>
      <c r="O7" s="273"/>
      <c r="P7" s="279"/>
      <c r="Q7" s="334"/>
      <c r="R7" s="280"/>
      <c r="S7" s="281"/>
      <c r="T7" s="282"/>
      <c r="U7" s="281"/>
      <c r="V7" s="283"/>
      <c r="W7" s="284"/>
      <c r="X7" s="285">
        <v>1777433</v>
      </c>
      <c r="Y7" s="286"/>
      <c r="Z7" s="287"/>
    </row>
    <row r="8" spans="1:27">
      <c r="A8" s="271" t="s">
        <v>348</v>
      </c>
      <c r="B8" s="288"/>
      <c r="C8" s="288"/>
      <c r="D8" s="289"/>
      <c r="E8" s="289"/>
      <c r="F8" s="289"/>
      <c r="G8" s="274">
        <f t="shared" ref="G8:G19" si="0">F8*0.2</f>
        <v>0</v>
      </c>
      <c r="H8" s="275"/>
      <c r="I8" s="290"/>
      <c r="J8" s="291"/>
      <c r="K8" s="292">
        <v>0</v>
      </c>
      <c r="L8" s="293"/>
      <c r="M8" s="293">
        <f>L8*0.2</f>
        <v>0</v>
      </c>
      <c r="N8" s="293"/>
      <c r="O8" s="293">
        <v>0</v>
      </c>
      <c r="P8" s="293"/>
      <c r="Q8" s="335">
        <f>P8*0.2</f>
        <v>0</v>
      </c>
      <c r="R8" s="294"/>
      <c r="S8" s="295"/>
      <c r="T8" s="296"/>
      <c r="U8" s="297">
        <f>T8*0.2</f>
        <v>0</v>
      </c>
      <c r="V8" s="298"/>
      <c r="W8" s="299"/>
      <c r="X8" s="300">
        <f>+X7+U8+S8+Q8+O8+M8-G8+Y8</f>
        <v>1777433</v>
      </c>
      <c r="Y8" s="301"/>
      <c r="Z8" s="302">
        <f>G8-M8-S8-O8-U8-Q8</f>
        <v>0</v>
      </c>
      <c r="AA8" s="303"/>
    </row>
    <row r="9" spans="1:27">
      <c r="A9" s="271" t="s">
        <v>349</v>
      </c>
      <c r="B9" s="288"/>
      <c r="C9" s="288"/>
      <c r="D9" s="289"/>
      <c r="E9" s="289"/>
      <c r="F9" s="289"/>
      <c r="G9" s="274">
        <f t="shared" si="0"/>
        <v>0</v>
      </c>
      <c r="H9" s="275"/>
      <c r="I9" s="290"/>
      <c r="J9" s="291"/>
      <c r="K9" s="292">
        <v>0</v>
      </c>
      <c r="L9" s="293"/>
      <c r="M9" s="293">
        <f t="shared" ref="M9:M19" si="1">L9*0.2</f>
        <v>0</v>
      </c>
      <c r="N9" s="293"/>
      <c r="O9" s="293">
        <f>N9*0.2</f>
        <v>0</v>
      </c>
      <c r="P9" s="293">
        <v>1667</v>
      </c>
      <c r="Q9" s="335">
        <v>333</v>
      </c>
      <c r="R9" s="294"/>
      <c r="S9" s="297">
        <f>R9*0.2</f>
        <v>0</v>
      </c>
      <c r="T9" s="296"/>
      <c r="U9" s="297">
        <f>T9*0.2</f>
        <v>0</v>
      </c>
      <c r="V9" s="298"/>
      <c r="W9" s="299"/>
      <c r="X9" s="300">
        <f t="shared" ref="X9:X19" si="2">+X8+U9+S9+Q9+O9+M9-G9+Y9</f>
        <v>1777766</v>
      </c>
      <c r="Y9" s="301"/>
      <c r="Z9" s="302">
        <f t="shared" ref="Z9:Z19" si="3">G9-M9-S9-O9-U9-Q9</f>
        <v>-333</v>
      </c>
      <c r="AA9" s="304"/>
    </row>
    <row r="10" spans="1:27">
      <c r="A10" s="271" t="s">
        <v>350</v>
      </c>
      <c r="B10" s="288"/>
      <c r="C10" s="288"/>
      <c r="D10" s="289">
        <v>1648599</v>
      </c>
      <c r="E10" s="289"/>
      <c r="F10" s="289"/>
      <c r="G10" s="274">
        <f t="shared" si="0"/>
        <v>0</v>
      </c>
      <c r="H10" s="275"/>
      <c r="I10" s="290"/>
      <c r="J10" s="291"/>
      <c r="K10" s="292">
        <v>0</v>
      </c>
      <c r="L10" s="293">
        <v>1474235</v>
      </c>
      <c r="M10" s="293">
        <v>294847</v>
      </c>
      <c r="N10" s="293"/>
      <c r="O10" s="293">
        <f t="shared" ref="O10:O19" si="4">N10*0.2</f>
        <v>0</v>
      </c>
      <c r="P10" s="293">
        <v>94375</v>
      </c>
      <c r="Q10" s="335">
        <v>18875</v>
      </c>
      <c r="R10" s="294"/>
      <c r="S10" s="297">
        <f t="shared" ref="S10:S19" si="5">R10*0.2</f>
        <v>0</v>
      </c>
      <c r="T10" s="296"/>
      <c r="U10" s="297">
        <f>T10*0.2</f>
        <v>0</v>
      </c>
      <c r="V10" s="298"/>
      <c r="W10" s="299"/>
      <c r="X10" s="300">
        <f t="shared" si="2"/>
        <v>2091488</v>
      </c>
      <c r="Y10" s="301"/>
      <c r="Z10" s="302">
        <f t="shared" si="3"/>
        <v>-313722</v>
      </c>
    </row>
    <row r="11" spans="1:27">
      <c r="A11" s="271" t="s">
        <v>351</v>
      </c>
      <c r="B11" s="288"/>
      <c r="C11" s="288"/>
      <c r="D11" s="289"/>
      <c r="E11" s="289"/>
      <c r="F11" s="289"/>
      <c r="G11" s="274">
        <f t="shared" si="0"/>
        <v>0</v>
      </c>
      <c r="H11" s="275"/>
      <c r="I11" s="290"/>
      <c r="J11" s="291"/>
      <c r="K11" s="292">
        <v>0</v>
      </c>
      <c r="L11" s="293"/>
      <c r="M11" s="293">
        <f t="shared" si="1"/>
        <v>0</v>
      </c>
      <c r="N11" s="293"/>
      <c r="O11" s="293">
        <f t="shared" si="4"/>
        <v>0</v>
      </c>
      <c r="P11" s="293">
        <v>1667</v>
      </c>
      <c r="Q11" s="335">
        <v>333</v>
      </c>
      <c r="R11" s="294"/>
      <c r="S11" s="297">
        <f t="shared" si="5"/>
        <v>0</v>
      </c>
      <c r="T11" s="296"/>
      <c r="U11" s="297">
        <f>T11*0.2</f>
        <v>0</v>
      </c>
      <c r="V11" s="298"/>
      <c r="W11" s="299"/>
      <c r="X11" s="300">
        <f t="shared" si="2"/>
        <v>2091821</v>
      </c>
      <c r="Y11" s="301"/>
      <c r="Z11" s="302">
        <f t="shared" si="3"/>
        <v>-333</v>
      </c>
    </row>
    <row r="12" spans="1:27">
      <c r="A12" s="271" t="s">
        <v>352</v>
      </c>
      <c r="B12" s="288"/>
      <c r="C12" s="288"/>
      <c r="D12" s="289"/>
      <c r="E12" s="289"/>
      <c r="F12" s="289">
        <v>1432084</v>
      </c>
      <c r="G12" s="274">
        <v>286417</v>
      </c>
      <c r="H12" s="275"/>
      <c r="I12" s="290"/>
      <c r="J12" s="291"/>
      <c r="K12" s="292">
        <v>0</v>
      </c>
      <c r="L12" s="293"/>
      <c r="M12" s="293">
        <f t="shared" si="1"/>
        <v>0</v>
      </c>
      <c r="N12" s="293"/>
      <c r="O12" s="293">
        <f t="shared" si="4"/>
        <v>0</v>
      </c>
      <c r="P12" s="293">
        <v>1667</v>
      </c>
      <c r="Q12" s="335">
        <v>333</v>
      </c>
      <c r="R12" s="294"/>
      <c r="S12" s="297">
        <f t="shared" si="5"/>
        <v>0</v>
      </c>
      <c r="T12" s="296">
        <v>0</v>
      </c>
      <c r="U12" s="297">
        <f t="shared" ref="U12:U19" si="6">T12*0.2</f>
        <v>0</v>
      </c>
      <c r="V12" s="298"/>
      <c r="W12" s="299"/>
      <c r="X12" s="300">
        <f t="shared" si="2"/>
        <v>1805737</v>
      </c>
      <c r="Y12" s="301"/>
      <c r="Z12" s="302">
        <f t="shared" si="3"/>
        <v>286084</v>
      </c>
    </row>
    <row r="13" spans="1:27">
      <c r="A13" s="271" t="s">
        <v>353</v>
      </c>
      <c r="B13" s="288"/>
      <c r="C13" s="288"/>
      <c r="D13" s="289"/>
      <c r="E13" s="289"/>
      <c r="F13" s="289">
        <v>3260210</v>
      </c>
      <c r="G13" s="274">
        <v>652042</v>
      </c>
      <c r="H13" s="275"/>
      <c r="I13" s="290"/>
      <c r="J13" s="291"/>
      <c r="K13" s="292">
        <v>0</v>
      </c>
      <c r="L13" s="293"/>
      <c r="M13" s="293">
        <f t="shared" si="1"/>
        <v>0</v>
      </c>
      <c r="N13" s="293"/>
      <c r="O13" s="293">
        <f t="shared" si="4"/>
        <v>0</v>
      </c>
      <c r="P13" s="293">
        <v>1667</v>
      </c>
      <c r="Q13" s="335">
        <v>333</v>
      </c>
      <c r="R13" s="294">
        <v>3075000</v>
      </c>
      <c r="S13" s="297">
        <v>615000</v>
      </c>
      <c r="T13" s="296">
        <v>0</v>
      </c>
      <c r="U13" s="297">
        <f t="shared" si="6"/>
        <v>0</v>
      </c>
      <c r="V13" s="298"/>
      <c r="W13" s="299"/>
      <c r="X13" s="300">
        <f t="shared" si="2"/>
        <v>1769028</v>
      </c>
      <c r="Y13" s="301"/>
      <c r="Z13" s="302">
        <f t="shared" si="3"/>
        <v>36709</v>
      </c>
    </row>
    <row r="14" spans="1:27">
      <c r="A14" s="305" t="s">
        <v>354</v>
      </c>
      <c r="B14" s="306"/>
      <c r="C14" s="306"/>
      <c r="D14" s="289"/>
      <c r="E14" s="289"/>
      <c r="F14" s="289"/>
      <c r="G14" s="274">
        <v>0</v>
      </c>
      <c r="H14" s="275"/>
      <c r="I14" s="290"/>
      <c r="J14" s="291"/>
      <c r="K14" s="292">
        <v>0</v>
      </c>
      <c r="L14" s="293"/>
      <c r="M14" s="293">
        <f t="shared" si="1"/>
        <v>0</v>
      </c>
      <c r="N14" s="293"/>
      <c r="O14" s="293">
        <f t="shared" si="4"/>
        <v>0</v>
      </c>
      <c r="P14" s="293">
        <v>22000</v>
      </c>
      <c r="Q14" s="335">
        <v>4400</v>
      </c>
      <c r="R14" s="294"/>
      <c r="S14" s="297">
        <v>0</v>
      </c>
      <c r="T14" s="296">
        <v>0</v>
      </c>
      <c r="U14" s="297">
        <f>T14*0.2</f>
        <v>0</v>
      </c>
      <c r="V14" s="298"/>
      <c r="W14" s="299"/>
      <c r="X14" s="300">
        <f t="shared" si="2"/>
        <v>1773428</v>
      </c>
      <c r="Y14" s="301"/>
      <c r="Z14" s="302">
        <f t="shared" si="3"/>
        <v>-4400</v>
      </c>
    </row>
    <row r="15" spans="1:27">
      <c r="A15" s="271" t="s">
        <v>355</v>
      </c>
      <c r="B15" s="288">
        <v>5521568</v>
      </c>
      <c r="C15" s="288"/>
      <c r="D15" s="289"/>
      <c r="E15" s="289"/>
      <c r="F15" s="289">
        <v>67693</v>
      </c>
      <c r="G15" s="274">
        <v>13539</v>
      </c>
      <c r="H15" s="275"/>
      <c r="I15" s="290"/>
      <c r="J15" s="291"/>
      <c r="K15" s="292">
        <v>0</v>
      </c>
      <c r="L15" s="293"/>
      <c r="M15" s="293">
        <f t="shared" si="1"/>
        <v>0</v>
      </c>
      <c r="N15" s="293"/>
      <c r="O15" s="293">
        <f t="shared" si="4"/>
        <v>0</v>
      </c>
      <c r="P15" s="293">
        <v>1667</v>
      </c>
      <c r="Q15" s="335">
        <v>333</v>
      </c>
      <c r="R15" s="294">
        <v>4529334</v>
      </c>
      <c r="S15" s="297">
        <v>905866.8</v>
      </c>
      <c r="T15" s="296">
        <v>0</v>
      </c>
      <c r="U15" s="297">
        <f t="shared" si="6"/>
        <v>0</v>
      </c>
      <c r="V15" s="298"/>
      <c r="W15" s="299"/>
      <c r="X15" s="300">
        <f t="shared" si="2"/>
        <v>2666088.7999999998</v>
      </c>
      <c r="Y15" s="301"/>
      <c r="Z15" s="302">
        <f t="shared" si="3"/>
        <v>-892660.8</v>
      </c>
    </row>
    <row r="16" spans="1:27">
      <c r="A16" s="271" t="s">
        <v>356</v>
      </c>
      <c r="B16" s="288"/>
      <c r="C16" s="288"/>
      <c r="D16" s="289">
        <v>0</v>
      </c>
      <c r="E16" s="289"/>
      <c r="F16" s="289">
        <v>1219500</v>
      </c>
      <c r="G16" s="274">
        <v>243900</v>
      </c>
      <c r="H16" s="275"/>
      <c r="I16" s="290"/>
      <c r="J16" s="291"/>
      <c r="K16" s="292">
        <v>0</v>
      </c>
      <c r="L16" s="293"/>
      <c r="M16" s="293">
        <f t="shared" si="1"/>
        <v>0</v>
      </c>
      <c r="N16" s="293"/>
      <c r="O16" s="293">
        <f t="shared" si="4"/>
        <v>0</v>
      </c>
      <c r="P16" s="293">
        <v>1667</v>
      </c>
      <c r="Q16" s="335">
        <v>333</v>
      </c>
      <c r="R16" s="294"/>
      <c r="S16" s="297">
        <f t="shared" si="5"/>
        <v>0</v>
      </c>
      <c r="T16" s="296">
        <v>0</v>
      </c>
      <c r="U16" s="297">
        <f t="shared" si="6"/>
        <v>0</v>
      </c>
      <c r="V16" s="298"/>
      <c r="W16" s="299"/>
      <c r="X16" s="300">
        <f t="shared" si="2"/>
        <v>2422521.7999999998</v>
      </c>
      <c r="Y16" s="301"/>
      <c r="Z16" s="302">
        <f t="shared" si="3"/>
        <v>243567</v>
      </c>
    </row>
    <row r="17" spans="1:26">
      <c r="A17" s="271" t="s">
        <v>357</v>
      </c>
      <c r="B17" s="288"/>
      <c r="C17" s="288"/>
      <c r="D17" s="289">
        <v>0</v>
      </c>
      <c r="E17" s="289"/>
      <c r="F17" s="289"/>
      <c r="G17" s="274">
        <v>0</v>
      </c>
      <c r="H17" s="275"/>
      <c r="I17" s="290"/>
      <c r="J17" s="291"/>
      <c r="K17" s="292">
        <v>0</v>
      </c>
      <c r="L17" s="293"/>
      <c r="M17" s="293">
        <f t="shared" si="1"/>
        <v>0</v>
      </c>
      <c r="N17" s="293"/>
      <c r="O17" s="293">
        <f t="shared" si="4"/>
        <v>0</v>
      </c>
      <c r="P17" s="293">
        <v>1667</v>
      </c>
      <c r="Q17" s="335">
        <v>333</v>
      </c>
      <c r="R17" s="294"/>
      <c r="S17" s="297">
        <f t="shared" si="5"/>
        <v>0</v>
      </c>
      <c r="T17" s="296">
        <v>0</v>
      </c>
      <c r="U17" s="297">
        <f t="shared" si="6"/>
        <v>0</v>
      </c>
      <c r="V17" s="298"/>
      <c r="W17" s="299"/>
      <c r="X17" s="300">
        <f t="shared" si="2"/>
        <v>2422854.7999999998</v>
      </c>
      <c r="Y17" s="301"/>
      <c r="Z17" s="302">
        <f t="shared" si="3"/>
        <v>-333</v>
      </c>
    </row>
    <row r="18" spans="1:26">
      <c r="A18" s="271" t="s">
        <v>358</v>
      </c>
      <c r="B18" s="288"/>
      <c r="C18" s="288"/>
      <c r="D18" s="289">
        <v>0</v>
      </c>
      <c r="E18" s="289"/>
      <c r="F18" s="289">
        <v>1228400</v>
      </c>
      <c r="G18" s="274">
        <v>245680</v>
      </c>
      <c r="H18" s="275"/>
      <c r="I18" s="290"/>
      <c r="J18" s="291"/>
      <c r="K18" s="292">
        <v>0</v>
      </c>
      <c r="L18" s="293"/>
      <c r="M18" s="293">
        <f t="shared" si="1"/>
        <v>0</v>
      </c>
      <c r="N18" s="293"/>
      <c r="O18" s="293">
        <f t="shared" si="4"/>
        <v>0</v>
      </c>
      <c r="P18" s="293">
        <v>1667</v>
      </c>
      <c r="Q18" s="335">
        <v>333</v>
      </c>
      <c r="R18" s="294"/>
      <c r="S18" s="297">
        <f t="shared" si="5"/>
        <v>0</v>
      </c>
      <c r="T18" s="296">
        <v>0</v>
      </c>
      <c r="U18" s="297">
        <f t="shared" si="6"/>
        <v>0</v>
      </c>
      <c r="V18" s="298"/>
      <c r="W18" s="299"/>
      <c r="X18" s="300">
        <f t="shared" si="2"/>
        <v>10001.799999999814</v>
      </c>
      <c r="Y18" s="301">
        <v>-2167506</v>
      </c>
      <c r="Z18" s="302">
        <f t="shared" si="3"/>
        <v>245347</v>
      </c>
    </row>
    <row r="19" spans="1:26" ht="13.5" thickBot="1">
      <c r="A19" s="307" t="s">
        <v>359</v>
      </c>
      <c r="B19" s="308">
        <v>249028</v>
      </c>
      <c r="C19" s="308"/>
      <c r="D19" s="289">
        <v>0</v>
      </c>
      <c r="E19" s="289"/>
      <c r="F19" s="289"/>
      <c r="G19" s="274">
        <f t="shared" si="0"/>
        <v>0</v>
      </c>
      <c r="H19" s="275"/>
      <c r="I19" s="290">
        <f>H19*0.2</f>
        <v>0</v>
      </c>
      <c r="J19" s="291"/>
      <c r="K19" s="292">
        <v>0</v>
      </c>
      <c r="L19" s="293"/>
      <c r="M19" s="293">
        <f t="shared" si="1"/>
        <v>0</v>
      </c>
      <c r="N19" s="293"/>
      <c r="O19" s="293">
        <f t="shared" si="4"/>
        <v>0</v>
      </c>
      <c r="P19" s="293">
        <v>10084</v>
      </c>
      <c r="Q19" s="335">
        <v>2017</v>
      </c>
      <c r="R19" s="294"/>
      <c r="S19" s="297">
        <f t="shared" si="5"/>
        <v>0</v>
      </c>
      <c r="T19" s="296">
        <v>0</v>
      </c>
      <c r="U19" s="297">
        <f t="shared" si="6"/>
        <v>0</v>
      </c>
      <c r="V19" s="309"/>
      <c r="W19" s="310">
        <f>V19*0.2</f>
        <v>0</v>
      </c>
      <c r="X19" s="300">
        <f t="shared" si="2"/>
        <v>12018.799999999814</v>
      </c>
      <c r="Y19" s="301"/>
      <c r="Z19" s="336">
        <f t="shared" si="3"/>
        <v>-2017</v>
      </c>
    </row>
    <row r="20" spans="1:26" s="246" customFormat="1" ht="13.5" thickBot="1">
      <c r="A20" s="311" t="s">
        <v>360</v>
      </c>
      <c r="B20" s="312">
        <f>SUM(B7:B19)</f>
        <v>5770596</v>
      </c>
      <c r="C20" s="312"/>
      <c r="D20" s="313">
        <f>D7+D8+D9+D10+D11+D12+D13+D14+D15+D16+D17+D18+D19</f>
        <v>1648599</v>
      </c>
      <c r="E20" s="313">
        <f>SUM(E8:E19)</f>
        <v>0</v>
      </c>
      <c r="F20" s="313">
        <f>SUM(F8:F19)</f>
        <v>7207887</v>
      </c>
      <c r="G20" s="313">
        <f t="shared" ref="G20:Y20" si="7">SUM(G8:G19)</f>
        <v>1441578</v>
      </c>
      <c r="H20" s="314">
        <f>SUM(H7:H19)</f>
        <v>0</v>
      </c>
      <c r="I20" s="313">
        <f>SUM(I7:I19)</f>
        <v>0</v>
      </c>
      <c r="J20" s="313">
        <f t="shared" si="7"/>
        <v>0</v>
      </c>
      <c r="K20" s="313">
        <f t="shared" si="7"/>
        <v>0</v>
      </c>
      <c r="L20" s="313">
        <f>SUM(L8:L19)</f>
        <v>1474235</v>
      </c>
      <c r="M20" s="313">
        <f t="shared" si="7"/>
        <v>294847</v>
      </c>
      <c r="N20" s="313">
        <f t="shared" si="7"/>
        <v>0</v>
      </c>
      <c r="O20" s="313">
        <f t="shared" si="7"/>
        <v>0</v>
      </c>
      <c r="P20" s="313">
        <f>SUM(P8:P19)</f>
        <v>139795</v>
      </c>
      <c r="Q20" s="313">
        <f t="shared" si="7"/>
        <v>27956</v>
      </c>
      <c r="R20" s="313">
        <f t="shared" si="7"/>
        <v>7604334</v>
      </c>
      <c r="S20" s="315">
        <f t="shared" si="7"/>
        <v>1520866.8</v>
      </c>
      <c r="T20" s="315">
        <f t="shared" si="7"/>
        <v>0</v>
      </c>
      <c r="U20" s="315">
        <f t="shared" si="7"/>
        <v>0</v>
      </c>
      <c r="V20" s="315">
        <f t="shared" si="7"/>
        <v>0</v>
      </c>
      <c r="W20" s="315">
        <f t="shared" si="7"/>
        <v>0</v>
      </c>
      <c r="X20" s="316">
        <v>0</v>
      </c>
      <c r="Y20" s="317">
        <f t="shared" si="7"/>
        <v>-2167506</v>
      </c>
      <c r="Z20" s="316">
        <v>0</v>
      </c>
    </row>
    <row r="21" spans="1:26">
      <c r="F21" s="318"/>
    </row>
    <row r="22" spans="1:26">
      <c r="F22" s="319"/>
      <c r="S22" s="320"/>
      <c r="T22" s="321"/>
      <c r="U22" s="321"/>
      <c r="V22" s="321"/>
      <c r="W22" s="321"/>
      <c r="X22" s="322"/>
    </row>
    <row r="23" spans="1:26">
      <c r="F23" s="319"/>
      <c r="Q23" s="323"/>
      <c r="S23" s="320"/>
      <c r="T23" s="324"/>
      <c r="U23" s="324"/>
      <c r="V23" s="324"/>
      <c r="W23" s="324"/>
      <c r="X23" s="234">
        <v>0</v>
      </c>
      <c r="Y23" s="325"/>
    </row>
    <row r="24" spans="1:26">
      <c r="F24" s="319"/>
      <c r="S24" s="326"/>
      <c r="T24" s="327"/>
      <c r="U24" s="327"/>
      <c r="V24" s="327"/>
      <c r="W24" s="327"/>
      <c r="Y24" s="327"/>
    </row>
    <row r="25" spans="1:26">
      <c r="D25" s="319"/>
      <c r="F25" s="319"/>
      <c r="S25" s="320"/>
      <c r="T25" s="303"/>
      <c r="U25" s="303"/>
      <c r="V25" s="303"/>
      <c r="W25" s="303"/>
      <c r="Y25" s="327"/>
    </row>
    <row r="26" spans="1:26">
      <c r="F26" s="319"/>
      <c r="S26" s="320"/>
      <c r="T26" s="328"/>
      <c r="U26" s="328"/>
      <c r="V26" s="328"/>
      <c r="W26" s="328"/>
    </row>
    <row r="27" spans="1:26">
      <c r="F27" s="319"/>
      <c r="S27" s="329"/>
      <c r="T27" s="330"/>
      <c r="U27" s="330"/>
      <c r="V27" s="330"/>
      <c r="W27" s="330"/>
      <c r="Y27" s="327"/>
    </row>
    <row r="28" spans="1:26">
      <c r="F28" s="319"/>
    </row>
    <row r="29" spans="1:26">
      <c r="F29" s="319"/>
    </row>
    <row r="30" spans="1:26">
      <c r="F30" s="319"/>
      <c r="Y30" s="331"/>
    </row>
  </sheetData>
  <mergeCells count="12">
    <mergeCell ref="S5:S6"/>
    <mergeCell ref="A5:A6"/>
    <mergeCell ref="D5:D6"/>
    <mergeCell ref="E5:E6"/>
    <mergeCell ref="F5:F6"/>
    <mergeCell ref="I5:I6"/>
    <mergeCell ref="L5:L6"/>
    <mergeCell ref="M5:M6"/>
    <mergeCell ref="N5:N6"/>
    <mergeCell ref="P5:P6"/>
    <mergeCell ref="Q5:Q6"/>
    <mergeCell ref="R5:R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D12"/>
  <sheetViews>
    <sheetView workbookViewId="0">
      <selection activeCell="B12" sqref="B12"/>
    </sheetView>
  </sheetViews>
  <sheetFormatPr defaultRowHeight="15"/>
  <cols>
    <col min="2" max="2" width="41.7109375" customWidth="1"/>
    <col min="3" max="3" width="30" customWidth="1"/>
  </cols>
  <sheetData>
    <row r="1" spans="2:4">
      <c r="B1" s="356" t="s">
        <v>365</v>
      </c>
    </row>
    <row r="2" spans="2:4" ht="15.75" thickBot="1"/>
    <row r="3" spans="2:4" ht="15.75" thickBot="1">
      <c r="B3" s="350" t="s">
        <v>366</v>
      </c>
      <c r="C3" s="353">
        <f>FDP!B20+FDP!D20+FDP!F20</f>
        <v>14627082</v>
      </c>
    </row>
    <row r="4" spans="2:4" ht="15.75" thickBot="1"/>
    <row r="5" spans="2:4">
      <c r="B5" s="351" t="s">
        <v>367</v>
      </c>
      <c r="C5" s="354">
        <f>C6+C7</f>
        <v>8856486</v>
      </c>
    </row>
    <row r="6" spans="2:4">
      <c r="B6" s="348" t="s">
        <v>260</v>
      </c>
      <c r="C6" s="349">
        <f>PASH!B10</f>
        <v>8788793</v>
      </c>
      <c r="D6" t="s">
        <v>368</v>
      </c>
    </row>
    <row r="7" spans="2:4">
      <c r="B7" s="352" t="s">
        <v>98</v>
      </c>
      <c r="C7" s="349">
        <f>PASH!B17</f>
        <v>67693</v>
      </c>
    </row>
    <row r="8" spans="2:4">
      <c r="B8" s="348" t="s">
        <v>369</v>
      </c>
      <c r="C8" s="355">
        <f>C3-C6</f>
        <v>5838289</v>
      </c>
    </row>
    <row r="11" spans="2:4">
      <c r="B11" t="s">
        <v>371</v>
      </c>
    </row>
    <row r="12" spans="2:4">
      <c r="B12" t="s">
        <v>370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Kapaku</vt:lpstr>
      <vt:lpstr>BK</vt:lpstr>
      <vt:lpstr>PASH</vt:lpstr>
      <vt:lpstr>Cash Flow</vt:lpstr>
      <vt:lpstr>Kapitalet</vt:lpstr>
      <vt:lpstr>Te tjera</vt:lpstr>
      <vt:lpstr>AAM</vt:lpstr>
      <vt:lpstr>FDP</vt:lpstr>
      <vt:lpstr>TE ARDHURAT</vt:lpstr>
      <vt:lpstr>BK!Print_Area</vt:lpstr>
      <vt:lpstr>'Cash Flow'!Print_Area</vt:lpstr>
      <vt:lpstr>Kapitalet!Print_Area</vt:lpstr>
      <vt:lpstr>PASH!Print_Area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Osmani</cp:lastModifiedBy>
  <cp:lastPrinted>2021-07-30T11:27:19Z</cp:lastPrinted>
  <dcterms:created xsi:type="dcterms:W3CDTF">2020-03-11T13:03:23Z</dcterms:created>
  <dcterms:modified xsi:type="dcterms:W3CDTF">2022-07-28T15:54:50Z</dcterms:modified>
</cp:coreProperties>
</file>