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8475" windowHeight="5640" tabRatio="837" firstSheet="2" activeTab="2"/>
  </bookViews>
  <sheets>
    <sheet name="faq1" sheetId="15" state="hidden" r:id="rId1"/>
    <sheet name="BK" sheetId="1" state="hidden" r:id="rId2"/>
    <sheet name="ardh-shpenz" sheetId="2" r:id="rId3"/>
    <sheet name="cash-flow" sheetId="3" state="hidden" r:id="rId4"/>
    <sheet name="kap vet" sheetId="13" state="hidden" r:id="rId5"/>
    <sheet name="Aq&amp;AM" sheetId="14" state="hidden" r:id="rId6"/>
    <sheet name="mallra" sheetId="18" state="hidden" r:id="rId7"/>
    <sheet name="inv auto" sheetId="22" state="hidden" r:id="rId8"/>
    <sheet name="aktive fikse" sheetId="17" state="hidden" r:id="rId9"/>
    <sheet name="aktv udhez" sheetId="20" state="hidden" r:id="rId10"/>
    <sheet name="BA" sheetId="11" state="hidden" r:id="rId11"/>
    <sheet name="A-Sh BA" sheetId="12" state="hidden" r:id="rId12"/>
    <sheet name="tjera" sheetId="6" state="hidden" r:id="rId13"/>
    <sheet name="fdp" sheetId="21" state="hidden" r:id="rId14"/>
    <sheet name="banka" sheetId="23" state="hidden" r:id="rId15"/>
  </sheets>
  <calcPr calcId="181029"/>
</workbook>
</file>

<file path=xl/calcChain.xml><?xml version="1.0" encoding="utf-8"?>
<calcChain xmlns="http://schemas.openxmlformats.org/spreadsheetml/2006/main">
  <c r="M23" i="22" l="1"/>
  <c r="J23" i="22"/>
  <c r="D98" i="11"/>
  <c r="B14" i="23"/>
  <c r="F53" i="17"/>
  <c r="B12" i="23"/>
  <c r="C9" i="23"/>
  <c r="C12" i="23"/>
  <c r="D9" i="23"/>
  <c r="D12" i="23"/>
  <c r="B13" i="23"/>
  <c r="E9" i="23"/>
  <c r="E12" i="23"/>
  <c r="B9" i="23"/>
  <c r="D22" i="11"/>
  <c r="C71" i="12"/>
  <c r="I155" i="21"/>
  <c r="M147" i="21"/>
  <c r="O148" i="21"/>
  <c r="N153" i="21"/>
  <c r="L153" i="21"/>
  <c r="J153" i="21"/>
  <c r="I153" i="21"/>
  <c r="H153" i="21"/>
  <c r="F153" i="21"/>
  <c r="D153" i="21"/>
  <c r="C153" i="21"/>
  <c r="B153" i="21"/>
  <c r="M151" i="21"/>
  <c r="G151" i="21"/>
  <c r="E151" i="21"/>
  <c r="O151" i="21"/>
  <c r="M150" i="21"/>
  <c r="K150" i="21"/>
  <c r="G150" i="21"/>
  <c r="E150" i="21"/>
  <c r="O150" i="21"/>
  <c r="M149" i="21"/>
  <c r="K149" i="21"/>
  <c r="G149" i="21"/>
  <c r="E149" i="21"/>
  <c r="M148" i="21"/>
  <c r="K148" i="21"/>
  <c r="G148" i="21"/>
  <c r="E148" i="21"/>
  <c r="K147" i="21"/>
  <c r="G147" i="21"/>
  <c r="E147" i="21"/>
  <c r="O147" i="21"/>
  <c r="M146" i="21"/>
  <c r="K146" i="21"/>
  <c r="O146" i="21"/>
  <c r="G146" i="21"/>
  <c r="E146" i="21"/>
  <c r="M145" i="21"/>
  <c r="K145" i="21"/>
  <c r="O145" i="21"/>
  <c r="G145" i="21"/>
  <c r="E145" i="21"/>
  <c r="M144" i="21"/>
  <c r="K144" i="21"/>
  <c r="G144" i="21"/>
  <c r="E144" i="21"/>
  <c r="O144" i="21"/>
  <c r="M143" i="21"/>
  <c r="G143" i="21"/>
  <c r="E143" i="21"/>
  <c r="O143" i="21"/>
  <c r="M142" i="21"/>
  <c r="G142" i="21"/>
  <c r="E142" i="21"/>
  <c r="O142" i="21"/>
  <c r="M141" i="21"/>
  <c r="M153" i="21"/>
  <c r="K141" i="21"/>
  <c r="G141" i="21"/>
  <c r="E141" i="21"/>
  <c r="M140" i="21"/>
  <c r="K140" i="21"/>
  <c r="G140" i="21"/>
  <c r="E140" i="21"/>
  <c r="O140" i="21"/>
  <c r="D35" i="3"/>
  <c r="D9" i="2"/>
  <c r="D68" i="1"/>
  <c r="D67" i="1"/>
  <c r="D66" i="1"/>
  <c r="D65" i="1"/>
  <c r="D64" i="1"/>
  <c r="D61" i="1"/>
  <c r="D50" i="1"/>
  <c r="D48" i="1"/>
  <c r="D47" i="1"/>
  <c r="D46" i="1"/>
  <c r="D45" i="1"/>
  <c r="D43" i="1"/>
  <c r="D27" i="1"/>
  <c r="D26" i="1"/>
  <c r="D21" i="1"/>
  <c r="D20" i="1"/>
  <c r="D19" i="1"/>
  <c r="D18" i="1"/>
  <c r="D23" i="1"/>
  <c r="D13" i="1"/>
  <c r="D16" i="1"/>
  <c r="D12" i="1"/>
  <c r="D97" i="11"/>
  <c r="D88" i="11"/>
  <c r="D40" i="11"/>
  <c r="D34" i="11"/>
  <c r="C89" i="12"/>
  <c r="C81" i="12"/>
  <c r="D15" i="2"/>
  <c r="D10" i="3"/>
  <c r="C77" i="12"/>
  <c r="C72" i="12"/>
  <c r="D14" i="2"/>
  <c r="C68" i="12"/>
  <c r="C65" i="12"/>
  <c r="C60" i="12"/>
  <c r="C36" i="12"/>
  <c r="D21" i="2"/>
  <c r="C19" i="12"/>
  <c r="C17" i="12"/>
  <c r="C34" i="12"/>
  <c r="C43" i="12"/>
  <c r="C12" i="12"/>
  <c r="D8" i="2"/>
  <c r="C93" i="6"/>
  <c r="C100" i="6"/>
  <c r="C96" i="6"/>
  <c r="C78" i="6"/>
  <c r="C64" i="6"/>
  <c r="E101" i="11"/>
  <c r="E104" i="11"/>
  <c r="E98" i="11"/>
  <c r="E97" i="11"/>
  <c r="E88" i="11"/>
  <c r="E25" i="11"/>
  <c r="D25" i="11"/>
  <c r="D20" i="11"/>
  <c r="D33" i="1"/>
  <c r="E22" i="11"/>
  <c r="D71" i="12"/>
  <c r="D76" i="12"/>
  <c r="D66" i="12"/>
  <c r="C77" i="6"/>
  <c r="C113" i="6"/>
  <c r="C111" i="6"/>
  <c r="C114" i="6"/>
  <c r="C110" i="6"/>
  <c r="C105" i="6"/>
  <c r="C106" i="6"/>
  <c r="C107" i="6"/>
  <c r="C121" i="6"/>
  <c r="C85" i="6"/>
  <c r="C84" i="6"/>
  <c r="C76" i="6"/>
  <c r="C72" i="6"/>
  <c r="C63" i="6"/>
  <c r="C65" i="6"/>
  <c r="C118" i="6"/>
  <c r="C58" i="6"/>
  <c r="C59" i="6"/>
  <c r="C45" i="6"/>
  <c r="C44" i="6"/>
  <c r="C43" i="6"/>
  <c r="C32" i="6"/>
  <c r="C12" i="6"/>
  <c r="C18" i="6"/>
  <c r="C25" i="6"/>
  <c r="C37" i="6"/>
  <c r="C41" i="6"/>
  <c r="C50" i="6"/>
  <c r="C57" i="6"/>
  <c r="C62" i="6"/>
  <c r="C68" i="6"/>
  <c r="C75" i="6"/>
  <c r="C83" i="6"/>
  <c r="C90" i="6"/>
  <c r="C104" i="6"/>
  <c r="C109" i="6"/>
  <c r="C8" i="6"/>
  <c r="C7" i="6"/>
  <c r="C6" i="6"/>
  <c r="C131" i="21"/>
  <c r="D131" i="21"/>
  <c r="F131" i="21"/>
  <c r="H131" i="21"/>
  <c r="I131" i="21"/>
  <c r="I133" i="21"/>
  <c r="J131" i="21"/>
  <c r="L131" i="21"/>
  <c r="N131" i="21"/>
  <c r="B131" i="21"/>
  <c r="C133" i="21"/>
  <c r="G125" i="21"/>
  <c r="G126" i="21"/>
  <c r="G127" i="21"/>
  <c r="G128" i="21"/>
  <c r="G129" i="21"/>
  <c r="G124" i="21"/>
  <c r="O124" i="21"/>
  <c r="E129" i="21"/>
  <c r="E128" i="21"/>
  <c r="O128" i="21"/>
  <c r="E127" i="21"/>
  <c r="E126" i="21"/>
  <c r="E125" i="21"/>
  <c r="E124" i="21"/>
  <c r="E123" i="21"/>
  <c r="E122" i="21"/>
  <c r="E121" i="21"/>
  <c r="E120" i="21"/>
  <c r="E119" i="21"/>
  <c r="E118" i="21"/>
  <c r="D107" i="21"/>
  <c r="E105" i="21"/>
  <c r="E104" i="21"/>
  <c r="E103" i="21"/>
  <c r="E102" i="21"/>
  <c r="E101" i="21"/>
  <c r="E100" i="21"/>
  <c r="E99" i="21"/>
  <c r="E98" i="21"/>
  <c r="E97" i="21"/>
  <c r="E96" i="21"/>
  <c r="E95" i="21"/>
  <c r="E94" i="21"/>
  <c r="D84" i="21"/>
  <c r="E82" i="21"/>
  <c r="E81" i="21"/>
  <c r="E80" i="21"/>
  <c r="E79" i="21"/>
  <c r="E78" i="21"/>
  <c r="E77" i="21"/>
  <c r="E76" i="21"/>
  <c r="E75" i="21"/>
  <c r="E74" i="21"/>
  <c r="E73" i="21"/>
  <c r="E72" i="21"/>
  <c r="E71" i="21"/>
  <c r="D62" i="21"/>
  <c r="E60" i="21"/>
  <c r="E59" i="21"/>
  <c r="E58" i="21"/>
  <c r="E57" i="21"/>
  <c r="E56" i="21"/>
  <c r="E55" i="21"/>
  <c r="E54" i="21"/>
  <c r="E53" i="21"/>
  <c r="E52" i="21"/>
  <c r="E51" i="21"/>
  <c r="E50" i="21"/>
  <c r="E49" i="21"/>
  <c r="D40" i="21"/>
  <c r="E38" i="21"/>
  <c r="E37" i="21"/>
  <c r="E36" i="21"/>
  <c r="E35" i="21"/>
  <c r="E34" i="21"/>
  <c r="E33" i="21"/>
  <c r="E32" i="21"/>
  <c r="E31" i="21"/>
  <c r="E30" i="21"/>
  <c r="E29" i="21"/>
  <c r="E28" i="21"/>
  <c r="E27" i="21"/>
  <c r="D17" i="21"/>
  <c r="E15" i="21"/>
  <c r="E14" i="21"/>
  <c r="E13" i="21"/>
  <c r="E12" i="21"/>
  <c r="E11" i="21"/>
  <c r="E10" i="21"/>
  <c r="E9" i="21"/>
  <c r="E8" i="21"/>
  <c r="E7" i="21"/>
  <c r="E6" i="21"/>
  <c r="E17" i="21"/>
  <c r="E5" i="21"/>
  <c r="E4" i="21"/>
  <c r="F18" i="18"/>
  <c r="E34" i="11"/>
  <c r="D68" i="12"/>
  <c r="D64" i="12"/>
  <c r="M129" i="21"/>
  <c r="M128" i="21"/>
  <c r="K128" i="21"/>
  <c r="M127" i="21"/>
  <c r="K127" i="21"/>
  <c r="O127" i="21"/>
  <c r="M126" i="21"/>
  <c r="K126" i="21"/>
  <c r="M125" i="21"/>
  <c r="K125" i="21"/>
  <c r="M124" i="21"/>
  <c r="K124" i="21"/>
  <c r="M123" i="21"/>
  <c r="K123" i="21"/>
  <c r="G123" i="21"/>
  <c r="M122" i="21"/>
  <c r="K122" i="21"/>
  <c r="G122" i="21"/>
  <c r="M121" i="21"/>
  <c r="G121" i="21"/>
  <c r="O121" i="21"/>
  <c r="M120" i="21"/>
  <c r="G120" i="21"/>
  <c r="M119" i="21"/>
  <c r="O119" i="21"/>
  <c r="K119" i="21"/>
  <c r="G119" i="21"/>
  <c r="M118" i="21"/>
  <c r="K118" i="21"/>
  <c r="G118" i="21"/>
  <c r="E35" i="3"/>
  <c r="E68" i="1"/>
  <c r="E67" i="1"/>
  <c r="E66" i="1"/>
  <c r="E65" i="1"/>
  <c r="E64" i="1"/>
  <c r="E61" i="1"/>
  <c r="E50" i="1"/>
  <c r="C31" i="6"/>
  <c r="C48" i="6"/>
  <c r="E48" i="1"/>
  <c r="C51" i="6"/>
  <c r="C53" i="6"/>
  <c r="E47" i="1"/>
  <c r="C29" i="6"/>
  <c r="E46" i="1"/>
  <c r="C28" i="6"/>
  <c r="E45" i="1"/>
  <c r="C38" i="6"/>
  <c r="E27" i="1"/>
  <c r="D11" i="3"/>
  <c r="E26" i="1"/>
  <c r="E21" i="1"/>
  <c r="E20" i="1"/>
  <c r="E19" i="1"/>
  <c r="E23" i="1"/>
  <c r="E18" i="1"/>
  <c r="D17" i="3"/>
  <c r="E13" i="1"/>
  <c r="C20" i="6"/>
  <c r="C60" i="6"/>
  <c r="E12" i="1"/>
  <c r="C19" i="6"/>
  <c r="C21" i="6"/>
  <c r="C35" i="6"/>
  <c r="E50" i="11"/>
  <c r="E33" i="11"/>
  <c r="E40" i="11"/>
  <c r="D89" i="12"/>
  <c r="D81" i="12"/>
  <c r="E15" i="2"/>
  <c r="D77" i="12"/>
  <c r="E13" i="2"/>
  <c r="C101" i="6"/>
  <c r="D72" i="12"/>
  <c r="E14" i="2"/>
  <c r="C87" i="6"/>
  <c r="D65" i="12"/>
  <c r="D60" i="12"/>
  <c r="D36" i="12"/>
  <c r="E21" i="2"/>
  <c r="C115" i="6"/>
  <c r="D19" i="12"/>
  <c r="E9" i="2"/>
  <c r="D17" i="12"/>
  <c r="D12" i="12"/>
  <c r="E8" i="2"/>
  <c r="D64" i="6"/>
  <c r="D93" i="6"/>
  <c r="D99" i="6"/>
  <c r="D121" i="6"/>
  <c r="F42" i="11"/>
  <c r="F12" i="1"/>
  <c r="F104" i="11"/>
  <c r="F45" i="11"/>
  <c r="D58" i="6"/>
  <c r="D59" i="6"/>
  <c r="E71" i="12"/>
  <c r="D113" i="6"/>
  <c r="D111" i="6"/>
  <c r="D114" i="6"/>
  <c r="D110" i="6"/>
  <c r="D105" i="6"/>
  <c r="D106" i="6"/>
  <c r="D85" i="6"/>
  <c r="D84" i="6"/>
  <c r="D86" i="6"/>
  <c r="D77" i="6"/>
  <c r="D76" i="6"/>
  <c r="D72" i="6"/>
  <c r="D63" i="6"/>
  <c r="D65" i="6"/>
  <c r="D118" i="6"/>
  <c r="D45" i="6"/>
  <c r="D44" i="6"/>
  <c r="D43" i="6"/>
  <c r="D32" i="6"/>
  <c r="D12" i="6"/>
  <c r="D18" i="6"/>
  <c r="D25" i="6"/>
  <c r="D37" i="6"/>
  <c r="D41" i="6"/>
  <c r="D50" i="6"/>
  <c r="D57" i="6"/>
  <c r="D62" i="6"/>
  <c r="D68" i="6"/>
  <c r="D75" i="6"/>
  <c r="D83" i="6"/>
  <c r="D90" i="6"/>
  <c r="D104" i="6"/>
  <c r="D109" i="6"/>
  <c r="D8" i="6"/>
  <c r="D7" i="6"/>
  <c r="D6" i="6"/>
  <c r="F98" i="11"/>
  <c r="F43" i="1"/>
  <c r="F27" i="20"/>
  <c r="F11" i="20"/>
  <c r="F43" i="20"/>
  <c r="F46" i="17"/>
  <c r="I29" i="14"/>
  <c r="E76" i="12"/>
  <c r="E19" i="12"/>
  <c r="I28" i="14"/>
  <c r="F9" i="2"/>
  <c r="F68" i="1"/>
  <c r="F67" i="1"/>
  <c r="F66" i="1"/>
  <c r="F65" i="1"/>
  <c r="F64" i="1"/>
  <c r="F61" i="1"/>
  <c r="F50" i="1"/>
  <c r="D31" i="6"/>
  <c r="D48" i="6"/>
  <c r="F48" i="1"/>
  <c r="D54" i="6"/>
  <c r="F47" i="1"/>
  <c r="D29" i="6"/>
  <c r="F46" i="1"/>
  <c r="D28" i="6"/>
  <c r="F45" i="1"/>
  <c r="D26" i="6"/>
  <c r="F27" i="1"/>
  <c r="E11" i="3"/>
  <c r="F26" i="1"/>
  <c r="F21" i="1"/>
  <c r="F20" i="1"/>
  <c r="D13" i="6"/>
  <c r="D15" i="6"/>
  <c r="F19" i="1"/>
  <c r="F23" i="1"/>
  <c r="F18" i="1"/>
  <c r="D16" i="6"/>
  <c r="F13" i="1"/>
  <c r="D20" i="6"/>
  <c r="D60" i="6"/>
  <c r="F50" i="11"/>
  <c r="F8" i="1"/>
  <c r="F40" i="11"/>
  <c r="F20" i="11"/>
  <c r="F12" i="11"/>
  <c r="E89" i="12"/>
  <c r="E81" i="12"/>
  <c r="F15" i="2"/>
  <c r="E77" i="12"/>
  <c r="E72" i="12"/>
  <c r="F14" i="2"/>
  <c r="D87" i="6"/>
  <c r="E68" i="12"/>
  <c r="E65" i="12"/>
  <c r="E64" i="12"/>
  <c r="E88" i="12"/>
  <c r="E96" i="12"/>
  <c r="D119" i="6"/>
  <c r="E60" i="12"/>
  <c r="E36" i="12"/>
  <c r="F21" i="2"/>
  <c r="D115" i="6"/>
  <c r="E17" i="12"/>
  <c r="E34" i="12"/>
  <c r="E43" i="12"/>
  <c r="E12" i="12"/>
  <c r="F8" i="2"/>
  <c r="F35" i="3"/>
  <c r="F107" i="21"/>
  <c r="H107" i="21"/>
  <c r="I107" i="21"/>
  <c r="I109" i="21"/>
  <c r="J107" i="21"/>
  <c r="L107" i="21"/>
  <c r="N107" i="21"/>
  <c r="C107" i="21"/>
  <c r="C109" i="21"/>
  <c r="I111" i="21"/>
  <c r="K96" i="21"/>
  <c r="K97" i="21"/>
  <c r="K98" i="21"/>
  <c r="K99" i="21"/>
  <c r="K100" i="21"/>
  <c r="K101" i="21"/>
  <c r="K102" i="21"/>
  <c r="O102" i="21"/>
  <c r="K103" i="21"/>
  <c r="K104" i="21"/>
  <c r="K95" i="21"/>
  <c r="K94" i="21"/>
  <c r="M105" i="21"/>
  <c r="G105" i="21"/>
  <c r="O105" i="21"/>
  <c r="M104" i="21"/>
  <c r="G104" i="21"/>
  <c r="O104" i="21"/>
  <c r="M103" i="21"/>
  <c r="G103" i="21"/>
  <c r="O103" i="21"/>
  <c r="M102" i="21"/>
  <c r="G102" i="21"/>
  <c r="M101" i="21"/>
  <c r="G101" i="21"/>
  <c r="M100" i="21"/>
  <c r="G100" i="21"/>
  <c r="O100" i="21"/>
  <c r="M99" i="21"/>
  <c r="G99" i="21"/>
  <c r="O99" i="21"/>
  <c r="M98" i="21"/>
  <c r="G98" i="21"/>
  <c r="O98" i="21"/>
  <c r="M97" i="21"/>
  <c r="O97" i="21"/>
  <c r="G97" i="21"/>
  <c r="M96" i="21"/>
  <c r="G96" i="21"/>
  <c r="O96" i="21"/>
  <c r="M95" i="21"/>
  <c r="G95" i="21"/>
  <c r="O95" i="21"/>
  <c r="M94" i="21"/>
  <c r="G94" i="21"/>
  <c r="E93" i="6"/>
  <c r="F42" i="17"/>
  <c r="F41" i="17"/>
  <c r="F43" i="17"/>
  <c r="G101" i="11"/>
  <c r="G45" i="11"/>
  <c r="G40" i="11"/>
  <c r="G25" i="11"/>
  <c r="G22" i="11"/>
  <c r="F71" i="12"/>
  <c r="J84" i="21"/>
  <c r="L84" i="21"/>
  <c r="N84" i="21"/>
  <c r="I84" i="21"/>
  <c r="C84" i="21"/>
  <c r="M76" i="21"/>
  <c r="O76" i="21"/>
  <c r="G76" i="21"/>
  <c r="K79" i="21"/>
  <c r="K84" i="21"/>
  <c r="F84" i="21"/>
  <c r="M82" i="21"/>
  <c r="G82" i="21"/>
  <c r="M81" i="21"/>
  <c r="G81" i="21"/>
  <c r="M80" i="21"/>
  <c r="G80" i="21"/>
  <c r="M79" i="21"/>
  <c r="O79" i="21"/>
  <c r="G79" i="21"/>
  <c r="M78" i="21"/>
  <c r="G78" i="21"/>
  <c r="O78" i="21"/>
  <c r="M77" i="21"/>
  <c r="M84" i="21"/>
  <c r="G77" i="21"/>
  <c r="M75" i="21"/>
  <c r="G75" i="21"/>
  <c r="M74" i="21"/>
  <c r="G74" i="21"/>
  <c r="M73" i="21"/>
  <c r="G73" i="21"/>
  <c r="M72" i="21"/>
  <c r="G72" i="21"/>
  <c r="M71" i="21"/>
  <c r="G71" i="21"/>
  <c r="G84" i="21"/>
  <c r="E121" i="6"/>
  <c r="E113" i="6"/>
  <c r="E111" i="6"/>
  <c r="E110" i="6"/>
  <c r="E105" i="6"/>
  <c r="E106" i="6"/>
  <c r="E100" i="6"/>
  <c r="E85" i="6"/>
  <c r="E84" i="6"/>
  <c r="E77" i="6"/>
  <c r="E76" i="6"/>
  <c r="E72" i="6"/>
  <c r="E63" i="6"/>
  <c r="E65" i="6"/>
  <c r="E58" i="6"/>
  <c r="E59" i="6"/>
  <c r="E45" i="6"/>
  <c r="E44" i="6"/>
  <c r="E43" i="6"/>
  <c r="E32" i="6"/>
  <c r="E12" i="6"/>
  <c r="E18" i="6"/>
  <c r="E25" i="6"/>
  <c r="E37" i="6"/>
  <c r="E41" i="6"/>
  <c r="E50" i="6"/>
  <c r="E57" i="6"/>
  <c r="E62" i="6"/>
  <c r="E68" i="6"/>
  <c r="E75" i="6"/>
  <c r="E83" i="6"/>
  <c r="E90" i="6"/>
  <c r="E104" i="6"/>
  <c r="E109" i="6"/>
  <c r="E8" i="6"/>
  <c r="E7" i="6"/>
  <c r="E6" i="6"/>
  <c r="G35" i="3"/>
  <c r="G9" i="2"/>
  <c r="G68" i="1"/>
  <c r="G67" i="1"/>
  <c r="G66" i="1"/>
  <c r="G65" i="1"/>
  <c r="G64" i="1"/>
  <c r="G61" i="1"/>
  <c r="G50" i="1"/>
  <c r="E31" i="6"/>
  <c r="E48" i="6"/>
  <c r="G48" i="1"/>
  <c r="E51" i="6"/>
  <c r="E53" i="6"/>
  <c r="G47" i="1"/>
  <c r="E29" i="6"/>
  <c r="G46" i="1"/>
  <c r="E28" i="6"/>
  <c r="G45" i="1"/>
  <c r="E26" i="6"/>
  <c r="G43" i="1"/>
  <c r="E27" i="6"/>
  <c r="E34" i="6"/>
  <c r="G27" i="1"/>
  <c r="F11" i="3"/>
  <c r="G26" i="1"/>
  <c r="G21" i="1"/>
  <c r="G20" i="1"/>
  <c r="E13" i="6"/>
  <c r="E15" i="6"/>
  <c r="G19" i="1"/>
  <c r="G18" i="1"/>
  <c r="G13" i="1"/>
  <c r="E20" i="6"/>
  <c r="E60" i="6"/>
  <c r="G12" i="1"/>
  <c r="E19" i="6"/>
  <c r="G97" i="11"/>
  <c r="G88" i="11"/>
  <c r="E35" i="6"/>
  <c r="G50" i="11"/>
  <c r="G8" i="1"/>
  <c r="F89" i="12"/>
  <c r="G21" i="2"/>
  <c r="E115" i="6"/>
  <c r="F81" i="12"/>
  <c r="G15" i="2"/>
  <c r="F77" i="12"/>
  <c r="G13" i="2"/>
  <c r="E101" i="6"/>
  <c r="F72" i="12"/>
  <c r="G14" i="2"/>
  <c r="E87" i="6"/>
  <c r="F68" i="12"/>
  <c r="F65" i="12"/>
  <c r="G12" i="2"/>
  <c r="E80" i="6"/>
  <c r="F60" i="12"/>
  <c r="F36" i="12"/>
  <c r="F17" i="12"/>
  <c r="F34" i="12"/>
  <c r="F43" i="12"/>
  <c r="F12" i="12"/>
  <c r="G8" i="2"/>
  <c r="J28" i="6"/>
  <c r="F32" i="6"/>
  <c r="G32" i="6"/>
  <c r="H32" i="6"/>
  <c r="I32" i="6"/>
  <c r="J32" i="6"/>
  <c r="K32" i="6"/>
  <c r="L32" i="6"/>
  <c r="M32" i="6"/>
  <c r="G71" i="12"/>
  <c r="G90" i="12"/>
  <c r="F100" i="6"/>
  <c r="H104" i="11"/>
  <c r="F44" i="6"/>
  <c r="H98" i="11"/>
  <c r="H25" i="11"/>
  <c r="F121" i="6"/>
  <c r="F113" i="6"/>
  <c r="F111" i="6"/>
  <c r="F110" i="6"/>
  <c r="F114" i="6"/>
  <c r="F105" i="6"/>
  <c r="F106" i="6"/>
  <c r="F85" i="6"/>
  <c r="F84" i="6"/>
  <c r="F77" i="6"/>
  <c r="F76" i="6"/>
  <c r="F72" i="6"/>
  <c r="F63" i="6"/>
  <c r="F65" i="6"/>
  <c r="F58" i="6"/>
  <c r="F59" i="6"/>
  <c r="F45" i="6"/>
  <c r="F43" i="6"/>
  <c r="F12" i="6"/>
  <c r="F18" i="6"/>
  <c r="F25" i="6"/>
  <c r="F37" i="6"/>
  <c r="F41" i="6"/>
  <c r="F50" i="6"/>
  <c r="F57" i="6"/>
  <c r="F62" i="6"/>
  <c r="F68" i="6"/>
  <c r="F75" i="6"/>
  <c r="F83" i="6"/>
  <c r="F90" i="6"/>
  <c r="F104" i="6"/>
  <c r="F109" i="6"/>
  <c r="F8" i="6"/>
  <c r="F7" i="6"/>
  <c r="F6" i="6"/>
  <c r="H35" i="3"/>
  <c r="H9" i="2"/>
  <c r="H68" i="1"/>
  <c r="H67" i="1"/>
  <c r="H66" i="1"/>
  <c r="H65" i="1"/>
  <c r="H64" i="1"/>
  <c r="H61" i="1"/>
  <c r="H50" i="1"/>
  <c r="F31" i="6"/>
  <c r="F48" i="6"/>
  <c r="H48" i="1"/>
  <c r="F30" i="6"/>
  <c r="H47" i="1"/>
  <c r="F29" i="6"/>
  <c r="H46" i="1"/>
  <c r="F28" i="6"/>
  <c r="H45" i="1"/>
  <c r="H27" i="1"/>
  <c r="H26" i="1"/>
  <c r="H21" i="1"/>
  <c r="H20" i="1"/>
  <c r="F13" i="6"/>
  <c r="F15" i="6"/>
  <c r="H19" i="1"/>
  <c r="H18" i="1"/>
  <c r="H13" i="1"/>
  <c r="H12" i="1"/>
  <c r="H16" i="1"/>
  <c r="F22" i="6"/>
  <c r="H50" i="11"/>
  <c r="H40" i="11"/>
  <c r="H22" i="11"/>
  <c r="H20" i="11"/>
  <c r="H12" i="11"/>
  <c r="G89" i="12"/>
  <c r="G81" i="12"/>
  <c r="H15" i="2"/>
  <c r="G77" i="12"/>
  <c r="H13" i="2"/>
  <c r="F101" i="6"/>
  <c r="G72" i="12"/>
  <c r="H14" i="2"/>
  <c r="F87" i="6"/>
  <c r="G68" i="12"/>
  <c r="G65" i="12"/>
  <c r="G60" i="12"/>
  <c r="G36" i="12"/>
  <c r="H21" i="2"/>
  <c r="F115" i="6"/>
  <c r="G17" i="12"/>
  <c r="G34" i="12"/>
  <c r="G43" i="12"/>
  <c r="G12" i="12"/>
  <c r="H8" i="2"/>
  <c r="L62" i="21"/>
  <c r="K62" i="21"/>
  <c r="J62" i="21"/>
  <c r="I62" i="21"/>
  <c r="F62" i="21"/>
  <c r="C62" i="21"/>
  <c r="M60" i="21"/>
  <c r="G60" i="21"/>
  <c r="M59" i="21"/>
  <c r="G59" i="21"/>
  <c r="M58" i="21"/>
  <c r="O58" i="21"/>
  <c r="G58" i="21"/>
  <c r="M57" i="21"/>
  <c r="G57" i="21"/>
  <c r="O57" i="21"/>
  <c r="M56" i="21"/>
  <c r="O56" i="21"/>
  <c r="G56" i="21"/>
  <c r="M55" i="21"/>
  <c r="G55" i="21"/>
  <c r="M54" i="21"/>
  <c r="G54" i="21"/>
  <c r="M53" i="21"/>
  <c r="G53" i="21"/>
  <c r="M52" i="21"/>
  <c r="O52" i="21"/>
  <c r="G52" i="21"/>
  <c r="M51" i="21"/>
  <c r="G51" i="21"/>
  <c r="O51" i="21"/>
  <c r="M50" i="21"/>
  <c r="G50" i="21"/>
  <c r="M49" i="21"/>
  <c r="G49" i="21"/>
  <c r="H73" i="6"/>
  <c r="I35" i="3"/>
  <c r="I98" i="11"/>
  <c r="I97" i="11"/>
  <c r="I88" i="11"/>
  <c r="G35" i="6"/>
  <c r="I102" i="11"/>
  <c r="I25" i="11"/>
  <c r="I22" i="11"/>
  <c r="I20" i="11"/>
  <c r="H71" i="12"/>
  <c r="G121" i="6"/>
  <c r="G113" i="6"/>
  <c r="G111" i="6"/>
  <c r="G110" i="6"/>
  <c r="G105" i="6"/>
  <c r="G106" i="6"/>
  <c r="G85" i="6"/>
  <c r="G84" i="6"/>
  <c r="G77" i="6"/>
  <c r="G76" i="6"/>
  <c r="G73" i="6"/>
  <c r="G72" i="6"/>
  <c r="G63" i="6"/>
  <c r="G58" i="6"/>
  <c r="G59" i="6"/>
  <c r="G44" i="6"/>
  <c r="G43" i="6"/>
  <c r="G12" i="6"/>
  <c r="G18" i="6"/>
  <c r="G25" i="6"/>
  <c r="G37" i="6"/>
  <c r="G41" i="6"/>
  <c r="G50" i="6"/>
  <c r="G57" i="6"/>
  <c r="G62" i="6"/>
  <c r="G68" i="6"/>
  <c r="G75" i="6"/>
  <c r="G83" i="6"/>
  <c r="G90" i="6"/>
  <c r="G104" i="6"/>
  <c r="G109" i="6"/>
  <c r="G8" i="6"/>
  <c r="G7" i="6"/>
  <c r="G6" i="6"/>
  <c r="G9" i="6"/>
  <c r="I68" i="1"/>
  <c r="I67" i="1"/>
  <c r="I66" i="1"/>
  <c r="I65" i="1"/>
  <c r="I64" i="1"/>
  <c r="I61" i="1"/>
  <c r="I50" i="1"/>
  <c r="G31" i="6"/>
  <c r="G48" i="6"/>
  <c r="I48" i="1"/>
  <c r="G51" i="6"/>
  <c r="G53" i="6"/>
  <c r="I47" i="1"/>
  <c r="G29" i="6"/>
  <c r="I45" i="1"/>
  <c r="I27" i="1"/>
  <c r="I26" i="1"/>
  <c r="I21" i="1"/>
  <c r="I20" i="1"/>
  <c r="I19" i="1"/>
  <c r="I18" i="1"/>
  <c r="I13" i="1"/>
  <c r="I12" i="1"/>
  <c r="H15" i="3"/>
  <c r="G19" i="6"/>
  <c r="G21" i="6"/>
  <c r="I9" i="2"/>
  <c r="I50" i="11"/>
  <c r="I8" i="1"/>
  <c r="G10" i="6"/>
  <c r="I40" i="11"/>
  <c r="H89" i="12"/>
  <c r="H81" i="12"/>
  <c r="I15" i="2"/>
  <c r="I10" i="3"/>
  <c r="H77" i="12"/>
  <c r="I13" i="2"/>
  <c r="G101" i="6"/>
  <c r="H72" i="12"/>
  <c r="H64" i="12"/>
  <c r="H88" i="12"/>
  <c r="H96" i="12"/>
  <c r="H68" i="12"/>
  <c r="H65" i="12"/>
  <c r="H60" i="12"/>
  <c r="H36" i="12"/>
  <c r="I21" i="2"/>
  <c r="G115" i="6"/>
  <c r="H17" i="12"/>
  <c r="H34" i="12"/>
  <c r="H43" i="12"/>
  <c r="H97" i="12"/>
  <c r="H100" i="12"/>
  <c r="H12" i="12"/>
  <c r="I8" i="2"/>
  <c r="L40" i="21"/>
  <c r="K40" i="21"/>
  <c r="J40" i="21"/>
  <c r="I40" i="21"/>
  <c r="F40" i="21"/>
  <c r="C40" i="21"/>
  <c r="M38" i="21"/>
  <c r="O38" i="21"/>
  <c r="G38" i="21"/>
  <c r="M37" i="21"/>
  <c r="G37" i="21"/>
  <c r="O37" i="21"/>
  <c r="M36" i="21"/>
  <c r="G36" i="21"/>
  <c r="O36" i="21"/>
  <c r="M35" i="21"/>
  <c r="G35" i="21"/>
  <c r="O35" i="21"/>
  <c r="M34" i="21"/>
  <c r="G34" i="21"/>
  <c r="O34" i="21"/>
  <c r="M33" i="21"/>
  <c r="G33" i="21"/>
  <c r="O33" i="21"/>
  <c r="M32" i="21"/>
  <c r="G32" i="21"/>
  <c r="M31" i="21"/>
  <c r="O31" i="21"/>
  <c r="G31" i="21"/>
  <c r="M30" i="21"/>
  <c r="G30" i="21"/>
  <c r="O30" i="21"/>
  <c r="M29" i="21"/>
  <c r="O29" i="21"/>
  <c r="G29" i="21"/>
  <c r="M28" i="21"/>
  <c r="G28" i="21"/>
  <c r="M27" i="21"/>
  <c r="O27" i="21"/>
  <c r="G27" i="21"/>
  <c r="H113" i="6"/>
  <c r="H111" i="6"/>
  <c r="H110" i="6"/>
  <c r="H114" i="6"/>
  <c r="H105" i="6"/>
  <c r="H107" i="6"/>
  <c r="H84" i="6"/>
  <c r="H85" i="6"/>
  <c r="H86" i="6"/>
  <c r="H77" i="6"/>
  <c r="H76" i="6"/>
  <c r="H63" i="6"/>
  <c r="H65" i="6"/>
  <c r="H58" i="6"/>
  <c r="H59" i="6"/>
  <c r="H45" i="6"/>
  <c r="H43" i="6"/>
  <c r="H8" i="6"/>
  <c r="H9" i="6"/>
  <c r="H7" i="6"/>
  <c r="H6" i="6"/>
  <c r="E27" i="20"/>
  <c r="D27" i="20"/>
  <c r="D11" i="20"/>
  <c r="J68" i="1"/>
  <c r="J67" i="1"/>
  <c r="J66" i="1"/>
  <c r="J65" i="1"/>
  <c r="J64" i="1"/>
  <c r="J50" i="1"/>
  <c r="H31" i="6"/>
  <c r="H48" i="6"/>
  <c r="J48" i="1"/>
  <c r="J46" i="1"/>
  <c r="H28" i="6"/>
  <c r="J45" i="1"/>
  <c r="H26" i="6"/>
  <c r="J43" i="1"/>
  <c r="J27" i="1"/>
  <c r="I11" i="3"/>
  <c r="J26" i="1"/>
  <c r="J21" i="1"/>
  <c r="J20" i="1"/>
  <c r="J19" i="1"/>
  <c r="J18" i="1"/>
  <c r="J13" i="1"/>
  <c r="H20" i="6"/>
  <c r="J12" i="1"/>
  <c r="J40" i="11"/>
  <c r="J104" i="11"/>
  <c r="H44" i="6"/>
  <c r="I77" i="12"/>
  <c r="J13" i="2"/>
  <c r="F4" i="17"/>
  <c r="F5" i="17"/>
  <c r="F6" i="17"/>
  <c r="F7" i="17"/>
  <c r="F8" i="17"/>
  <c r="F9" i="17"/>
  <c r="F10" i="17"/>
  <c r="F11" i="17"/>
  <c r="F12" i="17"/>
  <c r="F13" i="17"/>
  <c r="F14" i="17"/>
  <c r="F19" i="17"/>
  <c r="F20" i="17"/>
  <c r="F21" i="17"/>
  <c r="F22" i="17"/>
  <c r="F23" i="17"/>
  <c r="F30" i="17"/>
  <c r="F31" i="17"/>
  <c r="F32" i="17"/>
  <c r="F37" i="17"/>
  <c r="G6" i="21"/>
  <c r="M6" i="21"/>
  <c r="G7" i="21"/>
  <c r="M7" i="21"/>
  <c r="O7" i="21"/>
  <c r="G8" i="21"/>
  <c r="M8" i="21"/>
  <c r="G9" i="21"/>
  <c r="M9" i="21"/>
  <c r="O9" i="21"/>
  <c r="G10" i="21"/>
  <c r="O10" i="21"/>
  <c r="M10" i="21"/>
  <c r="G11" i="21"/>
  <c r="M11" i="21"/>
  <c r="O11" i="21"/>
  <c r="G12" i="21"/>
  <c r="M12" i="21"/>
  <c r="G13" i="21"/>
  <c r="M13" i="21"/>
  <c r="G14" i="21"/>
  <c r="M14" i="21"/>
  <c r="G15" i="21"/>
  <c r="O15" i="21"/>
  <c r="M15" i="21"/>
  <c r="G4" i="21"/>
  <c r="I17" i="12"/>
  <c r="I34" i="12"/>
  <c r="I43" i="12"/>
  <c r="I65" i="12"/>
  <c r="I72" i="12"/>
  <c r="J14" i="2"/>
  <c r="H87" i="6"/>
  <c r="I81" i="12"/>
  <c r="J15" i="2"/>
  <c r="J10" i="3"/>
  <c r="I89" i="12"/>
  <c r="J9" i="2"/>
  <c r="I12" i="12"/>
  <c r="J8" i="2"/>
  <c r="J20" i="11"/>
  <c r="J33" i="1"/>
  <c r="J12" i="11"/>
  <c r="J50" i="11"/>
  <c r="I68" i="12"/>
  <c r="I60" i="12"/>
  <c r="I36" i="12"/>
  <c r="J21" i="2"/>
  <c r="H115" i="6"/>
  <c r="H121" i="6"/>
  <c r="H12" i="6"/>
  <c r="H18" i="6"/>
  <c r="H25" i="6"/>
  <c r="H37" i="6"/>
  <c r="H41" i="6"/>
  <c r="H50" i="6"/>
  <c r="H57" i="6"/>
  <c r="H62" i="6"/>
  <c r="H68" i="6"/>
  <c r="H75" i="6"/>
  <c r="H83" i="6"/>
  <c r="H90" i="6"/>
  <c r="H104" i="6"/>
  <c r="H109" i="6"/>
  <c r="H72" i="6"/>
  <c r="H54" i="6"/>
  <c r="H27" i="6"/>
  <c r="H16" i="6"/>
  <c r="H13" i="6"/>
  <c r="H15" i="6"/>
  <c r="N8" i="2"/>
  <c r="N9" i="2"/>
  <c r="N12" i="2"/>
  <c r="L76" i="6"/>
  <c r="L79" i="6"/>
  <c r="N13" i="2"/>
  <c r="N14" i="2"/>
  <c r="L87" i="6"/>
  <c r="N15" i="2"/>
  <c r="N10" i="3"/>
  <c r="N21" i="2"/>
  <c r="L115" i="6"/>
  <c r="N25" i="2"/>
  <c r="N43" i="1"/>
  <c r="O43" i="1"/>
  <c r="N45" i="1"/>
  <c r="O45" i="1"/>
  <c r="M38" i="6"/>
  <c r="N46" i="1"/>
  <c r="L28" i="6"/>
  <c r="O46" i="1"/>
  <c r="M28" i="6"/>
  <c r="N47" i="1"/>
  <c r="L29" i="6"/>
  <c r="O47" i="1"/>
  <c r="N48" i="1"/>
  <c r="L30" i="6"/>
  <c r="O48" i="1"/>
  <c r="N50" i="1"/>
  <c r="L31" i="6"/>
  <c r="L48" i="6"/>
  <c r="O50" i="1"/>
  <c r="M31" i="6"/>
  <c r="O27" i="1"/>
  <c r="O11" i="3"/>
  <c r="N27" i="1"/>
  <c r="M11" i="3"/>
  <c r="O12" i="1"/>
  <c r="M19" i="6"/>
  <c r="N12" i="1"/>
  <c r="O13" i="1"/>
  <c r="N13" i="1"/>
  <c r="O26" i="1"/>
  <c r="N26" i="1"/>
  <c r="O18" i="1"/>
  <c r="O19" i="1"/>
  <c r="N17" i="3"/>
  <c r="O20" i="1"/>
  <c r="O21" i="1"/>
  <c r="N21" i="1"/>
  <c r="N20" i="1"/>
  <c r="L13" i="6"/>
  <c r="L15" i="6"/>
  <c r="N19" i="1"/>
  <c r="N23" i="1"/>
  <c r="N18" i="1"/>
  <c r="N33" i="1"/>
  <c r="O33" i="1"/>
  <c r="N64" i="1"/>
  <c r="N65" i="1"/>
  <c r="N66" i="1"/>
  <c r="N67" i="1"/>
  <c r="M37" i="3"/>
  <c r="M39" i="3"/>
  <c r="N68" i="1"/>
  <c r="N69" i="1"/>
  <c r="O64" i="1"/>
  <c r="O65" i="1"/>
  <c r="O66" i="1"/>
  <c r="O71" i="1"/>
  <c r="O67" i="1"/>
  <c r="O68" i="1"/>
  <c r="O69" i="1"/>
  <c r="O70" i="1"/>
  <c r="O8" i="1"/>
  <c r="O44" i="3"/>
  <c r="N43" i="3"/>
  <c r="M9" i="2"/>
  <c r="M12" i="2"/>
  <c r="M13" i="2"/>
  <c r="M14" i="2"/>
  <c r="K87" i="6"/>
  <c r="M15" i="2"/>
  <c r="M10" i="3"/>
  <c r="M25" i="2"/>
  <c r="M43" i="1"/>
  <c r="K27" i="6"/>
  <c r="M45" i="1"/>
  <c r="M46" i="1"/>
  <c r="M55" i="1"/>
  <c r="K28" i="6"/>
  <c r="M47" i="1"/>
  <c r="K29" i="6"/>
  <c r="M48" i="1"/>
  <c r="M50" i="1"/>
  <c r="K31" i="6"/>
  <c r="M27" i="1"/>
  <c r="M12" i="1"/>
  <c r="M13" i="1"/>
  <c r="M16" i="1"/>
  <c r="M26" i="1"/>
  <c r="M21" i="1"/>
  <c r="M20" i="1"/>
  <c r="M19" i="1"/>
  <c r="M18" i="1"/>
  <c r="L17" i="3"/>
  <c r="M23" i="1"/>
  <c r="M29" i="1"/>
  <c r="M38" i="1"/>
  <c r="M33" i="1"/>
  <c r="M64" i="1"/>
  <c r="M65" i="1"/>
  <c r="M66" i="1"/>
  <c r="M67" i="1"/>
  <c r="M68" i="1"/>
  <c r="M69" i="1"/>
  <c r="N70" i="1"/>
  <c r="L9" i="2"/>
  <c r="J73" i="6"/>
  <c r="L43" i="1"/>
  <c r="L45" i="1"/>
  <c r="J38" i="6"/>
  <c r="L46" i="1"/>
  <c r="L47" i="1"/>
  <c r="J29" i="6"/>
  <c r="L48" i="1"/>
  <c r="J51" i="6"/>
  <c r="J53" i="6"/>
  <c r="J30" i="6"/>
  <c r="L50" i="1"/>
  <c r="J31" i="6"/>
  <c r="J48" i="6"/>
  <c r="L27" i="1"/>
  <c r="L12" i="1"/>
  <c r="L13" i="1"/>
  <c r="J20" i="6"/>
  <c r="J60" i="6"/>
  <c r="L26" i="1"/>
  <c r="L21" i="1"/>
  <c r="L20" i="1"/>
  <c r="J13" i="6"/>
  <c r="J15" i="6"/>
  <c r="L19" i="1"/>
  <c r="L18" i="1"/>
  <c r="L23" i="1"/>
  <c r="L64" i="1"/>
  <c r="L65" i="1"/>
  <c r="L66" i="1"/>
  <c r="L37" i="3"/>
  <c r="L39" i="3"/>
  <c r="L67" i="1"/>
  <c r="L68" i="1"/>
  <c r="M70" i="1"/>
  <c r="K64" i="1"/>
  <c r="K65" i="1"/>
  <c r="K66" i="1"/>
  <c r="K67" i="1"/>
  <c r="K68" i="1"/>
  <c r="K69" i="1"/>
  <c r="K9" i="2"/>
  <c r="K43" i="1"/>
  <c r="K45" i="1"/>
  <c r="I26" i="6"/>
  <c r="K46" i="1"/>
  <c r="K47" i="1"/>
  <c r="I29" i="6"/>
  <c r="K48" i="1"/>
  <c r="I51" i="6"/>
  <c r="I53" i="6"/>
  <c r="K50" i="1"/>
  <c r="I31" i="6"/>
  <c r="I48" i="6"/>
  <c r="K27" i="1"/>
  <c r="K12" i="1"/>
  <c r="I19" i="6"/>
  <c r="K13" i="1"/>
  <c r="K26" i="1"/>
  <c r="K21" i="1"/>
  <c r="K20" i="1"/>
  <c r="I13" i="6"/>
  <c r="I15" i="6"/>
  <c r="K19" i="1"/>
  <c r="K18" i="1"/>
  <c r="J17" i="3"/>
  <c r="J35" i="3"/>
  <c r="J61" i="1"/>
  <c r="I113" i="6"/>
  <c r="I97" i="6"/>
  <c r="I76" i="6"/>
  <c r="I79" i="6"/>
  <c r="I16" i="6"/>
  <c r="I98" i="6"/>
  <c r="E11" i="20"/>
  <c r="K18" i="13"/>
  <c r="N35" i="3"/>
  <c r="M35" i="3"/>
  <c r="L35" i="3"/>
  <c r="K35" i="3"/>
  <c r="K50" i="11"/>
  <c r="K8" i="1"/>
  <c r="K40" i="11"/>
  <c r="K33" i="11"/>
  <c r="J65" i="12"/>
  <c r="J68" i="12"/>
  <c r="J72" i="12"/>
  <c r="K14" i="2"/>
  <c r="I87" i="6"/>
  <c r="J77" i="12"/>
  <c r="I99" i="6"/>
  <c r="I121" i="6"/>
  <c r="J81" i="12"/>
  <c r="K15" i="2"/>
  <c r="J89" i="12"/>
  <c r="J17" i="12"/>
  <c r="J34" i="12"/>
  <c r="J43" i="12"/>
  <c r="K17" i="12"/>
  <c r="K34" i="12"/>
  <c r="K43" i="12"/>
  <c r="K65" i="12"/>
  <c r="K68" i="12"/>
  <c r="L12" i="2"/>
  <c r="K71" i="12"/>
  <c r="L13" i="2"/>
  <c r="K72" i="12"/>
  <c r="L14" i="2"/>
  <c r="J87" i="6"/>
  <c r="K77" i="12"/>
  <c r="K81" i="12"/>
  <c r="L15" i="2"/>
  <c r="K89" i="12"/>
  <c r="K61" i="1"/>
  <c r="K20" i="11"/>
  <c r="K33" i="1"/>
  <c r="K36" i="1"/>
  <c r="J12" i="12"/>
  <c r="K8" i="2"/>
  <c r="J36" i="12"/>
  <c r="K21" i="2"/>
  <c r="I115" i="6"/>
  <c r="L12" i="12"/>
  <c r="M8" i="2"/>
  <c r="L36" i="12"/>
  <c r="M21" i="2"/>
  <c r="K115" i="6"/>
  <c r="K12" i="12"/>
  <c r="L8" i="2"/>
  <c r="K36" i="12"/>
  <c r="L21" i="2"/>
  <c r="J115" i="6"/>
  <c r="L20" i="11"/>
  <c r="L33" i="1"/>
  <c r="L36" i="1"/>
  <c r="L76" i="11"/>
  <c r="L69" i="1"/>
  <c r="I92" i="6"/>
  <c r="I100" i="6"/>
  <c r="I12" i="6"/>
  <c r="I18" i="6"/>
  <c r="I25" i="6"/>
  <c r="I37" i="6"/>
  <c r="I41" i="6"/>
  <c r="I50" i="6"/>
  <c r="I57" i="6"/>
  <c r="I62" i="6"/>
  <c r="I68" i="6"/>
  <c r="I75" i="6"/>
  <c r="I83" i="6"/>
  <c r="I90" i="6"/>
  <c r="I104" i="6"/>
  <c r="I109" i="6"/>
  <c r="I110" i="6"/>
  <c r="I114" i="6"/>
  <c r="I111" i="6"/>
  <c r="I105" i="6"/>
  <c r="I107" i="6"/>
  <c r="I84" i="6"/>
  <c r="I85" i="6"/>
  <c r="I77" i="6"/>
  <c r="I73" i="6"/>
  <c r="I72" i="6"/>
  <c r="I63" i="6"/>
  <c r="I65" i="6"/>
  <c r="I58" i="6"/>
  <c r="I59" i="6"/>
  <c r="I43" i="6"/>
  <c r="I44" i="6"/>
  <c r="I45" i="6"/>
  <c r="K97" i="11"/>
  <c r="K88" i="11"/>
  <c r="I35" i="6"/>
  <c r="I6" i="6"/>
  <c r="I7" i="6"/>
  <c r="I9" i="6"/>
  <c r="I8" i="6"/>
  <c r="J60" i="12"/>
  <c r="K12" i="11"/>
  <c r="K60" i="11"/>
  <c r="J17" i="21"/>
  <c r="K17" i="21"/>
  <c r="M4" i="21"/>
  <c r="I17" i="21"/>
  <c r="L17" i="21"/>
  <c r="C17" i="21"/>
  <c r="F17" i="21"/>
  <c r="G5" i="21"/>
  <c r="O5" i="21"/>
  <c r="M5" i="21"/>
  <c r="M17" i="21"/>
  <c r="J99" i="6"/>
  <c r="J121" i="6"/>
  <c r="J110" i="6"/>
  <c r="J111" i="6"/>
  <c r="J113" i="6"/>
  <c r="J105" i="6"/>
  <c r="J106" i="6"/>
  <c r="J98" i="6"/>
  <c r="J97" i="6"/>
  <c r="L94" i="6"/>
  <c r="J93" i="6"/>
  <c r="J92" i="6"/>
  <c r="J100" i="6"/>
  <c r="J84" i="6"/>
  <c r="J85" i="6"/>
  <c r="J77" i="6"/>
  <c r="J76" i="6"/>
  <c r="J72" i="6"/>
  <c r="J63" i="6"/>
  <c r="J65" i="6"/>
  <c r="J66" i="6"/>
  <c r="J58" i="6"/>
  <c r="J59" i="6"/>
  <c r="J54" i="6"/>
  <c r="J44" i="6"/>
  <c r="J43" i="6"/>
  <c r="J16" i="6"/>
  <c r="L50" i="11"/>
  <c r="L8" i="1"/>
  <c r="E12" i="20"/>
  <c r="E17" i="20"/>
  <c r="J29" i="14"/>
  <c r="J28" i="14"/>
  <c r="I30" i="14"/>
  <c r="D16" i="13"/>
  <c r="E16" i="13"/>
  <c r="F16" i="13"/>
  <c r="G16" i="13"/>
  <c r="J16" i="13"/>
  <c r="C16" i="13"/>
  <c r="L97" i="11"/>
  <c r="L88" i="11"/>
  <c r="J35" i="6"/>
  <c r="L12" i="11"/>
  <c r="G39" i="20"/>
  <c r="D39" i="20"/>
  <c r="G23" i="20"/>
  <c r="D23" i="20"/>
  <c r="L61" i="1"/>
  <c r="J45" i="6"/>
  <c r="J22" i="6"/>
  <c r="J12" i="6"/>
  <c r="J18" i="6"/>
  <c r="J6" i="6"/>
  <c r="J7" i="6"/>
  <c r="J9" i="6"/>
  <c r="J8" i="6"/>
  <c r="L98" i="6"/>
  <c r="K93" i="6"/>
  <c r="K92" i="6"/>
  <c r="K96" i="6"/>
  <c r="K97" i="6"/>
  <c r="L45" i="6"/>
  <c r="M45" i="6"/>
  <c r="K45" i="6"/>
  <c r="L44" i="6"/>
  <c r="M44" i="6"/>
  <c r="K44" i="6"/>
  <c r="K46" i="6"/>
  <c r="L43" i="6"/>
  <c r="L46" i="6"/>
  <c r="M43" i="6"/>
  <c r="K43" i="6"/>
  <c r="E28" i="20"/>
  <c r="E44" i="20"/>
  <c r="E26" i="20"/>
  <c r="D28" i="20"/>
  <c r="D26" i="20"/>
  <c r="D42" i="20"/>
  <c r="F12" i="20"/>
  <c r="F44" i="20"/>
  <c r="F10" i="20"/>
  <c r="G10" i="20"/>
  <c r="D12" i="20"/>
  <c r="D17" i="20"/>
  <c r="D10" i="20"/>
  <c r="G40" i="20"/>
  <c r="G41" i="20"/>
  <c r="E42" i="20"/>
  <c r="G45" i="20"/>
  <c r="G46" i="20"/>
  <c r="G47" i="20"/>
  <c r="G48" i="20"/>
  <c r="G24" i="20"/>
  <c r="G25" i="20"/>
  <c r="G30" i="20"/>
  <c r="G31" i="20"/>
  <c r="G32" i="20"/>
  <c r="F33" i="20"/>
  <c r="G8" i="20"/>
  <c r="G9" i="20"/>
  <c r="G13" i="20"/>
  <c r="G14" i="20"/>
  <c r="G15" i="20"/>
  <c r="G16" i="20"/>
  <c r="K121" i="6"/>
  <c r="K35" i="6"/>
  <c r="K12" i="6"/>
  <c r="K18" i="6"/>
  <c r="K110" i="6"/>
  <c r="K111" i="6"/>
  <c r="K113" i="6"/>
  <c r="K105" i="6"/>
  <c r="K107" i="6"/>
  <c r="K84" i="6"/>
  <c r="K85" i="6"/>
  <c r="K80" i="6"/>
  <c r="K76" i="6"/>
  <c r="K79" i="6"/>
  <c r="K73" i="6"/>
  <c r="K72" i="6"/>
  <c r="K63" i="6"/>
  <c r="K65" i="6"/>
  <c r="K20" i="6"/>
  <c r="K60" i="6"/>
  <c r="K58" i="6"/>
  <c r="K59" i="6"/>
  <c r="K54" i="6"/>
  <c r="K38" i="6"/>
  <c r="K26" i="6"/>
  <c r="K22" i="6"/>
  <c r="K19" i="6"/>
  <c r="K16" i="6"/>
  <c r="K13" i="6"/>
  <c r="K15" i="6"/>
  <c r="M8" i="1"/>
  <c r="K10" i="6"/>
  <c r="K6" i="6"/>
  <c r="K7" i="6"/>
  <c r="K8" i="6"/>
  <c r="L17" i="12"/>
  <c r="L34" i="12"/>
  <c r="L43" i="12"/>
  <c r="M60" i="11"/>
  <c r="M111" i="11"/>
  <c r="M118" i="11"/>
  <c r="M67" i="11"/>
  <c r="M61" i="1"/>
  <c r="M36" i="1"/>
  <c r="L113" i="6"/>
  <c r="L111" i="6"/>
  <c r="L110" i="6"/>
  <c r="L105" i="6"/>
  <c r="L106" i="6"/>
  <c r="L107" i="6"/>
  <c r="L85" i="6"/>
  <c r="L86" i="6"/>
  <c r="L84" i="6"/>
  <c r="L80" i="6"/>
  <c r="L73" i="6"/>
  <c r="L66" i="6"/>
  <c r="L63" i="6"/>
  <c r="L65" i="6"/>
  <c r="L58" i="6"/>
  <c r="L59" i="6"/>
  <c r="L54" i="6"/>
  <c r="L51" i="6"/>
  <c r="L53" i="6"/>
  <c r="L27" i="6"/>
  <c r="L20" i="6"/>
  <c r="L8" i="6"/>
  <c r="L7" i="6"/>
  <c r="L6" i="6"/>
  <c r="L72" i="6"/>
  <c r="L22" i="6"/>
  <c r="L16" i="6"/>
  <c r="N61" i="1"/>
  <c r="N8" i="1"/>
  <c r="L10" i="6"/>
  <c r="N10" i="1"/>
  <c r="N111" i="11"/>
  <c r="N118" i="11"/>
  <c r="N67" i="11"/>
  <c r="N60" i="11"/>
  <c r="O60" i="11"/>
  <c r="O118" i="11"/>
  <c r="O111" i="11"/>
  <c r="O43" i="3"/>
  <c r="O35" i="3"/>
  <c r="O39" i="3"/>
  <c r="O8" i="2"/>
  <c r="O16" i="2"/>
  <c r="O23" i="2"/>
  <c r="O9" i="2"/>
  <c r="M73" i="6"/>
  <c r="O12" i="2"/>
  <c r="M76" i="6"/>
  <c r="M79" i="6"/>
  <c r="M80" i="6"/>
  <c r="O13" i="2"/>
  <c r="O14" i="2"/>
  <c r="M87" i="6"/>
  <c r="O15" i="2"/>
  <c r="O21" i="2"/>
  <c r="O25" i="2"/>
  <c r="M105" i="6"/>
  <c r="M107" i="6"/>
  <c r="M85" i="6"/>
  <c r="M86" i="6"/>
  <c r="M84" i="6"/>
  <c r="M63" i="6"/>
  <c r="M58" i="6"/>
  <c r="M59" i="6"/>
  <c r="M51" i="6"/>
  <c r="M53" i="6"/>
  <c r="F28" i="14"/>
  <c r="G28" i="14"/>
  <c r="H28" i="14"/>
  <c r="K28" i="14"/>
  <c r="F29" i="14"/>
  <c r="G29" i="14"/>
  <c r="G30" i="14"/>
  <c r="H29" i="14"/>
  <c r="H30" i="14"/>
  <c r="K29" i="14"/>
  <c r="K30" i="14"/>
  <c r="L26" i="14"/>
  <c r="L25" i="14"/>
  <c r="L24" i="14"/>
  <c r="L22" i="14"/>
  <c r="L21" i="14"/>
  <c r="L19" i="14"/>
  <c r="L18" i="14"/>
  <c r="L17" i="14"/>
  <c r="L14" i="14"/>
  <c r="L13" i="14"/>
  <c r="O61" i="1"/>
  <c r="O10" i="1"/>
  <c r="O36" i="1"/>
  <c r="O67" i="11"/>
  <c r="M100" i="6"/>
  <c r="M113" i="6"/>
  <c r="M111" i="6"/>
  <c r="M110" i="6"/>
  <c r="M26" i="6"/>
  <c r="M6" i="6"/>
  <c r="M7" i="6"/>
  <c r="M9" i="6"/>
  <c r="B10" i="6"/>
  <c r="M115" i="6"/>
  <c r="M72" i="6"/>
  <c r="M10" i="6"/>
  <c r="H92" i="6"/>
  <c r="H100" i="6"/>
  <c r="I42" i="21"/>
  <c r="O14" i="21"/>
  <c r="I19" i="21"/>
  <c r="K10" i="1"/>
  <c r="I10" i="6"/>
  <c r="K13" i="2"/>
  <c r="O4" i="21"/>
  <c r="J12" i="2"/>
  <c r="J47" i="1"/>
  <c r="J55" i="1"/>
  <c r="M10" i="1"/>
  <c r="K21" i="6"/>
  <c r="N11" i="3"/>
  <c r="K100" i="6"/>
  <c r="J79" i="6"/>
  <c r="M65" i="6"/>
  <c r="J114" i="6"/>
  <c r="G65" i="6"/>
  <c r="I10" i="1"/>
  <c r="I33" i="11"/>
  <c r="G86" i="6"/>
  <c r="I12" i="2"/>
  <c r="G107" i="6"/>
  <c r="G100" i="6"/>
  <c r="F19" i="6"/>
  <c r="F20" i="6"/>
  <c r="F60" i="6"/>
  <c r="H10" i="3"/>
  <c r="G64" i="12"/>
  <c r="G88" i="12"/>
  <c r="G96" i="12"/>
  <c r="F66" i="6"/>
  <c r="O50" i="21"/>
  <c r="O53" i="21"/>
  <c r="O54" i="21"/>
  <c r="O55" i="21"/>
  <c r="O59" i="21"/>
  <c r="O60" i="21"/>
  <c r="I64" i="21"/>
  <c r="F107" i="6"/>
  <c r="L100" i="6"/>
  <c r="G54" i="6"/>
  <c r="F79" i="6"/>
  <c r="F9" i="6"/>
  <c r="O13" i="21"/>
  <c r="O72" i="21"/>
  <c r="O73" i="21"/>
  <c r="O74" i="21"/>
  <c r="O75" i="21"/>
  <c r="O77" i="21"/>
  <c r="O80" i="21"/>
  <c r="O81" i="21"/>
  <c r="O82" i="21"/>
  <c r="I86" i="21"/>
  <c r="E107" i="6"/>
  <c r="N16" i="2"/>
  <c r="N23" i="2"/>
  <c r="N27" i="2"/>
  <c r="F51" i="6"/>
  <c r="F53" i="6"/>
  <c r="G30" i="6"/>
  <c r="I28" i="6"/>
  <c r="H23" i="1"/>
  <c r="F54" i="6"/>
  <c r="E46" i="6"/>
  <c r="E38" i="6"/>
  <c r="G55" i="1"/>
  <c r="E9" i="6"/>
  <c r="E10" i="6"/>
  <c r="G10" i="1"/>
  <c r="G33" i="11"/>
  <c r="G15" i="3"/>
  <c r="G16" i="1"/>
  <c r="G10" i="3"/>
  <c r="F64" i="12"/>
  <c r="F88" i="12"/>
  <c r="F96" i="12"/>
  <c r="G16" i="2"/>
  <c r="G23" i="2"/>
  <c r="E120" i="6"/>
  <c r="E122" i="6"/>
  <c r="E124" i="6"/>
  <c r="E66" i="6"/>
  <c r="E22" i="6"/>
  <c r="F47" i="17"/>
  <c r="F33" i="11"/>
  <c r="F33" i="1"/>
  <c r="E97" i="12"/>
  <c r="E100" i="12"/>
  <c r="F13" i="2"/>
  <c r="D101" i="6"/>
  <c r="K17" i="3"/>
  <c r="N36" i="1"/>
  <c r="K9" i="6"/>
  <c r="J26" i="6"/>
  <c r="M30" i="6"/>
  <c r="M54" i="6"/>
  <c r="M29" i="6"/>
  <c r="M47" i="6"/>
  <c r="H38" i="6"/>
  <c r="L60" i="6"/>
  <c r="K16" i="1"/>
  <c r="I22" i="6"/>
  <c r="I20" i="6"/>
  <c r="I54" i="6"/>
  <c r="I30" i="6"/>
  <c r="L15" i="3"/>
  <c r="M71" i="1"/>
  <c r="K30" i="6"/>
  <c r="K51" i="6"/>
  <c r="K53" i="6"/>
  <c r="M17" i="3"/>
  <c r="M16" i="6"/>
  <c r="J36" i="1"/>
  <c r="J26" i="3"/>
  <c r="J31" i="3"/>
  <c r="H30" i="6"/>
  <c r="H51" i="6"/>
  <c r="H53" i="6"/>
  <c r="G20" i="6"/>
  <c r="G60" i="6"/>
  <c r="G38" i="6"/>
  <c r="G26" i="6"/>
  <c r="F38" i="6"/>
  <c r="F26" i="6"/>
  <c r="O18" i="3"/>
  <c r="L11" i="3"/>
  <c r="F15" i="3"/>
  <c r="F10" i="3"/>
  <c r="H80" i="6"/>
  <c r="G11" i="3"/>
  <c r="I17" i="3"/>
  <c r="H11" i="3"/>
  <c r="O12" i="21"/>
  <c r="O6" i="21"/>
  <c r="G80" i="6"/>
  <c r="G17" i="3"/>
  <c r="F16" i="6"/>
  <c r="L33" i="11"/>
  <c r="L60" i="11"/>
  <c r="E54" i="6"/>
  <c r="E30" i="6"/>
  <c r="I60" i="6"/>
  <c r="D79" i="6"/>
  <c r="I106" i="6"/>
  <c r="I46" i="6"/>
  <c r="D9" i="6"/>
  <c r="D10" i="6"/>
  <c r="F10" i="1"/>
  <c r="D107" i="6"/>
  <c r="E16" i="1"/>
  <c r="C22" i="6"/>
  <c r="D44" i="20"/>
  <c r="D88" i="12"/>
  <c r="D96" i="12"/>
  <c r="C119" i="6"/>
  <c r="E12" i="2"/>
  <c r="C80" i="6"/>
  <c r="D34" i="12"/>
  <c r="D43" i="12"/>
  <c r="D97" i="12"/>
  <c r="D100" i="12"/>
  <c r="O120" i="21"/>
  <c r="O122" i="21"/>
  <c r="G107" i="21"/>
  <c r="O118" i="21"/>
  <c r="F21" i="6"/>
  <c r="N26" i="3"/>
  <c r="N31" i="3"/>
  <c r="G23" i="1"/>
  <c r="G29" i="1"/>
  <c r="M48" i="6"/>
  <c r="L26" i="3"/>
  <c r="L31" i="3"/>
  <c r="D30" i="6"/>
  <c r="D38" i="6"/>
  <c r="D51" i="6"/>
  <c r="D53" i="6"/>
  <c r="J15" i="3"/>
  <c r="G16" i="6"/>
  <c r="E16" i="6"/>
  <c r="L10" i="3"/>
  <c r="E8" i="1"/>
  <c r="C10" i="6"/>
  <c r="O125" i="21"/>
  <c r="O126" i="21"/>
  <c r="I135" i="21"/>
  <c r="L114" i="6"/>
  <c r="J46" i="6"/>
  <c r="H106" i="6"/>
  <c r="G79" i="6"/>
  <c r="G114" i="6"/>
  <c r="D46" i="6"/>
  <c r="E79" i="6"/>
  <c r="E86" i="6"/>
  <c r="E114" i="6"/>
  <c r="C9" i="6"/>
  <c r="L9" i="6"/>
  <c r="J86" i="6"/>
  <c r="I86" i="6"/>
  <c r="H46" i="6"/>
  <c r="F86" i="6"/>
  <c r="M106" i="6"/>
  <c r="M114" i="6"/>
  <c r="K86" i="6"/>
  <c r="M46" i="6"/>
  <c r="H79" i="6"/>
  <c r="F46" i="6"/>
  <c r="C86" i="6"/>
  <c r="C26" i="6"/>
  <c r="E15" i="3"/>
  <c r="C46" i="6"/>
  <c r="E17" i="3"/>
  <c r="C13" i="6"/>
  <c r="C15" i="6"/>
  <c r="E10" i="3"/>
  <c r="C79" i="6"/>
  <c r="E16" i="2"/>
  <c r="E23" i="2"/>
  <c r="J107" i="6"/>
  <c r="K106" i="6"/>
  <c r="E10" i="1"/>
  <c r="E29" i="1"/>
  <c r="I38" i="6"/>
  <c r="H60" i="6"/>
  <c r="C16" i="6"/>
  <c r="C54" i="6"/>
  <c r="C30" i="6"/>
  <c r="G11" i="20"/>
  <c r="D12" i="11"/>
  <c r="D60" i="11"/>
  <c r="D12" i="2"/>
  <c r="C64" i="12"/>
  <c r="C88" i="12"/>
  <c r="C96" i="12"/>
  <c r="C97" i="12"/>
  <c r="C100" i="12"/>
  <c r="E153" i="21"/>
  <c r="D15" i="3"/>
  <c r="D55" i="1"/>
  <c r="D36" i="1"/>
  <c r="B15" i="23"/>
  <c r="D51" i="11"/>
  <c r="D50" i="11"/>
  <c r="D33" i="11"/>
  <c r="G28" i="20"/>
  <c r="G12" i="20"/>
  <c r="G44" i="20"/>
  <c r="G17" i="20"/>
  <c r="E33" i="20"/>
  <c r="C101" i="12"/>
  <c r="C102" i="12"/>
  <c r="D25" i="2"/>
  <c r="C105" i="12"/>
  <c r="D77" i="11"/>
  <c r="D70" i="1"/>
  <c r="H19" i="13"/>
  <c r="I19" i="13"/>
  <c r="K19" i="13"/>
  <c r="G66" i="6"/>
  <c r="I16" i="2"/>
  <c r="I23" i="2"/>
  <c r="O17" i="21"/>
  <c r="K10" i="3"/>
  <c r="K26" i="3"/>
  <c r="K31" i="3"/>
  <c r="M21" i="6"/>
  <c r="O8" i="3"/>
  <c r="O19" i="3"/>
  <c r="O23" i="3"/>
  <c r="O41" i="3"/>
  <c r="M120" i="6"/>
  <c r="O27" i="2"/>
  <c r="E8" i="3"/>
  <c r="C120" i="6"/>
  <c r="N39" i="3"/>
  <c r="H101" i="12"/>
  <c r="H102" i="12"/>
  <c r="I25" i="2"/>
  <c r="H105" i="12"/>
  <c r="I77" i="11"/>
  <c r="I70" i="1"/>
  <c r="E105" i="12"/>
  <c r="F77" i="11"/>
  <c r="F70" i="1"/>
  <c r="E101" i="12"/>
  <c r="E102" i="12"/>
  <c r="F25" i="2"/>
  <c r="F18" i="3"/>
  <c r="J80" i="6"/>
  <c r="L16" i="2"/>
  <c r="L23" i="2"/>
  <c r="K48" i="6"/>
  <c r="K34" i="6"/>
  <c r="F29" i="1"/>
  <c r="L10" i="1"/>
  <c r="J10" i="6"/>
  <c r="K97" i="12"/>
  <c r="K100" i="12"/>
  <c r="D101" i="12"/>
  <c r="D102" i="12"/>
  <c r="E25" i="2"/>
  <c r="E27" i="2"/>
  <c r="D105" i="12"/>
  <c r="E77" i="11"/>
  <c r="E70" i="1"/>
  <c r="H12" i="13"/>
  <c r="I66" i="6"/>
  <c r="G97" i="12"/>
  <c r="G100" i="12"/>
  <c r="N8" i="3"/>
  <c r="M27" i="6"/>
  <c r="M34" i="6"/>
  <c r="O55" i="1"/>
  <c r="O73" i="1"/>
  <c r="H17" i="3"/>
  <c r="G45" i="6"/>
  <c r="G46" i="6"/>
  <c r="I46" i="1"/>
  <c r="G28" i="6"/>
  <c r="F97" i="12"/>
  <c r="F100" i="12"/>
  <c r="M107" i="21"/>
  <c r="F60" i="11"/>
  <c r="G131" i="21"/>
  <c r="K153" i="21"/>
  <c r="M154" i="21"/>
  <c r="L28" i="14"/>
  <c r="J30" i="14"/>
  <c r="F17" i="3"/>
  <c r="G8" i="3"/>
  <c r="F97" i="11"/>
  <c r="F88" i="11"/>
  <c r="H33" i="1"/>
  <c r="H29" i="6"/>
  <c r="H34" i="6"/>
  <c r="L29" i="14"/>
  <c r="F30" i="14"/>
  <c r="K114" i="6"/>
  <c r="E43" i="20"/>
  <c r="E49" i="20"/>
  <c r="L16" i="1"/>
  <c r="L29" i="1"/>
  <c r="L38" i="1"/>
  <c r="K15" i="3"/>
  <c r="J19" i="6"/>
  <c r="J21" i="6"/>
  <c r="O16" i="1"/>
  <c r="M22" i="6"/>
  <c r="O15" i="3"/>
  <c r="M20" i="6"/>
  <c r="M60" i="6"/>
  <c r="J23" i="1"/>
  <c r="O32" i="21"/>
  <c r="G13" i="6"/>
  <c r="G15" i="6"/>
  <c r="I23" i="1"/>
  <c r="E125" i="6"/>
  <c r="O23" i="1"/>
  <c r="M15" i="3"/>
  <c r="L19" i="6"/>
  <c r="L21" i="6"/>
  <c r="N16" i="1"/>
  <c r="J16" i="2"/>
  <c r="J23" i="2"/>
  <c r="H66" i="6"/>
  <c r="E62" i="21"/>
  <c r="C64" i="21"/>
  <c r="K12" i="2"/>
  <c r="I80" i="6"/>
  <c r="J64" i="12"/>
  <c r="J88" i="12"/>
  <c r="J96" i="12"/>
  <c r="J97" i="12"/>
  <c r="J100" i="12"/>
  <c r="N29" i="1"/>
  <c r="N38" i="1"/>
  <c r="D8" i="1"/>
  <c r="D10" i="1"/>
  <c r="D29" i="1"/>
  <c r="D38" i="1"/>
  <c r="C66" i="6"/>
  <c r="I16" i="1"/>
  <c r="G22" i="6"/>
  <c r="O37" i="3"/>
  <c r="O62" i="21"/>
  <c r="O26" i="3"/>
  <c r="O31" i="3"/>
  <c r="O10" i="3"/>
  <c r="I27" i="6"/>
  <c r="I34" i="6"/>
  <c r="K55" i="1"/>
  <c r="O8" i="21"/>
  <c r="F24" i="17"/>
  <c r="F15" i="17"/>
  <c r="F26" i="17"/>
  <c r="F54" i="17"/>
  <c r="G62" i="21"/>
  <c r="H12" i="2"/>
  <c r="F80" i="6"/>
  <c r="G20" i="11"/>
  <c r="O94" i="21"/>
  <c r="E40" i="21"/>
  <c r="C42" i="21"/>
  <c r="E20" i="11"/>
  <c r="L38" i="6"/>
  <c r="N55" i="1"/>
  <c r="K64" i="12"/>
  <c r="K88" i="12"/>
  <c r="K96" i="12"/>
  <c r="L120" i="6"/>
  <c r="M18" i="3"/>
  <c r="M62" i="21"/>
  <c r="M26" i="3"/>
  <c r="M31" i="3"/>
  <c r="I21" i="6"/>
  <c r="O28" i="21"/>
  <c r="O40" i="21"/>
  <c r="G40" i="21"/>
  <c r="H8" i="1"/>
  <c r="H33" i="11"/>
  <c r="H60" i="11"/>
  <c r="F12" i="2"/>
  <c r="F16" i="1"/>
  <c r="D22" i="6"/>
  <c r="D19" i="6"/>
  <c r="D21" i="6"/>
  <c r="E84" i="21"/>
  <c r="C86" i="21"/>
  <c r="I88" i="21"/>
  <c r="F55" i="1"/>
  <c r="D27" i="6"/>
  <c r="D34" i="6"/>
  <c r="N18" i="3"/>
  <c r="F42" i="20"/>
  <c r="F49" i="20"/>
  <c r="F17" i="20"/>
  <c r="K11" i="3"/>
  <c r="J11" i="3"/>
  <c r="M40" i="21"/>
  <c r="I43" i="1"/>
  <c r="E131" i="21"/>
  <c r="O129" i="21"/>
  <c r="E21" i="6"/>
  <c r="N15" i="3"/>
  <c r="L26" i="6"/>
  <c r="L34" i="6"/>
  <c r="L35" i="6"/>
  <c r="M16" i="2"/>
  <c r="M23" i="2"/>
  <c r="K66" i="6"/>
  <c r="M13" i="6"/>
  <c r="M15" i="6"/>
  <c r="O17" i="3"/>
  <c r="D43" i="20"/>
  <c r="G27" i="20"/>
  <c r="E107" i="21"/>
  <c r="F36" i="1"/>
  <c r="G17" i="21"/>
  <c r="H43" i="1"/>
  <c r="H97" i="11"/>
  <c r="H88" i="11"/>
  <c r="M131" i="21"/>
  <c r="O123" i="21"/>
  <c r="O131" i="21"/>
  <c r="K131" i="21"/>
  <c r="M73" i="1"/>
  <c r="M79" i="1"/>
  <c r="N37" i="3"/>
  <c r="I64" i="12"/>
  <c r="I88" i="12"/>
  <c r="I96" i="12"/>
  <c r="I97" i="12"/>
  <c r="I100" i="12"/>
  <c r="H19" i="6"/>
  <c r="H21" i="6"/>
  <c r="I15" i="3"/>
  <c r="I12" i="11"/>
  <c r="I60" i="11"/>
  <c r="I33" i="1"/>
  <c r="K107" i="21"/>
  <c r="O101" i="21"/>
  <c r="D66" i="6"/>
  <c r="O149" i="21"/>
  <c r="D33" i="20"/>
  <c r="G26" i="20"/>
  <c r="G33" i="20"/>
  <c r="J16" i="1"/>
  <c r="H22" i="6"/>
  <c r="O84" i="21"/>
  <c r="C19" i="21"/>
  <c r="K23" i="1"/>
  <c r="K29" i="1"/>
  <c r="K38" i="1"/>
  <c r="L55" i="1"/>
  <c r="J27" i="6"/>
  <c r="J34" i="6"/>
  <c r="J33" i="11"/>
  <c r="J60" i="11"/>
  <c r="J8" i="1"/>
  <c r="I14" i="2"/>
  <c r="G87" i="6"/>
  <c r="H16" i="2"/>
  <c r="H23" i="2"/>
  <c r="G153" i="21"/>
  <c r="G154" i="21"/>
  <c r="C155" i="21"/>
  <c r="I157" i="21"/>
  <c r="D13" i="2"/>
  <c r="D16" i="2"/>
  <c r="D23" i="2"/>
  <c r="M66" i="6"/>
  <c r="E43" i="1"/>
  <c r="N71" i="1"/>
  <c r="N73" i="1"/>
  <c r="N79" i="1"/>
  <c r="D100" i="6"/>
  <c r="O141" i="21"/>
  <c r="O153" i="21"/>
  <c r="J97" i="11"/>
  <c r="J88" i="11"/>
  <c r="J101" i="12"/>
  <c r="J102" i="12"/>
  <c r="K25" i="2"/>
  <c r="K18" i="3"/>
  <c r="J105" i="12"/>
  <c r="K77" i="11"/>
  <c r="I101" i="12"/>
  <c r="I102" i="12"/>
  <c r="J25" i="2"/>
  <c r="J18" i="3"/>
  <c r="D8" i="3"/>
  <c r="D27" i="2"/>
  <c r="K12" i="13"/>
  <c r="I12" i="13"/>
  <c r="F120" i="6"/>
  <c r="H8" i="3"/>
  <c r="M132" i="21"/>
  <c r="I18" i="3"/>
  <c r="I55" i="1"/>
  <c r="G27" i="6"/>
  <c r="G34" i="6"/>
  <c r="D80" i="6"/>
  <c r="F16" i="2"/>
  <c r="F23" i="2"/>
  <c r="L30" i="14"/>
  <c r="N19" i="3"/>
  <c r="N23" i="3"/>
  <c r="N41" i="3"/>
  <c r="N44" i="3"/>
  <c r="M43" i="3"/>
  <c r="M44" i="3"/>
  <c r="L43" i="3"/>
  <c r="F38" i="1"/>
  <c r="G42" i="20"/>
  <c r="J10" i="1"/>
  <c r="H10" i="6"/>
  <c r="I29" i="1"/>
  <c r="I38" i="1"/>
  <c r="F35" i="6"/>
  <c r="H18" i="3"/>
  <c r="H55" i="1"/>
  <c r="F27" i="6"/>
  <c r="F34" i="6"/>
  <c r="G33" i="1"/>
  <c r="G12" i="11"/>
  <c r="G60" i="11"/>
  <c r="J120" i="6"/>
  <c r="L8" i="3"/>
  <c r="I8" i="3"/>
  <c r="I27" i="2"/>
  <c r="G120" i="6"/>
  <c r="C27" i="6"/>
  <c r="C34" i="6"/>
  <c r="D18" i="3"/>
  <c r="E55" i="1"/>
  <c r="E18" i="3"/>
  <c r="E19" i="3"/>
  <c r="E23" i="3"/>
  <c r="H120" i="6"/>
  <c r="J8" i="3"/>
  <c r="J19" i="3"/>
  <c r="J23" i="3"/>
  <c r="J27" i="2"/>
  <c r="J29" i="1"/>
  <c r="J38" i="1"/>
  <c r="H36" i="1"/>
  <c r="H26" i="3"/>
  <c r="H31" i="3"/>
  <c r="F101" i="12"/>
  <c r="F102" i="12"/>
  <c r="G25" i="2"/>
  <c r="H35" i="6"/>
  <c r="E33" i="1"/>
  <c r="E12" i="11"/>
  <c r="E60" i="11"/>
  <c r="G101" i="12"/>
  <c r="G102" i="12"/>
  <c r="H25" i="2"/>
  <c r="H27" i="2"/>
  <c r="F10" i="6"/>
  <c r="H10" i="1"/>
  <c r="H29" i="1"/>
  <c r="K16" i="2"/>
  <c r="K23" i="2"/>
  <c r="C122" i="6"/>
  <c r="C124" i="6"/>
  <c r="C125" i="6"/>
  <c r="K120" i="6"/>
  <c r="M27" i="2"/>
  <c r="M8" i="3"/>
  <c r="M19" i="3"/>
  <c r="M23" i="3"/>
  <c r="M41" i="3"/>
  <c r="O107" i="21"/>
  <c r="I36" i="1"/>
  <c r="I26" i="3"/>
  <c r="I31" i="3"/>
  <c r="M122" i="6"/>
  <c r="M125" i="6"/>
  <c r="D35" i="6"/>
  <c r="L122" i="6"/>
  <c r="L124" i="6"/>
  <c r="L125" i="6"/>
  <c r="K101" i="12"/>
  <c r="K102" i="12"/>
  <c r="L25" i="2"/>
  <c r="L18" i="3"/>
  <c r="O29" i="1"/>
  <c r="O38" i="1"/>
  <c r="O79" i="1"/>
  <c r="M35" i="6"/>
  <c r="G43" i="20"/>
  <c r="G132" i="21"/>
  <c r="D49" i="20"/>
  <c r="L27" i="2"/>
  <c r="G26" i="3"/>
  <c r="G31" i="3"/>
  <c r="G36" i="1"/>
  <c r="G38" i="1"/>
  <c r="F26" i="3"/>
  <c r="F31" i="3"/>
  <c r="E26" i="3"/>
  <c r="E31" i="3"/>
  <c r="D26" i="3"/>
  <c r="D31" i="3"/>
  <c r="E36" i="1"/>
  <c r="E38" i="1"/>
  <c r="K105" i="12"/>
  <c r="L77" i="11"/>
  <c r="F8" i="3"/>
  <c r="F19" i="3"/>
  <c r="F23" i="3"/>
  <c r="D120" i="6"/>
  <c r="F27" i="2"/>
  <c r="G27" i="2"/>
  <c r="G18" i="3"/>
  <c r="G19" i="3"/>
  <c r="G23" i="3"/>
  <c r="D19" i="3"/>
  <c r="D23" i="3"/>
  <c r="F105" i="12"/>
  <c r="G77" i="11"/>
  <c r="G70" i="1"/>
  <c r="G122" i="6"/>
  <c r="G124" i="6"/>
  <c r="G125" i="6"/>
  <c r="K122" i="6"/>
  <c r="K124" i="6"/>
  <c r="K125" i="6"/>
  <c r="I105" i="12"/>
  <c r="J77" i="11"/>
  <c r="J70" i="1"/>
  <c r="H38" i="1"/>
  <c r="L19" i="3"/>
  <c r="L23" i="3"/>
  <c r="L41" i="3"/>
  <c r="L44" i="3"/>
  <c r="K43" i="3"/>
  <c r="K8" i="3"/>
  <c r="K19" i="3"/>
  <c r="K23" i="3"/>
  <c r="I120" i="6"/>
  <c r="K27" i="2"/>
  <c r="I19" i="3"/>
  <c r="I23" i="3"/>
  <c r="H19" i="3"/>
  <c r="H23" i="3"/>
  <c r="J122" i="6"/>
  <c r="J124" i="6"/>
  <c r="J125" i="6"/>
  <c r="F122" i="6"/>
  <c r="F124" i="6"/>
  <c r="F125" i="6"/>
  <c r="K67" i="11"/>
  <c r="K66" i="11"/>
  <c r="K111" i="11"/>
  <c r="K118" i="11"/>
  <c r="J76" i="11"/>
  <c r="K70" i="1"/>
  <c r="K71" i="1"/>
  <c r="K73" i="1"/>
  <c r="K79" i="1"/>
  <c r="G105" i="12"/>
  <c r="H77" i="11"/>
  <c r="H70" i="1"/>
  <c r="H122" i="6"/>
  <c r="H124" i="6"/>
  <c r="H125" i="6"/>
  <c r="G49" i="20"/>
  <c r="D122" i="6"/>
  <c r="D124" i="6"/>
  <c r="D125" i="6"/>
  <c r="L67" i="11"/>
  <c r="L66" i="11"/>
  <c r="L111" i="11"/>
  <c r="L118" i="11"/>
  <c r="L70" i="1"/>
  <c r="J69" i="1"/>
  <c r="J67" i="11"/>
  <c r="J66" i="11"/>
  <c r="J111" i="11"/>
  <c r="J118" i="11"/>
  <c r="I76" i="11"/>
  <c r="I122" i="6"/>
  <c r="I124" i="6"/>
  <c r="I125" i="6"/>
  <c r="I67" i="11"/>
  <c r="I66" i="11"/>
  <c r="I111" i="11"/>
  <c r="I118" i="11"/>
  <c r="H76" i="11"/>
  <c r="I69" i="1"/>
  <c r="J37" i="3"/>
  <c r="J39" i="3"/>
  <c r="J41" i="3"/>
  <c r="J71" i="1"/>
  <c r="J73" i="1"/>
  <c r="J79" i="1"/>
  <c r="K37" i="3"/>
  <c r="K39" i="3"/>
  <c r="K41" i="3"/>
  <c r="K44" i="3"/>
  <c r="J43" i="3"/>
  <c r="J44" i="3"/>
  <c r="I43" i="3"/>
  <c r="L71" i="1"/>
  <c r="L73" i="1"/>
  <c r="L79" i="1"/>
  <c r="G76" i="11"/>
  <c r="H67" i="11"/>
  <c r="H66" i="11"/>
  <c r="H111" i="11"/>
  <c r="H118" i="11"/>
  <c r="H69" i="1"/>
  <c r="I71" i="1"/>
  <c r="I73" i="1"/>
  <c r="I79" i="1"/>
  <c r="I37" i="3"/>
  <c r="I39" i="3"/>
  <c r="I41" i="3"/>
  <c r="I44" i="3"/>
  <c r="H43" i="3"/>
  <c r="H71" i="1"/>
  <c r="H73" i="1"/>
  <c r="H79" i="1"/>
  <c r="H37" i="3"/>
  <c r="H39" i="3"/>
  <c r="H41" i="3"/>
  <c r="H44" i="3"/>
  <c r="G43" i="3"/>
  <c r="G67" i="11"/>
  <c r="G66" i="11"/>
  <c r="G111" i="11"/>
  <c r="G118" i="11"/>
  <c r="G69" i="1"/>
  <c r="F76" i="11"/>
  <c r="G71" i="1"/>
  <c r="G73" i="1"/>
  <c r="G79" i="1"/>
  <c r="G37" i="3"/>
  <c r="G39" i="3"/>
  <c r="G41" i="3"/>
  <c r="G44" i="3"/>
  <c r="F43" i="3"/>
  <c r="E76" i="11"/>
  <c r="F67" i="11"/>
  <c r="F66" i="11"/>
  <c r="F111" i="11"/>
  <c r="F118" i="11"/>
  <c r="F69" i="1"/>
  <c r="F71" i="1"/>
  <c r="F73" i="1"/>
  <c r="F79" i="1"/>
  <c r="F37" i="3"/>
  <c r="F39" i="3"/>
  <c r="F41" i="3"/>
  <c r="F44" i="3"/>
  <c r="E43" i="3"/>
  <c r="D76" i="11"/>
  <c r="E69" i="1"/>
  <c r="E67" i="11"/>
  <c r="E66" i="11"/>
  <c r="E111" i="11"/>
  <c r="E118" i="11"/>
  <c r="H7" i="13"/>
  <c r="E37" i="3"/>
  <c r="E39" i="3"/>
  <c r="E41" i="3"/>
  <c r="E44" i="3"/>
  <c r="D43" i="3"/>
  <c r="E71" i="1"/>
  <c r="E73" i="1"/>
  <c r="E79" i="1"/>
  <c r="D69" i="1"/>
  <c r="D67" i="11"/>
  <c r="D66" i="11"/>
  <c r="D111" i="11"/>
  <c r="D118" i="11"/>
  <c r="D71" i="1"/>
  <c r="D73" i="1"/>
  <c r="D79" i="1"/>
  <c r="D37" i="3"/>
  <c r="D39" i="3"/>
  <c r="D41" i="3"/>
  <c r="D44" i="3"/>
  <c r="I7" i="13"/>
  <c r="H16" i="13"/>
  <c r="H23" i="13"/>
  <c r="K7" i="13"/>
  <c r="K16" i="13"/>
  <c r="K23" i="13"/>
  <c r="I16" i="13"/>
  <c r="I23" i="13"/>
</calcChain>
</file>

<file path=xl/sharedStrings.xml><?xml version="1.0" encoding="utf-8"?>
<sst xmlns="http://schemas.openxmlformats.org/spreadsheetml/2006/main" count="1382" uniqueCount="764">
  <si>
    <t>AKTlVET</t>
  </si>
  <si>
    <t>Mjete monetare</t>
  </si>
  <si>
    <t>Totali</t>
  </si>
  <si>
    <t>lnstrumente te tjera borxhi</t>
  </si>
  <si>
    <t>lnvestime te tjera financiare</t>
  </si>
  <si>
    <t>Inventari</t>
  </si>
  <si>
    <t>Prodhim ne proces</t>
  </si>
  <si>
    <t>Aktivet afatgjata</t>
  </si>
  <si>
    <t>Detyrime tatimore</t>
  </si>
  <si>
    <t>Rezerva te tjera</t>
  </si>
  <si>
    <t>Shitjet neto</t>
  </si>
  <si>
    <t>Shpenzime te personelit</t>
  </si>
  <si>
    <t>Te ardhurat dhe shpenzimet financiare</t>
  </si>
  <si>
    <t>Fitimi (humbja) para tatimit</t>
  </si>
  <si>
    <t>Shpenzimet e tatimit mbi fitimin</t>
  </si>
  <si>
    <t>Fitimi (humbja) neto e vitit financiar</t>
  </si>
  <si>
    <t>Interesi i paguar</t>
  </si>
  <si>
    <t>Tatimfitimi i paguar</t>
  </si>
  <si>
    <t>Fluksi i parave nga veprimtarite investuese</t>
  </si>
  <si>
    <t>Interesi i arketuar</t>
  </si>
  <si>
    <t>Dividendet e arketuar</t>
  </si>
  <si>
    <t>Te ardhura nga emetimi i kapitalit aksionar</t>
  </si>
  <si>
    <t>Pagesat e detyrimeve te qirase financiare</t>
  </si>
  <si>
    <t>Rritja/renia neto e mjeteve monetare</t>
  </si>
  <si>
    <t>Mjetet monetare ne fund te periudhes kontabel</t>
  </si>
  <si>
    <t>Pasqyra e fluksit te parave - Metoda indirekte</t>
  </si>
  <si>
    <t>Fluksi i parave nga veprimtarite e shfrvtezimit</t>
  </si>
  <si>
    <t>Fitimi para tatimit</t>
  </si>
  <si>
    <t>RreguIIime per:</t>
  </si>
  <si>
    <t>Amortizimin</t>
  </si>
  <si>
    <t>Humbje nga kembimet vaIutore</t>
  </si>
  <si>
    <t>Te ardhura nga investimet</t>
  </si>
  <si>
    <t>Shpenzime per interesa</t>
  </si>
  <si>
    <t>Rritie/renie ne tepricen inventarit</t>
  </si>
  <si>
    <t>Parate e perftuara nga aktivitetet</t>
  </si>
  <si>
    <t>Bleria e shoqerise se kontrolluar X minus parate e arketuara</t>
  </si>
  <si>
    <t>Blerja e aktiveve afatgiata materiale</t>
  </si>
  <si>
    <t>Te ardhura nga shitja e paiisjeve</t>
  </si>
  <si>
    <t>Te ardhura nga huamarrie afatgjata</t>
  </si>
  <si>
    <t>Dividendet e paguar</t>
  </si>
  <si>
    <t>Kapitali</t>
  </si>
  <si>
    <t>Derivative dhe aktive financiare te mbajtura per tregtim</t>
  </si>
  <si>
    <t>Aktivet afatshkurtra</t>
  </si>
  <si>
    <t>Aktive te tjera financiare afatshkurtra</t>
  </si>
  <si>
    <t>Llogari/Kerkesa te tjera te arketueshme</t>
  </si>
  <si>
    <t>Mallra per rishitje</t>
  </si>
  <si>
    <t>Parapagesat per furnizime</t>
  </si>
  <si>
    <t>Aktivet biologjike afatshkurtra</t>
  </si>
  <si>
    <t>Aktivet afatshkurtra te mbajtura per shitje</t>
  </si>
  <si>
    <t>Parapagimet dhe shpenzimet e shtyra</t>
  </si>
  <si>
    <t>Aktivet totale afatshkurtra</t>
  </si>
  <si>
    <t>Investimet financiare afatgjata</t>
  </si>
  <si>
    <t>Llogari / Kerkesa te arketueshme</t>
  </si>
  <si>
    <t>Aktive afatgjata materiale</t>
  </si>
  <si>
    <t>Aktivet biologjike afatgjata</t>
  </si>
  <si>
    <t>Aktivet afatgjata jomateriale</t>
  </si>
  <si>
    <t>Totali i aktiveve afatgjata</t>
  </si>
  <si>
    <t>TOTALl I AKTIVEVE</t>
  </si>
  <si>
    <t>Huamarjet</t>
  </si>
  <si>
    <t>Huate dhe parapagimet</t>
  </si>
  <si>
    <t>Te pagueshme ndaj furnitoreve</t>
  </si>
  <si>
    <t>Te pagueshme ndaj punonjesve</t>
  </si>
  <si>
    <t>Hua te tjera</t>
  </si>
  <si>
    <t>Parapagime te arketuara</t>
  </si>
  <si>
    <t>Grande dhe te ardhura te shtyra</t>
  </si>
  <si>
    <t>Provizionet afatshkurter</t>
  </si>
  <si>
    <t>Totali i pasiveve Afatshkurter</t>
  </si>
  <si>
    <t>Pasivet Afatgjata</t>
  </si>
  <si>
    <t>Hua Afatgjata</t>
  </si>
  <si>
    <t>Huamarje te tjera Afatgjata</t>
  </si>
  <si>
    <t>Provizione Afatgjata</t>
  </si>
  <si>
    <t>Totali i pasiveve Afatgjata</t>
  </si>
  <si>
    <t>KAPITALI</t>
  </si>
  <si>
    <t>Rezerva Statutore</t>
  </si>
  <si>
    <t>Rezerva Ligjore</t>
  </si>
  <si>
    <t>Fitime te pa shperndara</t>
  </si>
  <si>
    <t>Fitim ( Humbj) e vitit financiar</t>
  </si>
  <si>
    <t xml:space="preserve">P ASIVET DHE KAPIT ALl </t>
  </si>
  <si>
    <t>TOTALl I PASIVEVE DHE KAPITALIT</t>
  </si>
  <si>
    <t>Te ardhura te tjera nga veprimtarite e shfrytezimit</t>
  </si>
  <si>
    <t>Ndryshimet ne inventarin e produkteve te gatshme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</si>
  <si>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</si>
  <si>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</si>
  <si>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</si>
  <si>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Renia ne vlere (zhvleresimi) dhe amortizimi</t>
  </si>
  <si>
    <t>Fitimi (humbja) nga veprimtarite e shfrytezimit</t>
  </si>
  <si>
    <t>Te ardhurat dhe shpenzimet financiare nga njesite e kontrolluara</t>
  </si>
  <si>
    <t>Te ardhurat dhe shpenzimet financiare nga pjesmarrjet</t>
  </si>
  <si>
    <t>Viti 2008</t>
  </si>
  <si>
    <t>Rritje/renie ne tepricen e kerkesave te arketueshme nga aktiviteti, si dhe kerkesave te arketueshme te tjera</t>
  </si>
  <si>
    <t>Paraja neto, e perdorur ne aktivitetet investuese</t>
  </si>
  <si>
    <t>Mjetet monetare ne tilIim te periudhes kontabel</t>
  </si>
  <si>
    <t>Fluksi i parave nga veprimtarite financiare</t>
  </si>
  <si>
    <t>Kapitali aksionar</t>
  </si>
  <si>
    <t>VITI 2008</t>
  </si>
  <si>
    <t>Te tjera detyrime</t>
  </si>
  <si>
    <t>(shumat ne Leke)</t>
  </si>
  <si>
    <t>Dif Konvertimi</t>
  </si>
  <si>
    <t>TE TJERA SHENIMET</t>
  </si>
  <si>
    <t>Para ne dore</t>
  </si>
  <si>
    <t>Para ne Banka</t>
  </si>
  <si>
    <t>Magazinat</t>
  </si>
  <si>
    <t>Klientet</t>
  </si>
  <si>
    <t>Furnitoret</t>
  </si>
  <si>
    <t>Tatim Fitimi</t>
  </si>
  <si>
    <t>TVSH</t>
  </si>
  <si>
    <t>Sigurime shoqerore</t>
  </si>
  <si>
    <t>31 Dhjetor 2008</t>
  </si>
  <si>
    <t>Pasivet Afatshkurter</t>
  </si>
  <si>
    <t xml:space="preserve">Paga  </t>
  </si>
  <si>
    <t>Te tjera</t>
  </si>
  <si>
    <t>Fitim nga kembime valutore</t>
  </si>
  <si>
    <t>Te ardhura te tjera</t>
  </si>
  <si>
    <t>Fitim Bruto</t>
  </si>
  <si>
    <t>Shpenzime te pa njohura</t>
  </si>
  <si>
    <t>Baza llogaritjes Tatimit</t>
  </si>
  <si>
    <t>% e tatim Fitimit</t>
  </si>
  <si>
    <t>Fitimi NETO</t>
  </si>
  <si>
    <t>Ortake</t>
  </si>
  <si>
    <t>Diferenca nga kembimi</t>
  </si>
  <si>
    <t>Punonjes</t>
  </si>
  <si>
    <t>Te ardhura nga interesat</t>
  </si>
  <si>
    <t>Totali i kapitalit</t>
  </si>
  <si>
    <t>Rritie/renie ne tepricen e detyrimeve, per t'u paguar nga aktiviteti</t>
  </si>
  <si>
    <t>Para neto e verdorur ne aktivitetet financiare</t>
  </si>
  <si>
    <t>Hua bankare</t>
  </si>
  <si>
    <t>Kerkesa te arketueshme</t>
  </si>
  <si>
    <t>1</t>
  </si>
  <si>
    <t>2</t>
  </si>
  <si>
    <t>3</t>
  </si>
  <si>
    <t>4</t>
  </si>
  <si>
    <t>5</t>
  </si>
  <si>
    <t xml:space="preserve">Detyrimet afatshkurtra </t>
  </si>
  <si>
    <t>Te Tjera</t>
  </si>
  <si>
    <t>Produkte dhe mallra</t>
  </si>
  <si>
    <t>Sherbime bankare</t>
  </si>
  <si>
    <t>Provizione per rreziqe</t>
  </si>
  <si>
    <t>I</t>
  </si>
  <si>
    <t>II</t>
  </si>
  <si>
    <t>6</t>
  </si>
  <si>
    <t>7</t>
  </si>
  <si>
    <t>8</t>
  </si>
  <si>
    <t>a</t>
  </si>
  <si>
    <t>b</t>
  </si>
  <si>
    <t>c</t>
  </si>
  <si>
    <t>9</t>
  </si>
  <si>
    <t>d</t>
  </si>
  <si>
    <t>e</t>
  </si>
  <si>
    <t>III</t>
  </si>
  <si>
    <t>10</t>
  </si>
  <si>
    <t>11</t>
  </si>
  <si>
    <t>12</t>
  </si>
  <si>
    <t>13</t>
  </si>
  <si>
    <t>14</t>
  </si>
  <si>
    <t>IV</t>
  </si>
  <si>
    <t>V</t>
  </si>
  <si>
    <t>f</t>
  </si>
  <si>
    <t>BILANCI</t>
  </si>
  <si>
    <t>AKTIVI</t>
  </si>
  <si>
    <t>Nr</t>
  </si>
  <si>
    <t>A</t>
  </si>
  <si>
    <t>KAPITALI I NESHKRUAR I PAKERKUAR</t>
  </si>
  <si>
    <t>B</t>
  </si>
  <si>
    <t>AKTIVE TE QENDRUESHME</t>
  </si>
  <si>
    <t>Te Pa Trupezuara</t>
  </si>
  <si>
    <t>Shpenzime te nisjes dhe te zgjerimit</t>
  </si>
  <si>
    <t>Shpenzime per kerkime te aplikuara e zhvillime</t>
  </si>
  <si>
    <t>Te tjera ne Shfrytezim</t>
  </si>
  <si>
    <t>Pagesa pjesore te derdhura</t>
  </si>
  <si>
    <t>Amortizime (-)</t>
  </si>
  <si>
    <t>h</t>
  </si>
  <si>
    <t>Provizione per zhvleresim (-)</t>
  </si>
  <si>
    <t>TE TRUPEZUARA</t>
  </si>
  <si>
    <t>Toka, troje, terrene, ndertime e inst. te pergj</t>
  </si>
  <si>
    <t>Instalime teknike, makineri, pajisje, vegla pune</t>
  </si>
  <si>
    <t>Te tjera ne shfrytezim</t>
  </si>
  <si>
    <t>Ne proces dhe pagesa pjesore</t>
  </si>
  <si>
    <t>15</t>
  </si>
  <si>
    <t>16</t>
  </si>
  <si>
    <t>FINANCIARE</t>
  </si>
  <si>
    <t>17</t>
  </si>
  <si>
    <t>Pjesemarrje dhe tituj financiare te tjere</t>
  </si>
  <si>
    <t>18</t>
  </si>
  <si>
    <t>Kerkesa debitore te lidhura me pjesemarrjet</t>
  </si>
  <si>
    <t>19</t>
  </si>
  <si>
    <t>Kredi te dhena</t>
  </si>
  <si>
    <t>20</t>
  </si>
  <si>
    <t>Provizione per zhvleresime (-)</t>
  </si>
  <si>
    <t>21</t>
  </si>
  <si>
    <t>AQ te Tjera</t>
  </si>
  <si>
    <t>21/1</t>
  </si>
  <si>
    <t>C</t>
  </si>
  <si>
    <t>AKTIVE QARKULLUESE</t>
  </si>
  <si>
    <t>22</t>
  </si>
  <si>
    <t>GJENDJE E INVENTARIT DHE NE PROCES</t>
  </si>
  <si>
    <t>23</t>
  </si>
  <si>
    <t>Materiale te para dhe materiale te tjera</t>
  </si>
  <si>
    <t>24</t>
  </si>
  <si>
    <t>Prodhime, punime, sherbime ne proces</t>
  </si>
  <si>
    <t>25</t>
  </si>
  <si>
    <t>26</t>
  </si>
  <si>
    <t>Te tjera gjendje inventari</t>
  </si>
  <si>
    <t>27</t>
  </si>
  <si>
    <t>28</t>
  </si>
  <si>
    <t>KERKESA PER ARKETIM MBI DEBITORET</t>
  </si>
  <si>
    <t>29</t>
  </si>
  <si>
    <t>Nga keto me afat pas me shume se nje vit</t>
  </si>
  <si>
    <t>Kliente per shitje, sherbime</t>
  </si>
  <si>
    <t>30</t>
  </si>
  <si>
    <t>Ortake kapital i paderdhur</t>
  </si>
  <si>
    <t>31</t>
  </si>
  <si>
    <t>32</t>
  </si>
  <si>
    <t>Te tjera kerkesa</t>
  </si>
  <si>
    <t>33</t>
  </si>
  <si>
    <t>34</t>
  </si>
  <si>
    <t>LETRA ME VLERE TE VENDOSJES PERKOHSHME</t>
  </si>
  <si>
    <t>35</t>
  </si>
  <si>
    <t>Aksione, obligacione, bono thesari e te ngjashme</t>
  </si>
  <si>
    <t>36</t>
  </si>
  <si>
    <t>37</t>
  </si>
  <si>
    <t>LIKUIDITETE DHE VLERA ARKE TE TJERA</t>
  </si>
  <si>
    <t>38</t>
  </si>
  <si>
    <t>Depozita ne banke dhe ne llogari te tjera</t>
  </si>
  <si>
    <t>39</t>
  </si>
  <si>
    <t>Para ne dore (arke)</t>
  </si>
  <si>
    <t>40</t>
  </si>
  <si>
    <t>41</t>
  </si>
  <si>
    <t>SHPENZIME PAGUAR OSE REGJISTRUAR AVANC</t>
  </si>
  <si>
    <t>42</t>
  </si>
  <si>
    <t>Ne keto mbi nje vit</t>
  </si>
  <si>
    <t>D</t>
  </si>
  <si>
    <t>LLOGARI TE TJERA</t>
  </si>
  <si>
    <t>43</t>
  </si>
  <si>
    <t>Shpenzime (kosto) per tu shperndare.</t>
  </si>
  <si>
    <t>44</t>
  </si>
  <si>
    <t>Diferenca konvertimi Aktive</t>
  </si>
  <si>
    <t>45</t>
  </si>
  <si>
    <t>45/1</t>
  </si>
  <si>
    <t>TOTALI I AKTIVIT</t>
  </si>
  <si>
    <t>46</t>
  </si>
  <si>
    <t>E</t>
  </si>
  <si>
    <t>LLOGARI JASHTE BILANCIT</t>
  </si>
  <si>
    <t>47</t>
  </si>
  <si>
    <t>Aktive te Qendrueshme te Marra me Qira</t>
  </si>
  <si>
    <t>48</t>
  </si>
  <si>
    <t>Pasuri te Tjera te te Treteve</t>
  </si>
  <si>
    <t>49</t>
  </si>
  <si>
    <t>Te tjera Llogari Jashte Bilancit</t>
  </si>
  <si>
    <t>50</t>
  </si>
  <si>
    <t>KAPITALET E VETA</t>
  </si>
  <si>
    <t>51</t>
  </si>
  <si>
    <t>KAPITALI THEMELTAR, REZERVAT, FITME/HUMBJE</t>
  </si>
  <si>
    <t>52</t>
  </si>
  <si>
    <t>Nga ky i derdhur</t>
  </si>
  <si>
    <t>Kapital i Nenshkruar</t>
  </si>
  <si>
    <t>53</t>
  </si>
  <si>
    <t>Prime te lidhura me Kapitalin</t>
  </si>
  <si>
    <t>54</t>
  </si>
  <si>
    <t>Diferenca nga Rivleresimi</t>
  </si>
  <si>
    <t>55</t>
  </si>
  <si>
    <t>Rezervat</t>
  </si>
  <si>
    <t>56</t>
  </si>
  <si>
    <t>Rezervat Ligjore</t>
  </si>
  <si>
    <t>57</t>
  </si>
  <si>
    <t>Rezervat Statutore</t>
  </si>
  <si>
    <t>58</t>
  </si>
  <si>
    <t>Rezervat te Tjera</t>
  </si>
  <si>
    <t>59</t>
  </si>
  <si>
    <t>Fitime ose Humbje te Mbartura (Humbjet -)</t>
  </si>
  <si>
    <t>60</t>
  </si>
  <si>
    <t>Fitime ose Humbje te Ushtrimit (Humbjet -)</t>
  </si>
  <si>
    <t>61</t>
  </si>
  <si>
    <t>Te Tjera qe lidhen me Kapitalin</t>
  </si>
  <si>
    <t>61/1</t>
  </si>
  <si>
    <t>FONDE TE TJERA TE VETAT(Nder. Shteterore)</t>
  </si>
  <si>
    <t>62</t>
  </si>
  <si>
    <t>Fondi (Rezerva) i Zhvillimit</t>
  </si>
  <si>
    <t>63</t>
  </si>
  <si>
    <t>Fondi i Shperblimit Suplementar te Punonjesve</t>
  </si>
  <si>
    <t>64</t>
  </si>
  <si>
    <t>Fondi i Ndihmave te Menjehershme</t>
  </si>
  <si>
    <t>65</t>
  </si>
  <si>
    <t>Fonde te Tjera</t>
  </si>
  <si>
    <t>66</t>
  </si>
  <si>
    <t>SUBVENCIONE PER INVENSTIME</t>
  </si>
  <si>
    <t>67</t>
  </si>
  <si>
    <t>PROVIZIONE PER RREZIQE E SHPENZIME</t>
  </si>
  <si>
    <t>68</t>
  </si>
  <si>
    <t>Provizoine per Rreziqe</t>
  </si>
  <si>
    <t>69</t>
  </si>
  <si>
    <t>Provizione per Shpenzime</t>
  </si>
  <si>
    <t>70</t>
  </si>
  <si>
    <t>DETYRIME</t>
  </si>
  <si>
    <t>71</t>
  </si>
  <si>
    <t>Detyrime te Kerkueshme Pas Me Shume Se nje Vit</t>
  </si>
  <si>
    <t>72</t>
  </si>
  <si>
    <t>Huara nga Bankat dhe Institutet e Kreditit</t>
  </si>
  <si>
    <t>73</t>
  </si>
  <si>
    <t>Huara te Tjera</t>
  </si>
  <si>
    <t>74</t>
  </si>
  <si>
    <t>Shuma te Arketuara per Porosi</t>
  </si>
  <si>
    <t>75</t>
  </si>
  <si>
    <t>Furnitore per Blerje e Sherbime</t>
  </si>
  <si>
    <t>76</t>
  </si>
  <si>
    <t>Shteti</t>
  </si>
  <si>
    <t>77</t>
  </si>
  <si>
    <t>78</t>
  </si>
  <si>
    <t>Te tjera Detyrime</t>
  </si>
  <si>
    <t>79</t>
  </si>
  <si>
    <t>DETYRIME TE KERKUESHME DERI NE NJE VIT</t>
  </si>
  <si>
    <t>80</t>
  </si>
  <si>
    <t>81</t>
  </si>
  <si>
    <t>82</t>
  </si>
  <si>
    <t>Shuma te Arketuara me Porosi</t>
  </si>
  <si>
    <t>83</t>
  </si>
  <si>
    <t>84</t>
  </si>
  <si>
    <t>Personeli</t>
  </si>
  <si>
    <t>85</t>
  </si>
  <si>
    <t>86</t>
  </si>
  <si>
    <t>87</t>
  </si>
  <si>
    <t>g</t>
  </si>
  <si>
    <t>88</t>
  </si>
  <si>
    <t>i</t>
  </si>
  <si>
    <t>Te Tjera Detyrime</t>
  </si>
  <si>
    <t>89</t>
  </si>
  <si>
    <t>Te Ardhura Te Marra Ose Te Regjistruara Avance</t>
  </si>
  <si>
    <t>90</t>
  </si>
  <si>
    <t>91</t>
  </si>
  <si>
    <t>Diferenca Konvertimi Pasive</t>
  </si>
  <si>
    <t>92</t>
  </si>
  <si>
    <t>93</t>
  </si>
  <si>
    <t>TOTALI I PASIVIT</t>
  </si>
  <si>
    <t>94</t>
  </si>
  <si>
    <t>95</t>
  </si>
  <si>
    <t>Llogari jashte bilancit</t>
  </si>
  <si>
    <t>96</t>
  </si>
  <si>
    <t>Llogari te Sendeve me Qira</t>
  </si>
  <si>
    <t>97</t>
  </si>
  <si>
    <t>Te Tjera Jashte Bilancit</t>
  </si>
  <si>
    <t>98</t>
  </si>
  <si>
    <t>99</t>
  </si>
  <si>
    <t>Makineri Pajisje</t>
  </si>
  <si>
    <t>Te Ardhurat e Shpenzimet</t>
  </si>
  <si>
    <t>( Llogaria e Fitimimeve dhe e Humbjeve )</t>
  </si>
  <si>
    <t>Numri</t>
  </si>
  <si>
    <t>TE ARDHURAT</t>
  </si>
  <si>
    <t>TE ARDHURA QE HYJNE NE SHIFREN E AFARIZMIT</t>
  </si>
  <si>
    <t>Nga Shitja e Produkteve te Prodhimit te Vete</t>
  </si>
  <si>
    <t>Nga Kryerja e Sherbimeve</t>
  </si>
  <si>
    <t>Nga Shitja e Mallrave</t>
  </si>
  <si>
    <t>Te Tjera Shitje e Sherbime</t>
  </si>
  <si>
    <t>TOTALI I SHIFRA NETO E AFARIZEM</t>
  </si>
  <si>
    <t>NGA TOTALI PER EKSPORT</t>
  </si>
  <si>
    <t>TE ARDHURA TE TJERA ( PERVEC ATYRE FINANCIARE )</t>
  </si>
  <si>
    <t>Shtesa e Gjendjeve te Prodhimit te Vete</t>
  </si>
  <si>
    <t>Prodhimi i Aktiveve te Qendrueshme</t>
  </si>
  <si>
    <t>Subvencione te Shfrytezimit</t>
  </si>
  <si>
    <t>Te Ardhura te Tjera Rrjedhese</t>
  </si>
  <si>
    <t>Çmimi i Shitjes se aktiveve te qendrueshme</t>
  </si>
  <si>
    <t>Arketimi i debitoreve te shlyer</t>
  </si>
  <si>
    <t>Rimarrje Amortizimi dhe Provizionesh</t>
  </si>
  <si>
    <t>Rimarrje amortizimi per aktivet e qendrushme</t>
  </si>
  <si>
    <t>Rimarrje provizionesh per aktivet e qendrueshme</t>
  </si>
  <si>
    <t>Rimarrje provizionesh per aktivet qarkulluese</t>
  </si>
  <si>
    <t>Rimarrje provizionesh per rreziqe e shpenzime</t>
  </si>
  <si>
    <t>Rimarrje te tjera</t>
  </si>
  <si>
    <t>TOTALI  ( I + II )</t>
  </si>
  <si>
    <t>TE ARDHURA FINANCIARE</t>
  </si>
  <si>
    <t>Interesa te Fituara dhe te Ngjajshme</t>
  </si>
  <si>
    <t>PlusVlera e Shitjes Letrave me Vlere te Vends.</t>
  </si>
  <si>
    <t>Diferenca pozitive nga Kembimi</t>
  </si>
  <si>
    <t>Rimarrje Provizionesh per Aktivet Financiare</t>
  </si>
  <si>
    <t>Te Tjera te Ardhura Financiare</t>
  </si>
  <si>
    <t>TOTALI ( I + II + III )</t>
  </si>
  <si>
    <t>REZULTATI NGA VEPRIMET E ZAKONSHME</t>
  </si>
  <si>
    <t>- HUMBJE</t>
  </si>
  <si>
    <t>TE ARDHURA TE JASHTEZAKONSHME</t>
  </si>
  <si>
    <t>REZULTATI I JASHTEZAKONSHEM</t>
  </si>
  <si>
    <t>REZULTATI I BILANCIT</t>
  </si>
  <si>
    <t>SHPENZIMET</t>
  </si>
  <si>
    <t>PAKESIMI I GJENDJES TE PRODHIMIT</t>
  </si>
  <si>
    <t>SHPENZIME SHFRYTEZIMI E TE TJERA RRJEDHESE</t>
  </si>
  <si>
    <t>Materiale te Para dhe Materiale te Tjera</t>
  </si>
  <si>
    <t>Blerje gjate ushtimit</t>
  </si>
  <si>
    <t>Ndryshimi i Gjendjeve (+ -)</t>
  </si>
  <si>
    <t>Mallra</t>
  </si>
  <si>
    <t>Blerje gjate ushtrimit</t>
  </si>
  <si>
    <t>Nryshimi i Gjendjeve (+ -)</t>
  </si>
  <si>
    <t>Furnitura, Nentrajtime dhe Sherbime</t>
  </si>
  <si>
    <t>Shpenzime per Personelin</t>
  </si>
  <si>
    <t>Pagat</t>
  </si>
  <si>
    <t>Trajtime dhe shperblime te tjera</t>
  </si>
  <si>
    <t>Sigurime shoqerore dhe te ngjashme</t>
  </si>
  <si>
    <t>Tatime, Taksa e Derdhje te Ngjashme</t>
  </si>
  <si>
    <t>Shpenzime te Tjera Rrjedhese</t>
  </si>
  <si>
    <t>Vlera kontabel e A.Q te shitura</t>
  </si>
  <si>
    <t>Humbje nga mos arketimi i debitoreve</t>
  </si>
  <si>
    <t>Amortizime dhe Provizione</t>
  </si>
  <si>
    <t>Amortizimi i A.Q.</t>
  </si>
  <si>
    <t>Provizione te zhvleresimit te aktiveve te qend</t>
  </si>
  <si>
    <t>Provisione zhvleresimi te aktiveve qarkullimi</t>
  </si>
  <si>
    <t>Kuota e shpenzimeve per shperndarje</t>
  </si>
  <si>
    <t>SHPENZIME FINANCIARE</t>
  </si>
  <si>
    <t>Interesa te Paguara dhe per t'u Paguar</t>
  </si>
  <si>
    <t>Minusvlera nga Shitja e Letra me Vlere te Vendos.</t>
  </si>
  <si>
    <t>Diferenca Negative nga Shkembimi</t>
  </si>
  <si>
    <t>Provizione e Aktive Financiare te Qendrue. Qark.</t>
  </si>
  <si>
    <t>Te tjera Shpenzime Financiare</t>
  </si>
  <si>
    <t>TOTALI  ( I + II + III )</t>
  </si>
  <si>
    <t>REZULTATI NGA VEPRIMTARIA E ZAKONSHME</t>
  </si>
  <si>
    <t>SHPENZIME TE JASHTEZAKONSHME</t>
  </si>
  <si>
    <t>FITIMI PARA TATIMIT</t>
  </si>
  <si>
    <t>VI</t>
  </si>
  <si>
    <t>TATIMI MBI FITIMIN DHE TE NGJASHME</t>
  </si>
  <si>
    <t>Tatim mbi Fitimin</t>
  </si>
  <si>
    <t>-Per fitimin nga veprimtaria e zakonshme</t>
  </si>
  <si>
    <t>Zbritje te Tjera</t>
  </si>
  <si>
    <t>VII</t>
  </si>
  <si>
    <t>FITIMI NETO (ose i Bilancit) V - VI</t>
  </si>
  <si>
    <t>( Monedha:LEK)</t>
  </si>
  <si>
    <t>Primi kapitalit</t>
  </si>
  <si>
    <t>Diferenca konvertimi</t>
  </si>
  <si>
    <t>Hua Bankare</t>
  </si>
  <si>
    <t>Te ardhura nga shitja e AQ</t>
  </si>
  <si>
    <t>Blerje mallra dhe te tjera</t>
  </si>
  <si>
    <t>3.c</t>
  </si>
  <si>
    <t>3.b</t>
  </si>
  <si>
    <t>3.a</t>
  </si>
  <si>
    <t>3.d</t>
  </si>
  <si>
    <t>3.e</t>
  </si>
  <si>
    <t>5.a</t>
  </si>
  <si>
    <t>5.b</t>
  </si>
  <si>
    <t>5.c</t>
  </si>
  <si>
    <t>5.d</t>
  </si>
  <si>
    <t>5.e</t>
  </si>
  <si>
    <t>Shenime</t>
  </si>
  <si>
    <t>ADMINISTRATORI</t>
  </si>
  <si>
    <t>KONTABILISTE</t>
  </si>
  <si>
    <t>Vlefta 2008</t>
  </si>
  <si>
    <t>Kapitali aksionar që i përket aksionarëve të shoqërisë mëmë</t>
  </si>
  <si>
    <t>Primi I aksioni</t>
  </si>
  <si>
    <t>Aksionet e thesarit</t>
  </si>
  <si>
    <t>Rezerva statusore dhe  ligjore</t>
  </si>
  <si>
    <t>Rezerva të konvertimit të  monedhave të huaja</t>
  </si>
  <si>
    <t>Fitimi I Pashpërndarë</t>
  </si>
  <si>
    <t>Zotërimet e aksionarëve të pakicës</t>
  </si>
  <si>
    <t>Efekti i ndryshimeve në politikat  kontabël</t>
  </si>
  <si>
    <t>Pozicioni i rregulluar</t>
  </si>
  <si>
    <t>Efektet e ndryshimit të kurseve të këmbimit gjatë konsolidimit</t>
  </si>
  <si>
    <t>Totali i të ardhuraveapo I shpenzimeve, që nuk janë njohur  në pasqyrën e të ardhurave dhe  shpenzimeve</t>
  </si>
  <si>
    <t>Fitimi neto i vitit financiar</t>
  </si>
  <si>
    <t>Dividendët e paguar</t>
  </si>
  <si>
    <t>Transferime në rezervën e detyrueshme statusore</t>
  </si>
  <si>
    <t xml:space="preserve">Emetim i kapitalit aksionar </t>
  </si>
  <si>
    <t>Efekte të ndryshime të kurseve të këmbimit gjatë konsolidimit</t>
  </si>
  <si>
    <t>Fitimi neto për periudhën kontabël</t>
  </si>
  <si>
    <t>Emetim i kapitalit aksionar</t>
  </si>
  <si>
    <t>Aksione të thesarit të riblera</t>
  </si>
  <si>
    <t xml:space="preserve">I </t>
  </si>
  <si>
    <t>Pershkrimi</t>
  </si>
  <si>
    <t>Toka</t>
  </si>
  <si>
    <t>Ndertesat</t>
  </si>
  <si>
    <t>Automjetet</t>
  </si>
  <si>
    <t>Ne Proces</t>
  </si>
  <si>
    <t>TOTAL</t>
  </si>
  <si>
    <t>Kontroll 
me FS</t>
  </si>
  <si>
    <t>Opening bal</t>
  </si>
  <si>
    <t>Gross value</t>
  </si>
  <si>
    <t>AQT Vlera Bruto</t>
  </si>
  <si>
    <t>+</t>
  </si>
  <si>
    <t>Amortization</t>
  </si>
  <si>
    <t>Amortiz Akumul</t>
  </si>
  <si>
    <t>Provision</t>
  </si>
  <si>
    <t>Provizione</t>
  </si>
  <si>
    <t>Inflow</t>
  </si>
  <si>
    <t>Vlera Bruto</t>
  </si>
  <si>
    <t>Outflow</t>
  </si>
  <si>
    <t>-</t>
  </si>
  <si>
    <t>Restructuration</t>
  </si>
  <si>
    <t>flow</t>
  </si>
  <si>
    <t>Riklasifikim i Aktiveve</t>
  </si>
  <si>
    <t>+ / -</t>
  </si>
  <si>
    <t>Provizionet</t>
  </si>
  <si>
    <t>Depreciation</t>
  </si>
  <si>
    <t>Amortizimi i Vitit Ushtrimor</t>
  </si>
  <si>
    <t>Reversal</t>
  </si>
  <si>
    <t xml:space="preserve">Rimarje e Amortizimit </t>
  </si>
  <si>
    <t>Rimarje e Provizioneve</t>
  </si>
  <si>
    <t>Flow</t>
  </si>
  <si>
    <t>Riklasifikim i Amortizimeve</t>
  </si>
  <si>
    <t>Closing balance</t>
  </si>
  <si>
    <t>gross value</t>
  </si>
  <si>
    <t>amortization</t>
  </si>
  <si>
    <t>provision</t>
  </si>
  <si>
    <t>AQT Vlera Neto</t>
  </si>
  <si>
    <t>Likujditete</t>
  </si>
  <si>
    <t>Page Punonjesh</t>
  </si>
  <si>
    <t>Kerkese mbi debitoret Shteti</t>
  </si>
  <si>
    <t>Te Ardhurat</t>
  </si>
  <si>
    <t>Qira</t>
  </si>
  <si>
    <t>Amortizime dhe provizione</t>
  </si>
  <si>
    <t>Amortizimi AQT</t>
  </si>
  <si>
    <t>Pasqyra e Aktiveve dhe Amortizimeve</t>
  </si>
  <si>
    <t xml:space="preserve">Emërtimi   dhe   Forma ligjore </t>
  </si>
  <si>
    <t>NIPT-i</t>
  </si>
  <si>
    <t>Adresa e Selisë</t>
  </si>
  <si>
    <t xml:space="preserve">Data    e   krijimit   </t>
  </si>
  <si>
    <t xml:space="preserve">Nr.  i   Regjistrit  tregtar   </t>
  </si>
  <si>
    <r>
      <t>Veprimtaria Kryesore</t>
    </r>
    <r>
      <rPr>
        <b/>
        <u/>
        <sz val="12"/>
        <rFont val="Arial Narrow"/>
        <family val="2"/>
      </rPr>
      <t xml:space="preserve"> </t>
    </r>
  </si>
  <si>
    <t>PASQYRAT         FINANCIARE</t>
  </si>
  <si>
    <t>Pasqyrat Financiare janë individuale</t>
  </si>
  <si>
    <t xml:space="preserve">Pasqyrat Financiare janë të shprehura </t>
  </si>
  <si>
    <t>në vlerë reale leku</t>
  </si>
  <si>
    <t xml:space="preserve">Periudha Kontabël e Pasqyrave Financiare </t>
  </si>
  <si>
    <t xml:space="preserve">Data e mbylljes së Pasqyrave Financiare </t>
  </si>
  <si>
    <r>
      <t>Lendet e para</t>
    </r>
    <r>
      <rPr>
        <i/>
        <sz val="12"/>
        <rFont val="Times New Roman"/>
        <family val="1"/>
      </rPr>
      <t xml:space="preserve"> </t>
    </r>
  </si>
  <si>
    <t>dhe ligjit Nr. 9228, datë 29.04.2004 "Për Kontabilitetin dhe Pasqyrat Financiare")</t>
  </si>
  <si>
    <t xml:space="preserve">(Në zbatim të Standartit Kombetar të Kontabilitetit nr.2                                                                            </t>
  </si>
  <si>
    <t>Ushtrimi 08</t>
  </si>
  <si>
    <t>Ushtrimi 09</t>
  </si>
  <si>
    <t>Vlefta 2009</t>
  </si>
  <si>
    <t>Viti 2009</t>
  </si>
  <si>
    <t>VITI 2009</t>
  </si>
  <si>
    <t>31 Dhjetor 2009</t>
  </si>
  <si>
    <t xml:space="preserve"> </t>
  </si>
  <si>
    <t>Ortaku</t>
  </si>
  <si>
    <t>Ngurtesim Banke</t>
  </si>
  <si>
    <t>Pajisje zyre</t>
  </si>
  <si>
    <t>dhe te tjera</t>
  </si>
  <si>
    <t>PERSHKRIM</t>
  </si>
  <si>
    <t xml:space="preserve">JONA TRAVEL &amp; TOURS, Shoqëri  me   përgjegjesi  të  kufizuar </t>
  </si>
  <si>
    <t>K 31624163 S</t>
  </si>
  <si>
    <t xml:space="preserve">Rr.Abdyl Frashëri,Pall I Ri Jeshil 1/4- Tirana </t>
  </si>
  <si>
    <t>AGJENSI UDHETIMI</t>
  </si>
  <si>
    <t>Vendi</t>
  </si>
  <si>
    <t>Tirana</t>
  </si>
  <si>
    <t>Viti 2010</t>
  </si>
  <si>
    <t>VITI 2010</t>
  </si>
  <si>
    <t>Vlefta 2010</t>
  </si>
  <si>
    <t>Ushtrimi 10</t>
  </si>
  <si>
    <t xml:space="preserve"> Shoqeria  JONA TRAVEL &amp; TOURS    sh p k </t>
  </si>
  <si>
    <t xml:space="preserve"> Shoqeria JONA TRAVEL &amp; TOURS    sh p k </t>
  </si>
  <si>
    <t xml:space="preserve"> Shoqeria  "JONA TRAVEL &amp; TOURS"    sh p k </t>
  </si>
  <si>
    <t xml:space="preserve"> Shoqeria " JONA TRAVEL &amp; TOURS " sh p k </t>
  </si>
  <si>
    <t xml:space="preserve"> Shoqeria  "JONA TRAVEL &amp; TOURS " sh p k </t>
  </si>
  <si>
    <t>01 Prill  2003</t>
  </si>
  <si>
    <t>Produkte te Gatshme,Mallra</t>
  </si>
  <si>
    <t>31 Dhjetor 2010</t>
  </si>
  <si>
    <t xml:space="preserve">I N V E N T A R I  i </t>
  </si>
  <si>
    <t xml:space="preserve">Mallrave </t>
  </si>
  <si>
    <r>
      <t xml:space="preserve">Subjekti   </t>
    </r>
    <r>
      <rPr>
        <u/>
        <sz val="14"/>
        <rFont val="Arial"/>
        <family val="2"/>
      </rPr>
      <t>Jona Travel &amp; Tours</t>
    </r>
  </si>
  <si>
    <r>
      <t xml:space="preserve">NIPT   </t>
    </r>
    <r>
      <rPr>
        <u/>
        <sz val="14"/>
        <rFont val="Arial"/>
        <family val="2"/>
      </rPr>
      <t>K31624163S</t>
    </r>
  </si>
  <si>
    <r>
      <t xml:space="preserve">Telefoni   </t>
    </r>
    <r>
      <rPr>
        <u/>
        <sz val="14"/>
        <rFont val="Arial"/>
        <family val="2"/>
      </rPr>
      <t>2277321</t>
    </r>
  </si>
  <si>
    <t>Nr.</t>
  </si>
  <si>
    <t>Artikulli</t>
  </si>
  <si>
    <t>Nj / M</t>
  </si>
  <si>
    <t>Sasia</t>
  </si>
  <si>
    <t>Kosto</t>
  </si>
  <si>
    <t>Vlera</t>
  </si>
  <si>
    <t>Shuma</t>
  </si>
  <si>
    <t xml:space="preserve">Per Drejtimin e Shoqerise </t>
  </si>
  <si>
    <t>V.O.Kjo pasqyre do te plotesohet e vecante per</t>
  </si>
  <si>
    <t>Lenden e Pare ; Mallrat ; Produktin e Gateshem dhe Prodhimin ne Proces</t>
  </si>
  <si>
    <t>NR</t>
  </si>
  <si>
    <t>EMERTIMI</t>
  </si>
  <si>
    <t xml:space="preserve">NJESIA </t>
  </si>
  <si>
    <t xml:space="preserve">SASIA </t>
  </si>
  <si>
    <t>CMIMI</t>
  </si>
  <si>
    <t>Vlera Kontabel</t>
  </si>
  <si>
    <t>Gjenerator</t>
  </si>
  <si>
    <t>cope</t>
  </si>
  <si>
    <t>Aparat  faxi</t>
  </si>
  <si>
    <t>Kondiconer</t>
  </si>
  <si>
    <t>Tavolona Pune</t>
  </si>
  <si>
    <t>Karrige</t>
  </si>
  <si>
    <t>Dollape</t>
  </si>
  <si>
    <t>Mak.Llogaritese</t>
  </si>
  <si>
    <t>Lap top</t>
  </si>
  <si>
    <t>Printer lazer hp-1020</t>
  </si>
  <si>
    <t>Fotokopje Toshiba-1360</t>
  </si>
  <si>
    <t>Kompjutera</t>
  </si>
  <si>
    <t>Emertimi</t>
  </si>
  <si>
    <t>Gjendje</t>
  </si>
  <si>
    <t>Shtesa</t>
  </si>
  <si>
    <t>Pakesime</t>
  </si>
  <si>
    <t>Ndertime</t>
  </si>
  <si>
    <t>Makineri,paisje</t>
  </si>
  <si>
    <t>Mjete transporti</t>
  </si>
  <si>
    <t>kompjuterike,zyre,etj</t>
  </si>
  <si>
    <t xml:space="preserve">             TOTALI</t>
  </si>
  <si>
    <t>Makineri,paisje,vegla</t>
  </si>
  <si>
    <t>Administratori</t>
  </si>
  <si>
    <t>Elona Gjondedaj</t>
  </si>
  <si>
    <t xml:space="preserve">INVENTARI  MATERIALE  ,ORENDI </t>
  </si>
  <si>
    <t>VITI  2011</t>
  </si>
  <si>
    <t>Vlefta 2011</t>
  </si>
  <si>
    <t>Ushtrimi 11</t>
  </si>
  <si>
    <t>31 Dhjetor 2011</t>
  </si>
  <si>
    <t>Viti 2011</t>
  </si>
  <si>
    <t xml:space="preserve">            ADMINISTRATORI</t>
  </si>
  <si>
    <t>VITI 2011</t>
  </si>
  <si>
    <r>
      <t xml:space="preserve">Aktiviteti   </t>
    </r>
    <r>
      <rPr>
        <u/>
        <sz val="14"/>
        <rFont val="Arial"/>
        <family val="2"/>
      </rPr>
      <t>Agjensi Udhetimi</t>
    </r>
  </si>
  <si>
    <r>
      <t xml:space="preserve">Adresa Vep. </t>
    </r>
    <r>
      <rPr>
        <u/>
        <sz val="14"/>
        <rFont val="Arial"/>
        <family val="2"/>
      </rPr>
      <t xml:space="preserve"> Abdyl Frasheri </t>
    </r>
  </si>
  <si>
    <t>Totale Aktiveve</t>
  </si>
  <si>
    <t>Blerje sherbime</t>
  </si>
  <si>
    <t>Kondicioner</t>
  </si>
  <si>
    <t>Lap-Top</t>
  </si>
  <si>
    <t>Kompjuter</t>
  </si>
  <si>
    <t>Kase fiskale</t>
  </si>
  <si>
    <t>Ecohealth.Tirana</t>
  </si>
  <si>
    <t>Import</t>
  </si>
  <si>
    <t>Vendas</t>
  </si>
  <si>
    <t>Shitje</t>
  </si>
  <si>
    <t>Tvsh</t>
  </si>
  <si>
    <t>Bl.Perj</t>
  </si>
  <si>
    <t>Blerje</t>
  </si>
  <si>
    <t>Tvsh e Paguar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</si>
  <si>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</si>
  <si>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</si>
  <si>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</si>
  <si>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</si>
  <si>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</si>
  <si>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</si>
  <si>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</si>
  <si>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</si>
  <si>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</si>
  <si>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</si>
  <si>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</si>
  <si>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</si>
  <si>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Totale</t>
  </si>
  <si>
    <t>Sh.Af</t>
  </si>
  <si>
    <t>Exporte</t>
  </si>
  <si>
    <t>Ushtrimi 12</t>
  </si>
  <si>
    <t>Vlefta 2012</t>
  </si>
  <si>
    <t>31 Dhjetor 2012</t>
  </si>
  <si>
    <t>Viti 2012</t>
  </si>
  <si>
    <t>VITI 2012</t>
  </si>
  <si>
    <t>VITI  2012</t>
  </si>
  <si>
    <t>Aparat Celulari</t>
  </si>
  <si>
    <t xml:space="preserve">Inventari   i   automjeteve  ne  pronesi   te  Subjektit </t>
  </si>
  <si>
    <t>Kapaciteti</t>
  </si>
  <si>
    <t>Per Drejtimin e Shoqerise</t>
  </si>
  <si>
    <t>Vlera arke te tjera(ngurtesim ne banke)</t>
  </si>
  <si>
    <t>Totali i të ardhurave apo  shpenzimeve, që nuk janë njohur  në pasqyrën e të ardhurave dhe  shpenzimeve veprim rregu me humb mbartur</t>
  </si>
  <si>
    <t>Te tjera kerkesa te arketueshme(TVSH)</t>
  </si>
  <si>
    <t>Pagese Siguracione</t>
  </si>
  <si>
    <t>Taksa bashkie</t>
  </si>
  <si>
    <t>VITI  2013</t>
  </si>
  <si>
    <t>Viti 2013</t>
  </si>
  <si>
    <t>VITI 2013</t>
  </si>
  <si>
    <t>31 Dhjetor 2013</t>
  </si>
  <si>
    <t>Vlefta 2013</t>
  </si>
  <si>
    <t>Ushtrimi 13</t>
  </si>
  <si>
    <t>FDP 2013</t>
  </si>
  <si>
    <t>Monitore Komjuteri</t>
  </si>
  <si>
    <t>Shpenzime Telefonike</t>
  </si>
  <si>
    <t>Mirembajtje,kancelari,etj</t>
  </si>
  <si>
    <t>Shpenzime interesa over-draft dhe leasingu</t>
  </si>
  <si>
    <t>FDP 2014</t>
  </si>
  <si>
    <t>Vlefta 2014</t>
  </si>
  <si>
    <t>Ushtrimi 14</t>
  </si>
  <si>
    <t>Per periudhen: 01/01/2009deri:31/12/2014</t>
  </si>
  <si>
    <t>31 Dhjetor 2014</t>
  </si>
  <si>
    <t>Viti 2014</t>
  </si>
  <si>
    <t>VITI 2014</t>
  </si>
  <si>
    <t>Sigurime Shoqerore dhe te Ngjashme,Tap</t>
  </si>
  <si>
    <t>Shteti - Tatime dhe Taksa,Tatim Fitim</t>
  </si>
  <si>
    <t>FDP 2015</t>
  </si>
  <si>
    <t>Vlefta 2015</t>
  </si>
  <si>
    <t>Ushtrimi 15</t>
  </si>
  <si>
    <t>Viti 2015</t>
  </si>
  <si>
    <t>VITI 2015</t>
  </si>
  <si>
    <t>31 Dhjetor 2015</t>
  </si>
  <si>
    <t>Vlefta 2016</t>
  </si>
  <si>
    <t>Ushtrimi 16</t>
  </si>
  <si>
    <t>Viti 2016</t>
  </si>
  <si>
    <t>VITI  2016</t>
  </si>
  <si>
    <t>VITI 2016</t>
  </si>
  <si>
    <t>31 Dhjetor 2016</t>
  </si>
  <si>
    <t>FDP 2016</t>
  </si>
  <si>
    <t>Tapet zyre</t>
  </si>
  <si>
    <t>Komisone nga trete  dhe shpenzime</t>
  </si>
  <si>
    <t>FDP 2017</t>
  </si>
  <si>
    <t>VITI  2017</t>
  </si>
  <si>
    <t>Viti 2017</t>
  </si>
  <si>
    <t>VITI 2017</t>
  </si>
  <si>
    <t>Vlefta 2017</t>
  </si>
  <si>
    <t>Ushtrimi 17</t>
  </si>
  <si>
    <t>31 Dhjetor 2017</t>
  </si>
  <si>
    <t>Tvsh e mbipaguar dhe tatim fitimi I mbipaguar,Sig mbipag</t>
  </si>
  <si>
    <t>Penalitete,gjoba,demshperblime ,vlera AQ te shitura</t>
  </si>
  <si>
    <t>Tatim qiraje</t>
  </si>
  <si>
    <t>Te ardhura nga kryerja e sherbimeve-Bileta Udhetimi</t>
  </si>
  <si>
    <t>Ushtrimi 18</t>
  </si>
  <si>
    <t>Vlefta 2018</t>
  </si>
  <si>
    <t>VITI  2018</t>
  </si>
  <si>
    <t>Viti 2018</t>
  </si>
  <si>
    <t>VITI 2018</t>
  </si>
  <si>
    <t>FDP 2018</t>
  </si>
  <si>
    <t>inv</t>
  </si>
  <si>
    <t>Perja</t>
  </si>
  <si>
    <t>Tvsh20</t>
  </si>
  <si>
    <t>Tvsh6</t>
  </si>
  <si>
    <t>31 Dhjetor 2018</t>
  </si>
  <si>
    <t>Te ardhura nga shitja e mallrave</t>
  </si>
  <si>
    <t>Shpenzime perfaqesimi etj</t>
  </si>
  <si>
    <t>Shpenzime</t>
  </si>
  <si>
    <t>Vlefta 2019</t>
  </si>
  <si>
    <t>VITI  2019</t>
  </si>
  <si>
    <t>Nga 01.01.2019 deri 31.12.2019</t>
  </si>
  <si>
    <t>31.12.2019</t>
  </si>
  <si>
    <t>Viti 2019</t>
  </si>
  <si>
    <t>Bilanci   Kontabel  me  31 Dhjetor  2019</t>
  </si>
  <si>
    <t>Llogaria te Ardhura &amp; Shpenzime per vitin e mbyllur me 31 Dhjetor  2019</t>
  </si>
  <si>
    <t>VITI 2019</t>
  </si>
  <si>
    <t>Periudha kontabel     01 Janar-31 Dhjetor  2019</t>
  </si>
  <si>
    <t>Pasqyra e levizjes se kapitaleve te veta  me 31 Dhjetor  2017 - 31 Dhjetor 2019</t>
  </si>
  <si>
    <t>Pozicioni më 31 Dhjetor   2017</t>
  </si>
  <si>
    <t>Pozicioni më 31 dhjetor 2018</t>
  </si>
  <si>
    <t>Pozicioni më 31 Dhjetor 2019</t>
  </si>
  <si>
    <t>Periudha kontabel     01 Janar - 31 Dhjetor  2019</t>
  </si>
  <si>
    <t>Bilanci i Celjes     01.01.2019</t>
  </si>
  <si>
    <t>Hyrjet  2019</t>
  </si>
  <si>
    <t>Daljet  2019</t>
  </si>
  <si>
    <t>Bilanci i Mbylljes 31.12.2019</t>
  </si>
  <si>
    <t>Aktivet Afatgjata Materiale  me vlere fillestare   2019</t>
  </si>
  <si>
    <t>Amortizimi A.A.Materiale   2019</t>
  </si>
  <si>
    <t>Vlera Kontabel Neto e A.A.Materiale  2019</t>
  </si>
  <si>
    <t>Ushtrimi 19</t>
  </si>
  <si>
    <t>FDP 2019</t>
  </si>
  <si>
    <t>Bankat</t>
  </si>
  <si>
    <t xml:space="preserve">Credins </t>
  </si>
  <si>
    <t>Leke</t>
  </si>
  <si>
    <t>Euro</t>
  </si>
  <si>
    <t>Usd</t>
  </si>
  <si>
    <t>Gpb</t>
  </si>
  <si>
    <t>KK</t>
  </si>
  <si>
    <t>Intesa</t>
  </si>
  <si>
    <t>RZB</t>
  </si>
  <si>
    <t>TOTALE</t>
  </si>
  <si>
    <t>Kredia</t>
  </si>
  <si>
    <t>31 Dhjetor  2019</t>
  </si>
  <si>
    <t>VITI 2005-2019</t>
  </si>
  <si>
    <t>AA770ZJ</t>
  </si>
  <si>
    <t>Autobus</t>
  </si>
  <si>
    <t>RZb-Card</t>
  </si>
  <si>
    <t>31,12,2019</t>
  </si>
  <si>
    <t>NIPT</t>
  </si>
  <si>
    <t>Emri I Tatimpaguesit</t>
  </si>
  <si>
    <t>Lloji i mjetit</t>
  </si>
  <si>
    <t>Tipi/Markë</t>
  </si>
  <si>
    <t>Targë</t>
  </si>
  <si>
    <t>Pronësia</t>
  </si>
  <si>
    <t>Leje qarkullimi</t>
  </si>
  <si>
    <t>Vlera kontabël</t>
  </si>
  <si>
    <t>Vlera e mjetit e rregjistruar</t>
  </si>
  <si>
    <t>Viti i prodhimit</t>
  </si>
  <si>
    <t>Bara siguruar e mjetit.</t>
  </si>
  <si>
    <t>K31624163S</t>
  </si>
  <si>
    <t>JONA TRAVEL&amp;TOURS</t>
  </si>
  <si>
    <t>AUTOBUS</t>
  </si>
  <si>
    <t>JONA TRAVEL &amp; TOURS</t>
  </si>
  <si>
    <t>ska</t>
  </si>
  <si>
    <t>Setra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</si>
</sst>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9" formatCode="_(* #,##0_);_(* \(#,##0\);_(* &quot;-&quot;_);_(@_)"/>
    <numFmt numFmtId="171" formatCode="_(* #,##0.00_);_(* \(#,##0.00\);_(* &quot;-&quot;??_);_(@_)"/>
    <numFmt numFmtId="182" formatCode="#,##0.00_);\-#,##0.00"/>
    <numFmt numFmtId="183" formatCode="_(* #,##0_);_(* \(#,##0\);_(* &quot;-&quot;??_);_(@_)"/>
    <numFmt numFmtId="196" formatCode="&quot; &quot;#,##0&quot; &quot;;\(#,##0\)"/>
    <numFmt numFmtId="197" formatCode="_-* #,##0\ _€_-;\-* #,##0\ _€_-;_-* &quot;-&quot;??\ _€_-;_-@_-"/>
    <numFmt numFmtId="198" formatCode="_-* #,##0.00\ _€_-;\-* #,##0.00\ _€_-;_-* &quot;-&quot;??\ _€_-;_-@_-"/>
  </numFmts>
  <fonts count="80" x14ac:knownFonts="1">
    <font>
      <sz val="10"/>
      <name val="Arial"/>
    </font>
    <font>
      <sz val="10"/>
      <name val="Arial"/>
    </font>
    <font>
      <sz val="10"/>
      <name val="Times New Roman"/>
      <family val="1"/>
    </font>
    <font>
      <sz val="8"/>
      <name val="Arial"/>
      <family val="2"/>
    </font>
    <font>
      <b/>
      <sz val="10"/>
      <name val="Times New Roman"/>
      <family val="1"/>
    </font>
    <font>
      <i/>
      <sz val="13"/>
      <name val="Garamond"/>
      <family val="1"/>
    </font>
    <font>
      <sz val="11"/>
      <name val="Times New Roman"/>
      <family val="1"/>
    </font>
    <font>
      <i/>
      <sz val="11"/>
      <name val="Times New Roman"/>
      <family val="1"/>
    </font>
    <font>
      <i/>
      <sz val="12"/>
      <name val="Garamond"/>
      <family val="1"/>
    </font>
    <font>
      <b/>
      <sz val="11"/>
      <name val="Times New Roman"/>
      <family val="1"/>
    </font>
    <font>
      <sz val="11"/>
      <color indexed="10"/>
      <name val="Times New Roman"/>
      <family val="1"/>
    </font>
    <font>
      <sz val="10"/>
      <color indexed="8"/>
      <name val="MS Sans Serif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12"/>
      <name val="Times New Roman"/>
      <family val="1"/>
    </font>
    <font>
      <b/>
      <sz val="9"/>
      <color indexed="8"/>
      <name val="Times New Roman"/>
      <family val="1"/>
    </font>
    <font>
      <sz val="9"/>
      <color indexed="8"/>
      <name val="Times New Roman"/>
      <family val="1"/>
    </font>
    <font>
      <sz val="9"/>
      <name val="Times New Roman"/>
      <family val="1"/>
    </font>
    <font>
      <b/>
      <i/>
      <sz val="11.05"/>
      <color indexed="8"/>
      <name val="Times New Roman"/>
      <family val="1"/>
    </font>
    <font>
      <sz val="9"/>
      <color indexed="8"/>
      <name val="Arial"/>
      <family val="2"/>
    </font>
    <font>
      <b/>
      <i/>
      <sz val="9.85"/>
      <color indexed="8"/>
      <name val="Times New Roman"/>
      <family val="1"/>
    </font>
    <font>
      <b/>
      <sz val="9"/>
      <color indexed="8"/>
      <name val="Arial"/>
      <family val="2"/>
    </font>
    <font>
      <b/>
      <i/>
      <sz val="12.6"/>
      <color indexed="8"/>
      <name val="Arial"/>
      <family val="2"/>
    </font>
    <font>
      <sz val="9.85"/>
      <color indexed="8"/>
      <name val="Times New Roman"/>
      <family val="1"/>
    </font>
    <font>
      <b/>
      <i/>
      <sz val="8.9"/>
      <color indexed="8"/>
      <name val="Arial"/>
      <family val="2"/>
    </font>
    <font>
      <b/>
      <i/>
      <sz val="9.9499999999999993"/>
      <color indexed="8"/>
      <name val="Arial"/>
      <family val="2"/>
    </font>
    <font>
      <b/>
      <i/>
      <sz val="13.45"/>
      <color indexed="8"/>
      <name val="Times New Roman"/>
      <family val="1"/>
    </font>
    <font>
      <b/>
      <i/>
      <sz val="10.7"/>
      <color indexed="8"/>
      <name val="Times New Roman"/>
      <family val="1"/>
    </font>
    <font>
      <b/>
      <sz val="9"/>
      <color indexed="8"/>
      <name val="Arial"/>
      <family val="2"/>
    </font>
    <font>
      <b/>
      <sz val="11"/>
      <color indexed="10"/>
      <name val="Times New Roman"/>
      <family val="1"/>
    </font>
    <font>
      <b/>
      <sz val="10"/>
      <color indexed="8"/>
      <name val="Times New Roman"/>
      <family val="1"/>
    </font>
    <font>
      <sz val="10"/>
      <name val="Tahoma"/>
      <family val="2"/>
    </font>
    <font>
      <sz val="10"/>
      <name val="Arial"/>
      <family val="2"/>
    </font>
    <font>
      <sz val="11"/>
      <name val="Arial"/>
      <family val="2"/>
    </font>
    <font>
      <sz val="11"/>
      <name val="Arial Narrow"/>
      <family val="2"/>
    </font>
    <font>
      <sz val="12"/>
      <name val="Arial Narrow"/>
      <family val="2"/>
    </font>
    <font>
      <b/>
      <u/>
      <sz val="12"/>
      <name val="Arial Narrow"/>
      <family val="2"/>
    </font>
    <font>
      <sz val="10"/>
      <color indexed="8"/>
      <name val="Arial Narrow"/>
      <family val="2"/>
    </font>
    <font>
      <b/>
      <sz val="14"/>
      <name val="Arial Narrow"/>
      <family val="2"/>
    </font>
    <font>
      <b/>
      <sz val="20"/>
      <name val="Arial Narrow"/>
      <family val="2"/>
    </font>
    <font>
      <b/>
      <u/>
      <sz val="22"/>
      <name val="Arial Narrow"/>
      <family val="2"/>
    </font>
    <font>
      <b/>
      <sz val="12"/>
      <name val="Arial Narrow"/>
      <family val="2"/>
    </font>
    <font>
      <sz val="12"/>
      <name val="Times New Roman"/>
      <family val="1"/>
    </font>
    <font>
      <i/>
      <sz val="12"/>
      <name val="Times New Roman"/>
      <family val="1"/>
    </font>
    <font>
      <sz val="12"/>
      <color indexed="8"/>
      <name val="Times New Roman"/>
      <family val="1"/>
    </font>
    <font>
      <b/>
      <i/>
      <sz val="12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color indexed="8"/>
      <name val="Times New Roman"/>
      <family val="1"/>
    </font>
    <font>
      <b/>
      <sz val="10"/>
      <color indexed="14"/>
      <name val="Times New Roman"/>
      <family val="1"/>
    </font>
    <font>
      <b/>
      <i/>
      <sz val="10"/>
      <color indexed="10"/>
      <name val="Times New Roman"/>
      <family val="1"/>
    </font>
    <font>
      <b/>
      <sz val="10"/>
      <name val="Arial"/>
      <family val="2"/>
    </font>
    <font>
      <b/>
      <sz val="12"/>
      <color indexed="8"/>
      <name val="Arial Narrow"/>
      <family val="2"/>
    </font>
    <font>
      <sz val="10"/>
      <color indexed="18"/>
      <name val="Arial"/>
      <family val="2"/>
    </font>
    <font>
      <sz val="10"/>
      <color indexed="8"/>
      <name val="Arial"/>
      <family val="2"/>
    </font>
    <font>
      <sz val="10"/>
      <color indexed="10"/>
      <name val="Times New Roman"/>
      <family val="1"/>
    </font>
    <font>
      <sz val="14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u/>
      <sz val="14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u/>
      <sz val="16"/>
      <name val="Times New Roman"/>
      <family val="1"/>
    </font>
    <font>
      <b/>
      <sz val="8"/>
      <name val="Times New Roman"/>
      <family val="1"/>
    </font>
    <font>
      <sz val="10"/>
      <color indexed="12"/>
      <name val="Times New Roman"/>
      <family val="1"/>
    </font>
    <font>
      <b/>
      <i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sz val="12"/>
      <color indexed="63"/>
      <name val="Arial"/>
      <family val="2"/>
    </font>
    <font>
      <b/>
      <sz val="11"/>
      <name val="Arial Narrow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4"/>
      <name val="Times New Roman"/>
      <family val="1"/>
    </font>
    <font>
      <sz val="14"/>
      <color indexed="10"/>
      <name val="Times New Roman"/>
      <family val="1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2"/>
        <bgColor indexed="64"/>
      </patternFill>
    </fill>
  </fills>
  <borders count="13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17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98" fontId="31" fillId="0" borderId="0" applyFont="0" applyFill="0" applyBorder="0" applyAlignment="0" applyProtection="0"/>
    <xf numFmtId="0" fontId="78" fillId="0" borderId="0"/>
    <xf numFmtId="0" fontId="11" fillId="0" borderId="0"/>
    <xf numFmtId="0" fontId="11" fillId="0" borderId="0"/>
    <xf numFmtId="0" fontId="32" fillId="0" borderId="0"/>
    <xf numFmtId="0" fontId="31" fillId="0" borderId="0"/>
  </cellStyleXfs>
  <cellXfs count="551">
    <xf numFmtId="0" fontId="0" fillId="0" borderId="0" xfId="0"/>
    <xf numFmtId="0" fontId="2" fillId="0" borderId="0" xfId="0" applyFont="1"/>
    <xf numFmtId="0" fontId="2" fillId="0" borderId="0" xfId="0" applyFont="1" applyBorder="1"/>
    <xf numFmtId="0" fontId="4" fillId="0" borderId="0" xfId="0" applyFont="1"/>
    <xf numFmtId="0" fontId="2" fillId="0" borderId="0" xfId="0" applyFont="1" applyAlignment="1">
      <alignment horizontal="left" vertical="justify"/>
    </xf>
    <xf numFmtId="0" fontId="2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71" fontId="2" fillId="0" borderId="0" xfId="1" applyFont="1"/>
    <xf numFmtId="171" fontId="2" fillId="0" borderId="1" xfId="1" applyFont="1" applyBorder="1"/>
    <xf numFmtId="171" fontId="2" fillId="0" borderId="0" xfId="1" applyFont="1" applyBorder="1"/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8" fillId="0" borderId="0" xfId="0" applyFont="1"/>
    <xf numFmtId="40" fontId="2" fillId="0" borderId="1" xfId="0" applyNumberFormat="1" applyFont="1" applyBorder="1"/>
    <xf numFmtId="39" fontId="6" fillId="0" borderId="0" xfId="0" applyNumberFormat="1" applyFont="1"/>
    <xf numFmtId="171" fontId="4" fillId="0" borderId="2" xfId="1" applyFont="1" applyBorder="1" applyAlignment="1">
      <alignment horizontal="center"/>
    </xf>
    <xf numFmtId="40" fontId="6" fillId="0" borderId="0" xfId="0" applyNumberFormat="1" applyFont="1" applyFill="1"/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71" fontId="6" fillId="0" borderId="0" xfId="0" applyNumberFormat="1" applyFont="1" applyFill="1"/>
    <xf numFmtId="171" fontId="2" fillId="0" borderId="0" xfId="1" applyFont="1" applyFill="1"/>
    <xf numFmtId="40" fontId="2" fillId="0" borderId="1" xfId="0" applyNumberFormat="1" applyFont="1" applyFill="1" applyBorder="1"/>
    <xf numFmtId="39" fontId="6" fillId="0" borderId="0" xfId="0" applyNumberFormat="1" applyFont="1" applyFill="1"/>
    <xf numFmtId="0" fontId="0" fillId="0" borderId="0" xfId="0" applyNumberFormat="1" applyFill="1" applyBorder="1" applyAlignment="1" applyProtection="1"/>
    <xf numFmtId="0" fontId="14" fillId="0" borderId="0" xfId="0" applyFont="1"/>
    <xf numFmtId="182" fontId="17" fillId="0" borderId="0" xfId="0" applyNumberFormat="1" applyFont="1" applyFill="1" applyAlignment="1">
      <alignment horizontal="right" vertical="center"/>
    </xf>
    <xf numFmtId="0" fontId="18" fillId="0" borderId="0" xfId="0" applyFont="1" applyFill="1" applyAlignment="1">
      <alignment horizontal="left" vertical="center"/>
    </xf>
    <xf numFmtId="0" fontId="19" fillId="0" borderId="0" xfId="0" applyFont="1" applyFill="1" applyAlignment="1">
      <alignment horizontal="center" vertical="center"/>
    </xf>
    <xf numFmtId="182" fontId="19" fillId="0" borderId="0" xfId="0" applyNumberFormat="1" applyFont="1" applyFill="1" applyAlignment="1">
      <alignment horizontal="right" vertical="center"/>
    </xf>
    <xf numFmtId="182" fontId="21" fillId="0" borderId="0" xfId="0" applyNumberFormat="1" applyFont="1" applyFill="1" applyAlignment="1">
      <alignment horizontal="right" vertical="center"/>
    </xf>
    <xf numFmtId="0" fontId="11" fillId="0" borderId="0" xfId="6" applyNumberFormat="1" applyFill="1" applyBorder="1" applyAlignment="1" applyProtection="1"/>
    <xf numFmtId="0" fontId="23" fillId="0" borderId="0" xfId="6" applyFont="1" applyAlignment="1">
      <alignment vertical="center"/>
    </xf>
    <xf numFmtId="0" fontId="20" fillId="0" borderId="0" xfId="6" applyFont="1" applyAlignment="1">
      <alignment horizontal="center" vertical="center"/>
    </xf>
    <xf numFmtId="0" fontId="20" fillId="0" borderId="0" xfId="6" applyFont="1" applyAlignment="1">
      <alignment horizontal="left" vertical="center"/>
    </xf>
    <xf numFmtId="0" fontId="19" fillId="0" borderId="0" xfId="6" applyFont="1" applyAlignment="1">
      <alignment horizontal="center" vertical="center"/>
    </xf>
    <xf numFmtId="0" fontId="19" fillId="0" borderId="0" xfId="6" applyFont="1" applyAlignment="1">
      <alignment vertical="center"/>
    </xf>
    <xf numFmtId="182" fontId="19" fillId="0" borderId="0" xfId="6" applyNumberFormat="1" applyFont="1" applyAlignment="1">
      <alignment horizontal="right" vertical="center"/>
    </xf>
    <xf numFmtId="0" fontId="25" fillId="0" borderId="0" xfId="6" applyFont="1" applyAlignment="1">
      <alignment vertical="center"/>
    </xf>
    <xf numFmtId="0" fontId="11" fillId="0" borderId="0" xfId="5" applyNumberFormat="1" applyFill="1" applyBorder="1" applyAlignment="1" applyProtection="1"/>
    <xf numFmtId="0" fontId="26" fillId="0" borderId="0" xfId="5" applyFont="1" applyAlignment="1">
      <alignment horizontal="center" vertical="center"/>
    </xf>
    <xf numFmtId="0" fontId="27" fillId="0" borderId="0" xfId="5" applyFont="1" applyAlignment="1">
      <alignment horizontal="center" vertical="center"/>
    </xf>
    <xf numFmtId="0" fontId="20" fillId="0" borderId="0" xfId="5" applyFont="1" applyAlignment="1">
      <alignment horizontal="center" vertical="center"/>
    </xf>
    <xf numFmtId="0" fontId="18" fillId="0" borderId="0" xfId="5" applyFont="1" applyAlignment="1">
      <alignment horizontal="center" vertical="center"/>
    </xf>
    <xf numFmtId="0" fontId="19" fillId="0" borderId="0" xfId="5" applyFont="1" applyAlignment="1">
      <alignment horizontal="center" vertical="center"/>
    </xf>
    <xf numFmtId="0" fontId="19" fillId="0" borderId="0" xfId="5" applyFont="1" applyAlignment="1">
      <alignment vertical="center"/>
    </xf>
    <xf numFmtId="182" fontId="19" fillId="0" borderId="0" xfId="5" applyNumberFormat="1" applyFont="1" applyAlignment="1">
      <alignment horizontal="right" vertical="center"/>
    </xf>
    <xf numFmtId="0" fontId="20" fillId="0" borderId="0" xfId="5" applyFont="1" applyAlignment="1">
      <alignment vertical="center"/>
    </xf>
    <xf numFmtId="0" fontId="24" fillId="0" borderId="0" xfId="6" applyFont="1" applyAlignment="1">
      <alignment horizontal="left" vertical="center"/>
    </xf>
    <xf numFmtId="0" fontId="22" fillId="0" borderId="0" xfId="6" applyFont="1" applyAlignment="1">
      <alignment horizontal="left" vertical="center"/>
    </xf>
    <xf numFmtId="182" fontId="28" fillId="0" borderId="0" xfId="6" applyNumberFormat="1" applyFont="1" applyAlignment="1">
      <alignment horizontal="right" vertical="center"/>
    </xf>
    <xf numFmtId="0" fontId="28" fillId="2" borderId="0" xfId="6" applyFont="1" applyFill="1" applyAlignment="1">
      <alignment vertical="center"/>
    </xf>
    <xf numFmtId="0" fontId="18" fillId="2" borderId="0" xfId="6" applyFont="1" applyFill="1" applyAlignment="1">
      <alignment horizontal="center" vertical="center"/>
    </xf>
    <xf numFmtId="182" fontId="19" fillId="2" borderId="0" xfId="6" applyNumberFormat="1" applyFont="1" applyFill="1" applyAlignment="1">
      <alignment horizontal="right" vertical="center"/>
    </xf>
    <xf numFmtId="0" fontId="11" fillId="2" borderId="0" xfId="6" applyNumberFormat="1" applyFill="1" applyBorder="1" applyAlignment="1" applyProtection="1"/>
    <xf numFmtId="182" fontId="28" fillId="0" borderId="0" xfId="5" applyNumberFormat="1" applyFont="1" applyAlignment="1">
      <alignment horizontal="right" vertical="center"/>
    </xf>
    <xf numFmtId="182" fontId="19" fillId="3" borderId="0" xfId="5" applyNumberFormat="1" applyFont="1" applyFill="1" applyAlignment="1">
      <alignment horizontal="right" vertical="center"/>
    </xf>
    <xf numFmtId="0" fontId="9" fillId="0" borderId="0" xfId="0" applyFont="1" applyFill="1"/>
    <xf numFmtId="2" fontId="11" fillId="0" borderId="0" xfId="6" applyNumberFormat="1" applyFill="1" applyBorder="1" applyAlignment="1" applyProtection="1"/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/>
    <xf numFmtId="0" fontId="30" fillId="0" borderId="3" xfId="0" applyNumberFormat="1" applyFont="1" applyFill="1" applyBorder="1" applyAlignment="1" applyProtection="1">
      <alignment wrapText="1"/>
    </xf>
    <xf numFmtId="3" fontId="2" fillId="0" borderId="3" xfId="0" applyNumberFormat="1" applyFont="1" applyFill="1" applyBorder="1" applyAlignment="1" applyProtection="1"/>
    <xf numFmtId="0" fontId="2" fillId="0" borderId="3" xfId="0" applyNumberFormat="1" applyFont="1" applyFill="1" applyBorder="1" applyAlignment="1" applyProtection="1">
      <alignment wrapText="1"/>
    </xf>
    <xf numFmtId="0" fontId="34" fillId="0" borderId="4" xfId="0" applyFont="1" applyBorder="1"/>
    <xf numFmtId="0" fontId="33" fillId="0" borderId="0" xfId="0" applyFont="1"/>
    <xf numFmtId="0" fontId="34" fillId="0" borderId="5" xfId="0" applyFont="1" applyBorder="1"/>
    <xf numFmtId="0" fontId="34" fillId="0" borderId="6" xfId="0" applyFont="1" applyBorder="1"/>
    <xf numFmtId="0" fontId="34" fillId="0" borderId="7" xfId="0" applyFont="1" applyBorder="1"/>
    <xf numFmtId="0" fontId="34" fillId="0" borderId="8" xfId="0" applyFont="1" applyBorder="1"/>
    <xf numFmtId="0" fontId="35" fillId="0" borderId="0" xfId="0" applyFont="1" applyBorder="1"/>
    <xf numFmtId="0" fontId="35" fillId="0" borderId="0" xfId="0" applyFont="1" applyBorder="1" applyAlignment="1">
      <alignment horizontal="left"/>
    </xf>
    <xf numFmtId="0" fontId="35" fillId="0" borderId="4" xfId="0" applyFont="1" applyBorder="1"/>
    <xf numFmtId="0" fontId="34" fillId="0" borderId="0" xfId="0" applyFont="1" applyBorder="1"/>
    <xf numFmtId="0" fontId="37" fillId="0" borderId="0" xfId="0" applyNumberFormat="1" applyFont="1" applyFill="1" applyBorder="1" applyAlignment="1" applyProtection="1"/>
    <xf numFmtId="0" fontId="38" fillId="0" borderId="0" xfId="0" applyFont="1" applyBorder="1"/>
    <xf numFmtId="0" fontId="34" fillId="0" borderId="8" xfId="0" applyFont="1" applyBorder="1" applyAlignment="1">
      <alignment horizontal="left"/>
    </xf>
    <xf numFmtId="0" fontId="40" fillId="0" borderId="0" xfId="0" applyFont="1" applyBorder="1"/>
    <xf numFmtId="0" fontId="34" fillId="0" borderId="9" xfId="0" applyFont="1" applyBorder="1"/>
    <xf numFmtId="0" fontId="34" fillId="0" borderId="10" xfId="0" applyFont="1" applyBorder="1"/>
    <xf numFmtId="0" fontId="34" fillId="0" borderId="11" xfId="0" applyFont="1" applyBorder="1"/>
    <xf numFmtId="0" fontId="34" fillId="0" borderId="0" xfId="0" applyFont="1"/>
    <xf numFmtId="0" fontId="41" fillId="0" borderId="0" xfId="0" applyFont="1" applyBorder="1" applyAlignment="1">
      <alignment horizontal="left"/>
    </xf>
    <xf numFmtId="182" fontId="11" fillId="0" borderId="0" xfId="6" applyNumberFormat="1" applyFill="1" applyBorder="1" applyAlignment="1" applyProtection="1"/>
    <xf numFmtId="0" fontId="42" fillId="0" borderId="0" xfId="0" applyFont="1" applyBorder="1"/>
    <xf numFmtId="0" fontId="42" fillId="0" borderId="0" xfId="0" applyFont="1" applyBorder="1" applyAlignment="1">
      <alignment horizontal="center"/>
    </xf>
    <xf numFmtId="0" fontId="42" fillId="0" borderId="0" xfId="0" applyFont="1" applyFill="1"/>
    <xf numFmtId="0" fontId="42" fillId="0" borderId="0" xfId="0" applyFont="1"/>
    <xf numFmtId="0" fontId="43" fillId="0" borderId="0" xfId="0" applyFont="1"/>
    <xf numFmtId="0" fontId="14" fillId="0" borderId="0" xfId="0" applyFont="1" applyBorder="1"/>
    <xf numFmtId="0" fontId="14" fillId="0" borderId="2" xfId="0" applyFont="1" applyFill="1" applyBorder="1" applyAlignment="1">
      <alignment horizontal="center"/>
    </xf>
    <xf numFmtId="171" fontId="42" fillId="0" borderId="0" xfId="1" applyFont="1" applyFill="1"/>
    <xf numFmtId="171" fontId="44" fillId="0" borderId="0" xfId="1" applyFont="1" applyFill="1" applyAlignment="1">
      <alignment horizontal="right" vertical="center"/>
    </xf>
    <xf numFmtId="171" fontId="42" fillId="0" borderId="0" xfId="0" applyNumberFormat="1" applyFont="1" applyFill="1"/>
    <xf numFmtId="171" fontId="42" fillId="0" borderId="12" xfId="1" applyFont="1" applyFill="1" applyBorder="1"/>
    <xf numFmtId="182" fontId="44" fillId="0" borderId="0" xfId="0" applyNumberFormat="1" applyFont="1" applyFill="1" applyAlignment="1">
      <alignment horizontal="right" vertical="center"/>
    </xf>
    <xf numFmtId="40" fontId="42" fillId="0" borderId="0" xfId="0" applyNumberFormat="1" applyFont="1" applyFill="1"/>
    <xf numFmtId="0" fontId="14" fillId="0" borderId="0" xfId="0" applyFont="1" applyBorder="1" applyAlignment="1">
      <alignment horizontal="center"/>
    </xf>
    <xf numFmtId="171" fontId="42" fillId="0" borderId="1" xfId="1" applyFont="1" applyFill="1" applyBorder="1"/>
    <xf numFmtId="171" fontId="14" fillId="0" borderId="0" xfId="1" applyFont="1" applyFill="1"/>
    <xf numFmtId="171" fontId="42" fillId="0" borderId="0" xfId="0" applyNumberFormat="1" applyFont="1"/>
    <xf numFmtId="0" fontId="14" fillId="0" borderId="0" xfId="0" applyFont="1" applyFill="1"/>
    <xf numFmtId="171" fontId="14" fillId="0" borderId="0" xfId="0" applyNumberFormat="1" applyFont="1" applyFill="1" applyAlignment="1">
      <alignment horizontal="center"/>
    </xf>
    <xf numFmtId="171" fontId="42" fillId="0" borderId="0" xfId="0" applyNumberFormat="1" applyFont="1" applyFill="1" applyAlignment="1">
      <alignment horizontal="center"/>
    </xf>
    <xf numFmtId="0" fontId="42" fillId="0" borderId="0" xfId="0" applyFont="1" applyFill="1" applyBorder="1"/>
    <xf numFmtId="39" fontId="42" fillId="0" borderId="0" xfId="0" applyNumberFormat="1" applyFont="1" applyFill="1"/>
    <xf numFmtId="4" fontId="42" fillId="0" borderId="0" xfId="0" applyNumberFormat="1" applyFont="1"/>
    <xf numFmtId="0" fontId="45" fillId="0" borderId="0" xfId="0" applyFont="1" applyBorder="1"/>
    <xf numFmtId="0" fontId="43" fillId="0" borderId="0" xfId="0" applyFont="1" applyBorder="1"/>
    <xf numFmtId="39" fontId="42" fillId="0" borderId="0" xfId="0" applyNumberFormat="1" applyFont="1" applyFill="1" applyBorder="1"/>
    <xf numFmtId="4" fontId="42" fillId="0" borderId="0" xfId="0" applyNumberFormat="1" applyFont="1" applyBorder="1"/>
    <xf numFmtId="0" fontId="42" fillId="0" borderId="0" xfId="0" applyFont="1" applyBorder="1" applyAlignment="1">
      <alignment horizontal="left" wrapText="1"/>
    </xf>
    <xf numFmtId="39" fontId="42" fillId="0" borderId="0" xfId="0" applyNumberFormat="1" applyFont="1" applyFill="1" applyBorder="1" applyAlignment="1">
      <alignment horizontal="left" wrapText="1"/>
    </xf>
    <xf numFmtId="39" fontId="14" fillId="0" borderId="2" xfId="0" applyNumberFormat="1" applyFont="1" applyFill="1" applyBorder="1" applyAlignment="1">
      <alignment horizontal="center" wrapText="1"/>
    </xf>
    <xf numFmtId="39" fontId="42" fillId="0" borderId="0" xfId="0" applyNumberFormat="1" applyFont="1" applyFill="1" applyBorder="1" applyAlignment="1">
      <alignment horizontal="right" wrapText="1"/>
    </xf>
    <xf numFmtId="0" fontId="42" fillId="0" borderId="0" xfId="0" applyFont="1" applyAlignment="1">
      <alignment horizontal="left" vertical="justify"/>
    </xf>
    <xf numFmtId="4" fontId="42" fillId="0" borderId="0" xfId="0" applyNumberFormat="1" applyFont="1" applyFill="1" applyBorder="1"/>
    <xf numFmtId="4" fontId="42" fillId="0" borderId="0" xfId="0" applyNumberFormat="1" applyFont="1" applyBorder="1" applyAlignment="1">
      <alignment horizontal="left" wrapText="1"/>
    </xf>
    <xf numFmtId="4" fontId="42" fillId="0" borderId="0" xfId="0" applyNumberFormat="1" applyFont="1" applyFill="1" applyBorder="1" applyAlignment="1">
      <alignment horizontal="right" wrapText="1"/>
    </xf>
    <xf numFmtId="39" fontId="42" fillId="0" borderId="10" xfId="0" applyNumberFormat="1" applyFont="1" applyFill="1" applyBorder="1" applyAlignment="1">
      <alignment horizontal="right" wrapText="1"/>
    </xf>
    <xf numFmtId="4" fontId="42" fillId="0" borderId="0" xfId="0" applyNumberFormat="1" applyFont="1" applyBorder="1" applyAlignment="1">
      <alignment horizontal="right" wrapText="1"/>
    </xf>
    <xf numFmtId="39" fontId="42" fillId="0" borderId="0" xfId="0" applyNumberFormat="1" applyFont="1" applyBorder="1"/>
    <xf numFmtId="0" fontId="14" fillId="0" borderId="0" xfId="0" applyFont="1" applyBorder="1" applyAlignment="1">
      <alignment horizontal="left"/>
    </xf>
    <xf numFmtId="39" fontId="42" fillId="0" borderId="10" xfId="0" applyNumberFormat="1" applyFont="1" applyFill="1" applyBorder="1"/>
    <xf numFmtId="171" fontId="42" fillId="0" borderId="0" xfId="1" applyFont="1" applyFill="1" applyBorder="1" applyAlignment="1">
      <alignment horizontal="center" wrapText="1"/>
    </xf>
    <xf numFmtId="171" fontId="42" fillId="0" borderId="0" xfId="0" applyNumberFormat="1" applyFont="1" applyFill="1" applyBorder="1"/>
    <xf numFmtId="39" fontId="42" fillId="0" borderId="12" xfId="0" applyNumberFormat="1" applyFont="1" applyFill="1" applyBorder="1" applyAlignment="1">
      <alignment horizontal="right" wrapText="1"/>
    </xf>
    <xf numFmtId="39" fontId="14" fillId="0" borderId="0" xfId="0" applyNumberFormat="1" applyFont="1" applyFill="1" applyBorder="1" applyAlignment="1">
      <alignment horizontal="right" wrapText="1"/>
    </xf>
    <xf numFmtId="4" fontId="14" fillId="0" borderId="0" xfId="0" applyNumberFormat="1" applyFont="1" applyBorder="1" applyAlignment="1">
      <alignment horizontal="left" wrapText="1"/>
    </xf>
    <xf numFmtId="39" fontId="14" fillId="0" borderId="0" xfId="0" applyNumberFormat="1" applyFont="1" applyFill="1" applyBorder="1" applyAlignment="1"/>
    <xf numFmtId="4" fontId="14" fillId="0" borderId="0" xfId="0" applyNumberFormat="1" applyFont="1" applyBorder="1" applyAlignment="1"/>
    <xf numFmtId="0" fontId="13" fillId="0" borderId="0" xfId="6" applyFont="1" applyAlignment="1">
      <alignment vertical="center"/>
    </xf>
    <xf numFmtId="3" fontId="2" fillId="0" borderId="13" xfId="0" applyNumberFormat="1" applyFont="1" applyFill="1" applyBorder="1" applyAlignment="1" applyProtection="1"/>
    <xf numFmtId="0" fontId="2" fillId="0" borderId="14" xfId="0" applyNumberFormat="1" applyFont="1" applyFill="1" applyBorder="1" applyAlignment="1" applyProtection="1">
      <alignment horizontal="center" vertical="center"/>
    </xf>
    <xf numFmtId="3" fontId="4" fillId="0" borderId="15" xfId="0" applyNumberFormat="1" applyFont="1" applyFill="1" applyBorder="1" applyAlignment="1" applyProtection="1"/>
    <xf numFmtId="0" fontId="2" fillId="0" borderId="14" xfId="0" applyNumberFormat="1" applyFont="1" applyFill="1" applyBorder="1" applyAlignment="1" applyProtection="1">
      <alignment wrapText="1"/>
    </xf>
    <xf numFmtId="3" fontId="2" fillId="0" borderId="14" xfId="0" applyNumberFormat="1" applyFont="1" applyFill="1" applyBorder="1" applyAlignment="1" applyProtection="1"/>
    <xf numFmtId="3" fontId="2" fillId="0" borderId="5" xfId="0" applyNumberFormat="1" applyFont="1" applyFill="1" applyBorder="1" applyAlignment="1" applyProtection="1"/>
    <xf numFmtId="0" fontId="30" fillId="0" borderId="16" xfId="0" applyNumberFormat="1" applyFont="1" applyFill="1" applyBorder="1" applyAlignment="1" applyProtection="1">
      <alignment wrapText="1"/>
    </xf>
    <xf numFmtId="3" fontId="2" fillId="0" borderId="17" xfId="0" applyNumberFormat="1" applyFont="1" applyFill="1" applyBorder="1" applyAlignment="1" applyProtection="1"/>
    <xf numFmtId="3" fontId="2" fillId="0" borderId="18" xfId="0" applyNumberFormat="1" applyFont="1" applyFill="1" applyBorder="1" applyAlignment="1" applyProtection="1"/>
    <xf numFmtId="3" fontId="4" fillId="0" borderId="19" xfId="0" applyNumberFormat="1" applyFont="1" applyFill="1" applyBorder="1" applyAlignment="1" applyProtection="1"/>
    <xf numFmtId="0" fontId="6" fillId="0" borderId="0" xfId="0" applyFont="1" applyFill="1" applyBorder="1"/>
    <xf numFmtId="39" fontId="7" fillId="0" borderId="0" xfId="0" applyNumberFormat="1" applyFont="1" applyFill="1" applyBorder="1" applyAlignment="1">
      <alignment horizontal="center"/>
    </xf>
    <xf numFmtId="171" fontId="6" fillId="0" borderId="0" xfId="1" applyFont="1" applyFill="1" applyBorder="1"/>
    <xf numFmtId="0" fontId="9" fillId="0" borderId="0" xfId="0" applyFont="1" applyFill="1" applyBorder="1" applyAlignment="1">
      <alignment horizontal="center"/>
    </xf>
    <xf numFmtId="196" fontId="4" fillId="0" borderId="20" xfId="8" applyNumberFormat="1" applyFont="1" applyFill="1" applyBorder="1" applyAlignment="1" applyProtection="1">
      <alignment horizontal="center" vertical="center" wrapText="1"/>
      <protection locked="0"/>
    </xf>
    <xf numFmtId="0" fontId="46" fillId="0" borderId="0" xfId="0" applyFont="1" applyBorder="1"/>
    <xf numFmtId="0" fontId="47" fillId="0" borderId="0" xfId="0" applyFont="1" applyBorder="1"/>
    <xf numFmtId="0" fontId="2" fillId="0" borderId="0" xfId="8" applyFont="1" applyBorder="1" applyAlignment="1">
      <alignment horizontal="left"/>
    </xf>
    <xf numFmtId="0" fontId="47" fillId="0" borderId="0" xfId="0" applyFont="1"/>
    <xf numFmtId="0" fontId="2" fillId="0" borderId="0" xfId="8" applyFont="1" applyBorder="1"/>
    <xf numFmtId="196" fontId="4" fillId="0" borderId="0" xfId="7" applyNumberFormat="1" applyFont="1" applyFill="1" applyBorder="1" applyAlignment="1">
      <alignment horizontal="center" vertical="center"/>
    </xf>
    <xf numFmtId="196" fontId="4" fillId="0" borderId="21" xfId="7" applyNumberFormat="1" applyFont="1" applyFill="1" applyBorder="1" applyAlignment="1">
      <alignment horizontal="center" vertical="center"/>
    </xf>
    <xf numFmtId="0" fontId="48" fillId="0" borderId="22" xfId="0" applyNumberFormat="1" applyFont="1" applyFill="1" applyBorder="1" applyAlignment="1" applyProtection="1"/>
    <xf numFmtId="196" fontId="2" fillId="0" borderId="0" xfId="7" applyNumberFormat="1" applyFont="1" applyFill="1" applyBorder="1" applyAlignment="1" applyProtection="1">
      <alignment horizontal="center" vertical="center"/>
    </xf>
    <xf numFmtId="196" fontId="4" fillId="0" borderId="23" xfId="8" applyNumberFormat="1" applyFont="1" applyFill="1" applyBorder="1" applyAlignment="1" applyProtection="1">
      <alignment horizontal="center" vertical="center"/>
      <protection locked="0"/>
    </xf>
    <xf numFmtId="196" fontId="4" fillId="0" borderId="24" xfId="8" applyNumberFormat="1" applyFont="1" applyFill="1" applyBorder="1" applyAlignment="1" applyProtection="1">
      <alignment horizontal="center" vertical="center"/>
      <protection locked="0"/>
    </xf>
    <xf numFmtId="196" fontId="4" fillId="0" borderId="24" xfId="8" applyNumberFormat="1" applyFont="1" applyFill="1" applyBorder="1" applyAlignment="1" applyProtection="1">
      <alignment horizontal="center" vertical="center" wrapText="1"/>
      <protection locked="0"/>
    </xf>
    <xf numFmtId="196" fontId="4" fillId="0" borderId="25" xfId="8" applyNumberFormat="1" applyFont="1" applyFill="1" applyBorder="1" applyAlignment="1" applyProtection="1">
      <alignment horizontal="center" vertical="center" wrapText="1"/>
      <protection locked="0"/>
    </xf>
    <xf numFmtId="196" fontId="4" fillId="0" borderId="20" xfId="7" applyNumberFormat="1" applyFont="1" applyFill="1" applyBorder="1" applyAlignment="1" applyProtection="1">
      <alignment horizontal="center" vertical="center"/>
      <protection locked="0"/>
    </xf>
    <xf numFmtId="196" fontId="4" fillId="0" borderId="0" xfId="7" applyNumberFormat="1" applyFont="1" applyFill="1" applyBorder="1" applyAlignment="1" applyProtection="1">
      <alignment horizontal="center" vertical="center"/>
      <protection locked="0"/>
    </xf>
    <xf numFmtId="0" fontId="2" fillId="0" borderId="0" xfId="8" applyFont="1" applyBorder="1" applyAlignment="1">
      <alignment horizontal="center" vertical="center"/>
    </xf>
    <xf numFmtId="0" fontId="48" fillId="0" borderId="26" xfId="0" applyNumberFormat="1" applyFont="1" applyFill="1" applyBorder="1" applyAlignment="1" applyProtection="1"/>
    <xf numFmtId="0" fontId="48" fillId="0" borderId="27" xfId="0" applyNumberFormat="1" applyFont="1" applyFill="1" applyBorder="1" applyAlignment="1" applyProtection="1"/>
    <xf numFmtId="0" fontId="48" fillId="0" borderId="28" xfId="0" applyNumberFormat="1" applyFont="1" applyFill="1" applyBorder="1" applyAlignment="1" applyProtection="1"/>
    <xf numFmtId="0" fontId="48" fillId="0" borderId="29" xfId="0" applyNumberFormat="1" applyFont="1" applyFill="1" applyBorder="1" applyAlignment="1" applyProtection="1"/>
    <xf numFmtId="0" fontId="48" fillId="0" borderId="30" xfId="0" applyNumberFormat="1" applyFont="1" applyFill="1" applyBorder="1" applyAlignment="1" applyProtection="1"/>
    <xf numFmtId="196" fontId="4" fillId="0" borderId="0" xfId="8" applyNumberFormat="1" applyFont="1" applyFill="1" applyBorder="1" applyAlignment="1" applyProtection="1">
      <alignment horizontal="center" vertical="center"/>
      <protection locked="0"/>
    </xf>
    <xf numFmtId="196" fontId="4" fillId="0" borderId="0" xfId="8" applyNumberFormat="1" applyFont="1" applyFill="1" applyBorder="1" applyAlignment="1" applyProtection="1">
      <alignment horizontal="center" vertical="center" wrapText="1"/>
      <protection locked="0"/>
    </xf>
    <xf numFmtId="196" fontId="49" fillId="0" borderId="0" xfId="7" applyNumberFormat="1" applyFont="1" applyBorder="1" applyAlignment="1" applyProtection="1">
      <alignment horizontal="center" vertical="center" wrapText="1"/>
      <protection locked="0"/>
    </xf>
    <xf numFmtId="196" fontId="4" fillId="0" borderId="31" xfId="7" applyNumberFormat="1" applyFont="1" applyFill="1" applyBorder="1" applyAlignment="1">
      <alignment horizontal="center" vertical="center"/>
    </xf>
    <xf numFmtId="196" fontId="4" fillId="0" borderId="32" xfId="7" applyNumberFormat="1" applyFont="1" applyFill="1" applyBorder="1" applyAlignment="1">
      <alignment horizontal="center" vertical="center"/>
    </xf>
    <xf numFmtId="196" fontId="4" fillId="0" borderId="33" xfId="7" applyNumberFormat="1" applyFont="1" applyBorder="1" applyAlignment="1" applyProtection="1">
      <alignment horizontal="center" vertical="center" wrapText="1"/>
      <protection locked="0"/>
    </xf>
    <xf numFmtId="196" fontId="4" fillId="0" borderId="34" xfId="7" applyNumberFormat="1" applyFont="1" applyFill="1" applyBorder="1" applyAlignment="1">
      <alignment horizontal="center" vertical="center"/>
    </xf>
    <xf numFmtId="196" fontId="4" fillId="0" borderId="35" xfId="7" applyNumberFormat="1" applyFont="1" applyFill="1" applyBorder="1" applyAlignment="1">
      <alignment horizontal="center" vertical="center"/>
    </xf>
    <xf numFmtId="196" fontId="4" fillId="0" borderId="36" xfId="8" applyNumberFormat="1" applyFont="1" applyFill="1" applyBorder="1" applyAlignment="1" applyProtection="1">
      <alignment horizontal="center" vertical="center"/>
      <protection locked="0"/>
    </xf>
    <xf numFmtId="196" fontId="4" fillId="0" borderId="37" xfId="8" applyNumberFormat="1" applyFont="1" applyFill="1" applyBorder="1" applyAlignment="1" applyProtection="1">
      <alignment horizontal="center" vertical="center"/>
      <protection locked="0"/>
    </xf>
    <xf numFmtId="196" fontId="4" fillId="0" borderId="38" xfId="8" applyNumberFormat="1" applyFont="1" applyFill="1" applyBorder="1" applyAlignment="1" applyProtection="1">
      <alignment horizontal="center" vertical="center" wrapText="1"/>
      <protection locked="0"/>
    </xf>
    <xf numFmtId="196" fontId="4" fillId="0" borderId="37" xfId="8" applyNumberFormat="1" applyFont="1" applyFill="1" applyBorder="1" applyAlignment="1" applyProtection="1">
      <alignment horizontal="center" vertical="center" wrapText="1"/>
      <protection locked="0"/>
    </xf>
    <xf numFmtId="196" fontId="4" fillId="0" borderId="39" xfId="7" applyNumberFormat="1" applyFont="1" applyFill="1" applyBorder="1" applyAlignment="1" applyProtection="1">
      <alignment horizontal="center" vertical="center"/>
      <protection locked="0"/>
    </xf>
    <xf numFmtId="196" fontId="4" fillId="0" borderId="39" xfId="7" applyNumberFormat="1" applyFont="1" applyBorder="1" applyAlignment="1" applyProtection="1">
      <alignment horizontal="center" vertical="center" wrapText="1"/>
      <protection locked="0"/>
    </xf>
    <xf numFmtId="196" fontId="2" fillId="0" borderId="0" xfId="7" applyNumberFormat="1" applyFont="1" applyFill="1" applyBorder="1" applyAlignment="1" applyProtection="1">
      <alignment horizontal="center" vertical="center"/>
      <protection locked="0"/>
    </xf>
    <xf numFmtId="196" fontId="4" fillId="0" borderId="40" xfId="8" applyNumberFormat="1" applyFont="1" applyFill="1" applyBorder="1" applyAlignment="1" applyProtection="1">
      <alignment horizontal="center" vertical="center"/>
      <protection locked="0"/>
    </xf>
    <xf numFmtId="196" fontId="4" fillId="0" borderId="41" xfId="8" applyNumberFormat="1" applyFont="1" applyFill="1" applyBorder="1" applyAlignment="1" applyProtection="1">
      <alignment horizontal="center" vertical="center"/>
      <protection locked="0"/>
    </xf>
    <xf numFmtId="196" fontId="4" fillId="0" borderId="42" xfId="8" applyNumberFormat="1" applyFont="1" applyFill="1" applyBorder="1" applyAlignment="1" applyProtection="1">
      <alignment horizontal="center" vertical="center" wrapText="1"/>
      <protection locked="0"/>
    </xf>
    <xf numFmtId="196" fontId="4" fillId="0" borderId="41" xfId="8" applyNumberFormat="1" applyFont="1" applyFill="1" applyBorder="1" applyAlignment="1" applyProtection="1">
      <alignment horizontal="center" vertical="center" wrapText="1"/>
      <protection locked="0"/>
    </xf>
    <xf numFmtId="196" fontId="4" fillId="0" borderId="43" xfId="7" applyNumberFormat="1" applyFont="1" applyFill="1" applyBorder="1" applyAlignment="1" applyProtection="1">
      <alignment horizontal="center" vertical="center"/>
      <protection locked="0"/>
    </xf>
    <xf numFmtId="196" fontId="4" fillId="0" borderId="43" xfId="7" applyNumberFormat="1" applyFont="1" applyBorder="1" applyAlignment="1" applyProtection="1">
      <alignment horizontal="center" vertical="center"/>
      <protection locked="0"/>
    </xf>
    <xf numFmtId="196" fontId="4" fillId="0" borderId="0" xfId="7" applyNumberFormat="1" applyFont="1" applyFill="1" applyBorder="1" applyAlignment="1">
      <alignment horizontal="left"/>
    </xf>
    <xf numFmtId="196" fontId="4" fillId="0" borderId="44" xfId="7" applyNumberFormat="1" applyFont="1" applyFill="1" applyBorder="1" applyAlignment="1">
      <alignment horizontal="left"/>
    </xf>
    <xf numFmtId="196" fontId="4" fillId="0" borderId="45" xfId="7" applyNumberFormat="1" applyFont="1" applyFill="1" applyBorder="1" applyAlignment="1">
      <alignment horizontal="left"/>
    </xf>
    <xf numFmtId="196" fontId="50" fillId="0" borderId="0" xfId="7" quotePrefix="1" applyNumberFormat="1" applyFont="1" applyFill="1" applyBorder="1" applyAlignment="1">
      <alignment horizontal="center"/>
    </xf>
    <xf numFmtId="196" fontId="4" fillId="0" borderId="44" xfId="7" applyNumberFormat="1" applyFont="1" applyFill="1" applyBorder="1" applyAlignment="1" applyProtection="1">
      <protection locked="0"/>
    </xf>
    <xf numFmtId="197" fontId="4" fillId="0" borderId="46" xfId="3" applyNumberFormat="1" applyFont="1" applyFill="1" applyBorder="1" applyAlignment="1" applyProtection="1">
      <protection locked="0"/>
    </xf>
    <xf numFmtId="196" fontId="4" fillId="0" borderId="47" xfId="7" applyNumberFormat="1" applyFont="1" applyFill="1" applyBorder="1" applyAlignment="1" applyProtection="1">
      <alignment wrapText="1"/>
      <protection locked="0"/>
    </xf>
    <xf numFmtId="196" fontId="4" fillId="0" borderId="46" xfId="7" applyNumberFormat="1" applyFont="1" applyFill="1" applyBorder="1" applyAlignment="1" applyProtection="1">
      <protection locked="0"/>
    </xf>
    <xf numFmtId="196" fontId="4" fillId="0" borderId="48" xfId="7" applyNumberFormat="1" applyFont="1" applyFill="1" applyBorder="1" applyAlignment="1" applyProtection="1">
      <protection locked="0"/>
    </xf>
    <xf numFmtId="196" fontId="4" fillId="0" borderId="49" xfId="7" applyNumberFormat="1" applyFont="1" applyFill="1" applyBorder="1" applyAlignment="1" applyProtection="1">
      <protection locked="0"/>
    </xf>
    <xf numFmtId="196" fontId="4" fillId="0" borderId="50" xfId="7" applyNumberFormat="1" applyFont="1" applyFill="1" applyBorder="1" applyAlignment="1" applyProtection="1">
      <alignment horizontal="right"/>
    </xf>
    <xf numFmtId="196" fontId="4" fillId="0" borderId="0" xfId="7" applyNumberFormat="1" applyFont="1" applyFill="1" applyBorder="1" applyAlignment="1" applyProtection="1">
      <alignment horizontal="right"/>
    </xf>
    <xf numFmtId="0" fontId="2" fillId="0" borderId="0" xfId="8" applyFont="1" applyFill="1" applyBorder="1"/>
    <xf numFmtId="196" fontId="4" fillId="0" borderId="0" xfId="7" applyNumberFormat="1" applyFont="1" applyFill="1" applyBorder="1" applyAlignment="1">
      <alignment horizontal="left" vertical="top"/>
    </xf>
    <xf numFmtId="196" fontId="4" fillId="0" borderId="36" xfId="7" applyNumberFormat="1" applyFont="1" applyFill="1" applyBorder="1" applyAlignment="1">
      <alignment horizontal="left" vertical="top"/>
    </xf>
    <xf numFmtId="196" fontId="4" fillId="0" borderId="51" xfId="7" applyNumberFormat="1" applyFont="1" applyFill="1" applyBorder="1" applyAlignment="1">
      <alignment horizontal="left" vertical="top"/>
    </xf>
    <xf numFmtId="196" fontId="4" fillId="0" borderId="37" xfId="7" applyNumberFormat="1" applyFont="1" applyFill="1" applyBorder="1" applyAlignment="1" applyProtection="1">
      <protection locked="0"/>
    </xf>
    <xf numFmtId="196" fontId="4" fillId="0" borderId="52" xfId="7" applyNumberFormat="1" applyFont="1" applyFill="1" applyBorder="1" applyAlignment="1" applyProtection="1">
      <protection locked="0"/>
    </xf>
    <xf numFmtId="196" fontId="4" fillId="0" borderId="53" xfId="7" applyNumberFormat="1" applyFont="1" applyFill="1" applyBorder="1" applyAlignment="1" applyProtection="1">
      <protection locked="0"/>
    </xf>
    <xf numFmtId="196" fontId="4" fillId="0" borderId="39" xfId="7" applyNumberFormat="1" applyFont="1" applyFill="1" applyBorder="1" applyAlignment="1" applyProtection="1">
      <alignment horizontal="right"/>
    </xf>
    <xf numFmtId="196" fontId="4" fillId="0" borderId="54" xfId="7" applyNumberFormat="1" applyFont="1" applyFill="1" applyBorder="1" applyAlignment="1">
      <alignment horizontal="left" vertical="top"/>
    </xf>
    <xf numFmtId="196" fontId="4" fillId="0" borderId="55" xfId="7" applyNumberFormat="1" applyFont="1" applyFill="1" applyBorder="1" applyAlignment="1">
      <alignment horizontal="left" vertical="top"/>
    </xf>
    <xf numFmtId="196" fontId="4" fillId="0" borderId="54" xfId="7" applyNumberFormat="1" applyFont="1" applyFill="1" applyBorder="1" applyAlignment="1" applyProtection="1">
      <protection locked="0"/>
    </xf>
    <xf numFmtId="196" fontId="4" fillId="0" borderId="56" xfId="7" applyNumberFormat="1" applyFont="1" applyFill="1" applyBorder="1" applyAlignment="1" applyProtection="1">
      <protection locked="0"/>
    </xf>
    <xf numFmtId="196" fontId="4" fillId="0" borderId="57" xfId="7" applyNumberFormat="1" applyFont="1" applyFill="1" applyBorder="1" applyAlignment="1" applyProtection="1">
      <alignment wrapText="1"/>
      <protection locked="0"/>
    </xf>
    <xf numFmtId="196" fontId="4" fillId="0" borderId="58" xfId="7" applyNumberFormat="1" applyFont="1" applyFill="1" applyBorder="1" applyAlignment="1" applyProtection="1">
      <protection locked="0"/>
    </xf>
    <xf numFmtId="196" fontId="4" fillId="0" borderId="59" xfId="7" applyNumberFormat="1" applyFont="1" applyFill="1" applyBorder="1" applyAlignment="1" applyProtection="1">
      <alignment horizontal="right"/>
    </xf>
    <xf numFmtId="196" fontId="2" fillId="0" borderId="0" xfId="0" applyNumberFormat="1" applyFont="1" applyFill="1" applyBorder="1" applyAlignment="1" applyProtection="1"/>
    <xf numFmtId="196" fontId="4" fillId="0" borderId="60" xfId="7" applyNumberFormat="1" applyFont="1" applyFill="1" applyBorder="1" applyAlignment="1">
      <alignment horizontal="left" vertical="top"/>
    </xf>
    <xf numFmtId="196" fontId="4" fillId="0" borderId="61" xfId="7" applyNumberFormat="1" applyFont="1" applyFill="1" applyBorder="1" applyAlignment="1">
      <alignment horizontal="left" vertical="top"/>
    </xf>
    <xf numFmtId="196" fontId="2" fillId="0" borderId="62" xfId="7" applyNumberFormat="1" applyFont="1" applyFill="1" applyBorder="1" applyAlignment="1" applyProtection="1">
      <alignment horizontal="right"/>
    </xf>
    <xf numFmtId="196" fontId="2" fillId="0" borderId="0" xfId="7" applyNumberFormat="1" applyFont="1" applyFill="1" applyBorder="1" applyAlignment="1" applyProtection="1">
      <alignment horizontal="right"/>
    </xf>
    <xf numFmtId="196" fontId="4" fillId="0" borderId="36" xfId="7" applyNumberFormat="1" applyFont="1" applyFill="1" applyBorder="1" applyAlignment="1">
      <alignment horizontal="left"/>
    </xf>
    <xf numFmtId="196" fontId="4" fillId="0" borderId="51" xfId="7" applyNumberFormat="1" applyFont="1" applyFill="1" applyBorder="1" applyAlignment="1">
      <alignment horizontal="left"/>
    </xf>
    <xf numFmtId="196" fontId="2" fillId="0" borderId="36" xfId="7" applyNumberFormat="1" applyFont="1" applyFill="1" applyBorder="1" applyAlignment="1" applyProtection="1">
      <protection locked="0"/>
    </xf>
    <xf numFmtId="196" fontId="2" fillId="0" borderId="37" xfId="7" applyNumberFormat="1" applyFont="1" applyFill="1" applyBorder="1" applyAlignment="1" applyProtection="1">
      <protection locked="0"/>
    </xf>
    <xf numFmtId="196" fontId="2" fillId="0" borderId="38" xfId="7" applyNumberFormat="1" applyFont="1" applyFill="1" applyBorder="1" applyAlignment="1" applyProtection="1">
      <alignment wrapText="1"/>
      <protection locked="0"/>
    </xf>
    <xf numFmtId="196" fontId="2" fillId="0" borderId="52" xfId="7" applyNumberFormat="1" applyFont="1" applyFill="1" applyBorder="1" applyAlignment="1" applyProtection="1">
      <protection locked="0"/>
    </xf>
    <xf numFmtId="196" fontId="2" fillId="0" borderId="53" xfId="7" applyNumberFormat="1" applyFont="1" applyFill="1" applyBorder="1" applyAlignment="1" applyProtection="1">
      <protection locked="0"/>
    </xf>
    <xf numFmtId="196" fontId="2" fillId="0" borderId="39" xfId="7" applyNumberFormat="1" applyFont="1" applyFill="1" applyBorder="1" applyAlignment="1" applyProtection="1">
      <alignment horizontal="right"/>
    </xf>
    <xf numFmtId="3" fontId="2" fillId="0" borderId="38" xfId="7" applyNumberFormat="1" applyFont="1" applyFill="1" applyBorder="1" applyAlignment="1" applyProtection="1">
      <alignment wrapText="1"/>
      <protection locked="0"/>
    </xf>
    <xf numFmtId="3" fontId="2" fillId="0" borderId="53" xfId="7" applyNumberFormat="1" applyFont="1" applyFill="1" applyBorder="1" applyAlignment="1" applyProtection="1">
      <protection locked="0"/>
    </xf>
    <xf numFmtId="196" fontId="4" fillId="0" borderId="34" xfId="7" applyNumberFormat="1" applyFont="1" applyFill="1" applyBorder="1" applyAlignment="1">
      <alignment horizontal="left"/>
    </xf>
    <xf numFmtId="196" fontId="4" fillId="0" borderId="35" xfId="7" applyNumberFormat="1" applyFont="1" applyFill="1" applyBorder="1" applyAlignment="1">
      <alignment horizontal="left"/>
    </xf>
    <xf numFmtId="196" fontId="2" fillId="0" borderId="26" xfId="7" applyNumberFormat="1" applyFont="1" applyFill="1" applyBorder="1" applyAlignment="1" applyProtection="1">
      <protection locked="0"/>
    </xf>
    <xf numFmtId="196" fontId="2" fillId="0" borderId="29" xfId="7" applyNumberFormat="1" applyFont="1" applyFill="1" applyBorder="1" applyAlignment="1" applyProtection="1">
      <protection locked="0"/>
    </xf>
    <xf numFmtId="196" fontId="2" fillId="0" borderId="63" xfId="7" applyNumberFormat="1" applyFont="1" applyFill="1" applyBorder="1" applyAlignment="1" applyProtection="1">
      <alignment wrapText="1"/>
      <protection locked="0"/>
    </xf>
    <xf numFmtId="196" fontId="2" fillId="0" borderId="64" xfId="7" applyNumberFormat="1" applyFont="1" applyFill="1" applyBorder="1" applyAlignment="1" applyProtection="1">
      <protection locked="0"/>
    </xf>
    <xf numFmtId="196" fontId="2" fillId="0" borderId="65" xfId="7" applyNumberFormat="1" applyFont="1" applyFill="1" applyBorder="1" applyAlignment="1" applyProtection="1">
      <protection locked="0"/>
    </xf>
    <xf numFmtId="196" fontId="2" fillId="0" borderId="59" xfId="7" applyNumberFormat="1" applyFont="1" applyFill="1" applyBorder="1" applyAlignment="1" applyProtection="1">
      <alignment horizontal="right"/>
    </xf>
    <xf numFmtId="196" fontId="50" fillId="0" borderId="0" xfId="7" applyNumberFormat="1" applyFont="1" applyFill="1" applyBorder="1" applyAlignment="1">
      <alignment horizontal="center"/>
    </xf>
    <xf numFmtId="196" fontId="4" fillId="0" borderId="66" xfId="7" applyNumberFormat="1" applyFont="1" applyFill="1" applyBorder="1" applyAlignment="1" applyProtection="1"/>
    <xf numFmtId="196" fontId="4" fillId="0" borderId="46" xfId="7" applyNumberFormat="1" applyFont="1" applyFill="1" applyBorder="1" applyAlignment="1" applyProtection="1"/>
    <xf numFmtId="196" fontId="4" fillId="0" borderId="48" xfId="7" applyNumberFormat="1" applyFont="1" applyFill="1" applyBorder="1" applyAlignment="1" applyProtection="1"/>
    <xf numFmtId="196" fontId="4" fillId="0" borderId="67" xfId="7" applyNumberFormat="1" applyFont="1" applyFill="1" applyBorder="1" applyAlignment="1" applyProtection="1"/>
    <xf numFmtId="196" fontId="4" fillId="0" borderId="37" xfId="7" applyNumberFormat="1" applyFont="1" applyFill="1" applyBorder="1" applyAlignment="1" applyProtection="1"/>
    <xf numFmtId="196" fontId="4" fillId="0" borderId="52" xfId="7" applyNumberFormat="1" applyFont="1" applyFill="1" applyBorder="1" applyAlignment="1" applyProtection="1"/>
    <xf numFmtId="196" fontId="4" fillId="0" borderId="0" xfId="7" applyNumberFormat="1" applyFont="1" applyFill="1" applyBorder="1" applyAlignment="1" applyProtection="1">
      <alignment horizontal="left"/>
      <protection locked="0"/>
    </xf>
    <xf numFmtId="196" fontId="2" fillId="0" borderId="0" xfId="7" applyNumberFormat="1" applyFont="1" applyFill="1" applyBorder="1"/>
    <xf numFmtId="196" fontId="4" fillId="0" borderId="68" xfId="7" applyNumberFormat="1" applyFont="1" applyFill="1" applyBorder="1" applyAlignment="1" applyProtection="1"/>
    <xf numFmtId="196" fontId="4" fillId="0" borderId="56" xfId="7" applyNumberFormat="1" applyFont="1" applyFill="1" applyBorder="1" applyAlignment="1" applyProtection="1"/>
    <xf numFmtId="196" fontId="4" fillId="0" borderId="69" xfId="7" applyNumberFormat="1" applyFont="1" applyFill="1" applyBorder="1" applyAlignment="1" applyProtection="1"/>
    <xf numFmtId="0" fontId="2" fillId="0" borderId="0" xfId="8" applyFont="1" applyFill="1" applyBorder="1" applyAlignment="1">
      <alignment horizontal="left"/>
    </xf>
    <xf numFmtId="196" fontId="2" fillId="0" borderId="0" xfId="8" applyNumberFormat="1" applyFont="1" applyFill="1" applyBorder="1"/>
    <xf numFmtId="196" fontId="2" fillId="0" borderId="0" xfId="8" applyNumberFormat="1" applyFont="1" applyBorder="1"/>
    <xf numFmtId="0" fontId="30" fillId="0" borderId="65" xfId="0" applyNumberFormat="1" applyFont="1" applyFill="1" applyBorder="1" applyAlignment="1" applyProtection="1">
      <alignment horizontal="center"/>
    </xf>
    <xf numFmtId="3" fontId="2" fillId="0" borderId="0" xfId="0" applyNumberFormat="1" applyFont="1" applyFill="1" applyBorder="1" applyAlignment="1" applyProtection="1"/>
    <xf numFmtId="0" fontId="52" fillId="0" borderId="0" xfId="0" applyNumberFormat="1" applyFont="1" applyFill="1" applyBorder="1" applyAlignment="1" applyProtection="1"/>
    <xf numFmtId="0" fontId="51" fillId="0" borderId="0" xfId="0" applyNumberFormat="1" applyFont="1" applyFill="1" applyBorder="1" applyAlignment="1" applyProtection="1">
      <alignment vertical="top"/>
    </xf>
    <xf numFmtId="3" fontId="53" fillId="0" borderId="0" xfId="0" applyNumberFormat="1" applyFont="1"/>
    <xf numFmtId="171" fontId="19" fillId="0" borderId="0" xfId="5" applyNumberFormat="1" applyFont="1" applyAlignment="1">
      <alignment horizontal="right" vertical="center"/>
    </xf>
    <xf numFmtId="171" fontId="11" fillId="0" borderId="0" xfId="5" applyNumberFormat="1" applyFill="1" applyBorder="1" applyAlignment="1" applyProtection="1"/>
    <xf numFmtId="171" fontId="28" fillId="0" borderId="0" xfId="5" applyNumberFormat="1" applyFont="1" applyAlignment="1">
      <alignment horizontal="right" vertical="center"/>
    </xf>
    <xf numFmtId="4" fontId="54" fillId="0" borderId="0" xfId="0" applyNumberFormat="1" applyFont="1" applyAlignment="1">
      <alignment horizontal="right" vertical="top" wrapText="1"/>
    </xf>
    <xf numFmtId="0" fontId="56" fillId="0" borderId="0" xfId="0" applyFont="1"/>
    <xf numFmtId="0" fontId="57" fillId="0" borderId="10" xfId="0" applyFont="1" applyBorder="1"/>
    <xf numFmtId="0" fontId="58" fillId="0" borderId="0" xfId="0" applyFont="1"/>
    <xf numFmtId="0" fontId="59" fillId="0" borderId="0" xfId="0" applyFont="1"/>
    <xf numFmtId="0" fontId="61" fillId="0" borderId="16" xfId="0" applyFont="1" applyBorder="1" applyAlignment="1">
      <alignment horizontal="center" wrapText="1"/>
    </xf>
    <xf numFmtId="0" fontId="61" fillId="0" borderId="17" xfId="0" applyFont="1" applyBorder="1" applyAlignment="1">
      <alignment horizontal="center" wrapText="1"/>
    </xf>
    <xf numFmtId="0" fontId="59" fillId="0" borderId="70" xfId="0" applyFont="1" applyBorder="1" applyAlignment="1">
      <alignment horizontal="right" vertical="top" wrapText="1"/>
    </xf>
    <xf numFmtId="0" fontId="0" fillId="0" borderId="3" xfId="0" applyBorder="1"/>
    <xf numFmtId="0" fontId="0" fillId="0" borderId="13" xfId="0" applyBorder="1"/>
    <xf numFmtId="0" fontId="62" fillId="0" borderId="16" xfId="0" applyFont="1" applyBorder="1" applyAlignment="1">
      <alignment horizontal="center" vertical="top" wrapText="1"/>
    </xf>
    <xf numFmtId="0" fontId="63" fillId="0" borderId="17" xfId="0" applyFont="1" applyBorder="1" applyAlignment="1">
      <alignment horizontal="center" wrapText="1"/>
    </xf>
    <xf numFmtId="0" fontId="62" fillId="0" borderId="17" xfId="0" applyFont="1" applyBorder="1" applyAlignment="1">
      <alignment horizontal="center" vertical="top" wrapText="1"/>
    </xf>
    <xf numFmtId="169" fontId="64" fillId="0" borderId="70" xfId="0" applyNumberFormat="1" applyFont="1" applyBorder="1" applyAlignment="1">
      <alignment horizontal="right" wrapText="1"/>
    </xf>
    <xf numFmtId="0" fontId="65" fillId="0" borderId="0" xfId="0" applyFont="1"/>
    <xf numFmtId="0" fontId="66" fillId="0" borderId="0" xfId="0" applyFont="1"/>
    <xf numFmtId="0" fontId="51" fillId="0" borderId="0" xfId="0" applyFont="1"/>
    <xf numFmtId="0" fontId="69" fillId="0" borderId="0" xfId="0" applyFont="1"/>
    <xf numFmtId="0" fontId="55" fillId="0" borderId="0" xfId="0" applyFont="1"/>
    <xf numFmtId="0" fontId="67" fillId="0" borderId="16" xfId="0" applyFont="1" applyBorder="1"/>
    <xf numFmtId="0" fontId="67" fillId="0" borderId="17" xfId="0" applyFont="1" applyBorder="1"/>
    <xf numFmtId="0" fontId="67" fillId="0" borderId="70" xfId="0" applyFont="1" applyBorder="1"/>
    <xf numFmtId="0" fontId="2" fillId="0" borderId="3" xfId="0" applyFont="1" applyBorder="1"/>
    <xf numFmtId="183" fontId="2" fillId="0" borderId="3" xfId="1" applyNumberFormat="1" applyFont="1" applyBorder="1"/>
    <xf numFmtId="0" fontId="2" fillId="0" borderId="3" xfId="0" applyFont="1" applyFill="1" applyBorder="1"/>
    <xf numFmtId="183" fontId="2" fillId="0" borderId="3" xfId="1" applyNumberFormat="1" applyFont="1" applyFill="1" applyBorder="1"/>
    <xf numFmtId="0" fontId="2" fillId="0" borderId="71" xfId="0" applyFont="1" applyBorder="1"/>
    <xf numFmtId="0" fontId="55" fillId="0" borderId="72" xfId="0" applyFont="1" applyBorder="1" applyAlignment="1">
      <alignment horizontal="center"/>
    </xf>
    <xf numFmtId="0" fontId="2" fillId="0" borderId="72" xfId="0" applyFont="1" applyBorder="1"/>
    <xf numFmtId="183" fontId="2" fillId="0" borderId="73" xfId="1" applyNumberFormat="1" applyFont="1" applyBorder="1"/>
    <xf numFmtId="183" fontId="55" fillId="0" borderId="73" xfId="1" applyNumberFormat="1" applyFont="1" applyBorder="1"/>
    <xf numFmtId="183" fontId="2" fillId="0" borderId="0" xfId="0" applyNumberFormat="1" applyFont="1"/>
    <xf numFmtId="0" fontId="68" fillId="0" borderId="0" xfId="0" applyFont="1"/>
    <xf numFmtId="0" fontId="32" fillId="0" borderId="14" xfId="0" applyFont="1" applyBorder="1" applyAlignment="1">
      <alignment horizontal="center"/>
    </xf>
    <xf numFmtId="14" fontId="32" fillId="0" borderId="74" xfId="0" applyNumberFormat="1" applyFont="1" applyBorder="1" applyAlignment="1">
      <alignment horizontal="center"/>
    </xf>
    <xf numFmtId="0" fontId="0" fillId="0" borderId="0" xfId="0" applyBorder="1"/>
    <xf numFmtId="0" fontId="0" fillId="0" borderId="3" xfId="0" applyBorder="1" applyAlignment="1">
      <alignment horizontal="center"/>
    </xf>
    <xf numFmtId="3" fontId="1" fillId="0" borderId="3" xfId="2" applyNumberFormat="1" applyBorder="1"/>
    <xf numFmtId="3" fontId="69" fillId="0" borderId="0" xfId="0" applyNumberFormat="1" applyFont="1" applyBorder="1"/>
    <xf numFmtId="3" fontId="0" fillId="0" borderId="0" xfId="0" applyNumberFormat="1" applyBorder="1"/>
    <xf numFmtId="0" fontId="69" fillId="0" borderId="3" xfId="0" applyFont="1" applyBorder="1"/>
    <xf numFmtId="0" fontId="0" fillId="0" borderId="14" xfId="0" applyBorder="1" applyAlignment="1">
      <alignment horizontal="center"/>
    </xf>
    <xf numFmtId="0" fontId="0" fillId="0" borderId="14" xfId="0" applyBorder="1"/>
    <xf numFmtId="3" fontId="1" fillId="0" borderId="14" xfId="2" applyNumberFormat="1" applyBorder="1"/>
    <xf numFmtId="0" fontId="32" fillId="0" borderId="16" xfId="0" applyFont="1" applyBorder="1" applyAlignment="1">
      <alignment vertical="center"/>
    </xf>
    <xf numFmtId="0" fontId="70" fillId="0" borderId="17" xfId="0" applyFont="1" applyBorder="1" applyAlignment="1">
      <alignment vertical="center"/>
    </xf>
    <xf numFmtId="0" fontId="70" fillId="0" borderId="17" xfId="0" applyFont="1" applyBorder="1" applyAlignment="1">
      <alignment horizontal="center" vertical="center"/>
    </xf>
    <xf numFmtId="3" fontId="70" fillId="0" borderId="17" xfId="2" applyNumberFormat="1" applyFont="1" applyBorder="1" applyAlignment="1">
      <alignment vertical="center"/>
    </xf>
    <xf numFmtId="3" fontId="70" fillId="0" borderId="70" xfId="2" applyNumberFormat="1" applyFont="1" applyBorder="1" applyAlignment="1">
      <alignment vertical="center"/>
    </xf>
    <xf numFmtId="3" fontId="0" fillId="0" borderId="0" xfId="0" applyNumberFormat="1"/>
    <xf numFmtId="169" fontId="0" fillId="0" borderId="3" xfId="0" applyNumberFormat="1" applyBorder="1"/>
    <xf numFmtId="169" fontId="1" fillId="0" borderId="3" xfId="2" applyNumberFormat="1" applyBorder="1"/>
    <xf numFmtId="1" fontId="0" fillId="0" borderId="0" xfId="0" applyNumberFormat="1"/>
    <xf numFmtId="0" fontId="51" fillId="0" borderId="0" xfId="0" applyFont="1" applyBorder="1"/>
    <xf numFmtId="3" fontId="1" fillId="0" borderId="0" xfId="2" applyNumberFormat="1" applyFill="1" applyBorder="1"/>
    <xf numFmtId="0" fontId="51" fillId="0" borderId="0" xfId="0" applyFont="1" applyAlignment="1">
      <alignment horizontal="center"/>
    </xf>
    <xf numFmtId="39" fontId="6" fillId="0" borderId="3" xfId="0" applyNumberFormat="1" applyFont="1" applyFill="1" applyBorder="1"/>
    <xf numFmtId="39" fontId="7" fillId="0" borderId="3" xfId="0" applyNumberFormat="1" applyFont="1" applyFill="1" applyBorder="1" applyAlignment="1">
      <alignment horizontal="center"/>
    </xf>
    <xf numFmtId="2" fontId="0" fillId="0" borderId="3" xfId="0" applyNumberFormat="1" applyFill="1" applyBorder="1"/>
    <xf numFmtId="171" fontId="0" fillId="0" borderId="3" xfId="0" applyNumberFormat="1" applyFill="1" applyBorder="1"/>
    <xf numFmtId="39" fontId="9" fillId="0" borderId="3" xfId="0" applyNumberFormat="1" applyFont="1" applyFill="1" applyBorder="1" applyAlignment="1">
      <alignment horizontal="center"/>
    </xf>
    <xf numFmtId="37" fontId="9" fillId="0" borderId="3" xfId="0" applyNumberFormat="1" applyFont="1" applyFill="1" applyBorder="1"/>
    <xf numFmtId="39" fontId="9" fillId="0" borderId="3" xfId="0" applyNumberFormat="1" applyFont="1" applyFill="1" applyBorder="1"/>
    <xf numFmtId="0" fontId="6" fillId="0" borderId="3" xfId="0" applyFont="1" applyFill="1" applyBorder="1"/>
    <xf numFmtId="171" fontId="6" fillId="0" borderId="3" xfId="1" applyFont="1" applyFill="1" applyBorder="1"/>
    <xf numFmtId="0" fontId="9" fillId="0" borderId="3" xfId="0" applyFont="1" applyFill="1" applyBorder="1" applyAlignment="1">
      <alignment horizontal="center"/>
    </xf>
    <xf numFmtId="171" fontId="6" fillId="0" borderId="3" xfId="0" applyNumberFormat="1" applyFont="1" applyFill="1" applyBorder="1"/>
    <xf numFmtId="171" fontId="10" fillId="0" borderId="3" xfId="0" applyNumberFormat="1" applyFont="1" applyFill="1" applyBorder="1"/>
    <xf numFmtId="0" fontId="29" fillId="0" borderId="3" xfId="0" applyFont="1" applyFill="1" applyBorder="1"/>
    <xf numFmtId="182" fontId="15" fillId="0" borderId="3" xfId="0" applyNumberFormat="1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left"/>
    </xf>
    <xf numFmtId="171" fontId="6" fillId="0" borderId="3" xfId="1" applyFont="1" applyFill="1" applyBorder="1" applyAlignment="1">
      <alignment horizontal="right"/>
    </xf>
    <xf numFmtId="171" fontId="6" fillId="0" borderId="3" xfId="1" applyFont="1" applyFill="1" applyBorder="1" applyAlignment="1">
      <alignment horizontal="center"/>
    </xf>
    <xf numFmtId="171" fontId="10" fillId="0" borderId="3" xfId="1" applyFont="1" applyFill="1" applyBorder="1"/>
    <xf numFmtId="0" fontId="51" fillId="0" borderId="3" xfId="0" applyFont="1" applyFill="1" applyBorder="1" applyAlignment="1">
      <alignment horizontal="center"/>
    </xf>
    <xf numFmtId="39" fontId="10" fillId="0" borderId="3" xfId="0" applyNumberFormat="1" applyFont="1" applyFill="1" applyBorder="1"/>
    <xf numFmtId="39" fontId="29" fillId="0" borderId="3" xfId="0" applyNumberFormat="1" applyFont="1" applyFill="1" applyBorder="1"/>
    <xf numFmtId="171" fontId="6" fillId="0" borderId="3" xfId="1" applyNumberFormat="1" applyFont="1" applyFill="1" applyBorder="1" applyAlignment="1">
      <alignment horizontal="right"/>
    </xf>
    <xf numFmtId="0" fontId="10" fillId="0" borderId="3" xfId="0" applyFont="1" applyFill="1" applyBorder="1"/>
    <xf numFmtId="182" fontId="16" fillId="0" borderId="3" xfId="0" applyNumberFormat="1" applyFont="1" applyFill="1" applyBorder="1" applyAlignment="1">
      <alignment horizontal="right" vertical="center"/>
    </xf>
    <xf numFmtId="37" fontId="6" fillId="0" borderId="3" xfId="0" applyNumberFormat="1" applyFont="1" applyFill="1" applyBorder="1" applyAlignment="1">
      <alignment horizontal="center"/>
    </xf>
    <xf numFmtId="169" fontId="9" fillId="0" borderId="3" xfId="0" applyNumberFormat="1" applyFont="1" applyFill="1" applyBorder="1" applyAlignment="1">
      <alignment horizontal="right"/>
    </xf>
    <xf numFmtId="171" fontId="19" fillId="3" borderId="0" xfId="5" applyNumberFormat="1" applyFont="1" applyFill="1" applyBorder="1" applyAlignment="1">
      <alignment horizontal="right" vertical="center"/>
    </xf>
    <xf numFmtId="171" fontId="54" fillId="0" borderId="0" xfId="0" applyNumberFormat="1" applyFont="1" applyBorder="1"/>
    <xf numFmtId="171" fontId="19" fillId="0" borderId="0" xfId="5" applyNumberFormat="1" applyFont="1" applyBorder="1" applyAlignment="1">
      <alignment horizontal="right" vertical="center"/>
    </xf>
    <xf numFmtId="182" fontId="28" fillId="3" borderId="0" xfId="5" applyNumberFormat="1" applyFont="1" applyFill="1" applyAlignment="1">
      <alignment horizontal="right" vertical="center"/>
    </xf>
    <xf numFmtId="171" fontId="28" fillId="3" borderId="0" xfId="5" applyNumberFormat="1" applyFont="1" applyFill="1" applyBorder="1" applyAlignment="1">
      <alignment horizontal="right" vertical="center"/>
    </xf>
    <xf numFmtId="171" fontId="13" fillId="0" borderId="0" xfId="5" applyNumberFormat="1" applyFont="1" applyAlignment="1">
      <alignment horizontal="right" vertical="center"/>
    </xf>
    <xf numFmtId="3" fontId="4" fillId="0" borderId="75" xfId="0" applyNumberFormat="1" applyFont="1" applyFill="1" applyBorder="1" applyAlignment="1" applyProtection="1"/>
    <xf numFmtId="3" fontId="2" fillId="0" borderId="12" xfId="0" applyNumberFormat="1" applyFont="1" applyFill="1" applyBorder="1" applyAlignment="1" applyProtection="1"/>
    <xf numFmtId="3" fontId="2" fillId="0" borderId="6" xfId="0" applyNumberFormat="1" applyFont="1" applyFill="1" applyBorder="1" applyAlignment="1" applyProtection="1"/>
    <xf numFmtId="3" fontId="2" fillId="0" borderId="72" xfId="0" applyNumberFormat="1" applyFont="1" applyFill="1" applyBorder="1" applyAlignment="1" applyProtection="1"/>
    <xf numFmtId="0" fontId="30" fillId="0" borderId="14" xfId="0" applyNumberFormat="1" applyFont="1" applyFill="1" applyBorder="1" applyAlignment="1" applyProtection="1">
      <alignment horizontal="center" vertical="center" wrapText="1"/>
    </xf>
    <xf numFmtId="0" fontId="30" fillId="0" borderId="5" xfId="0" applyNumberFormat="1" applyFont="1" applyFill="1" applyBorder="1" applyAlignment="1" applyProtection="1">
      <alignment horizontal="center" vertical="center" wrapText="1"/>
    </xf>
    <xf numFmtId="0" fontId="30" fillId="0" borderId="20" xfId="0" applyNumberFormat="1" applyFont="1" applyFill="1" applyBorder="1" applyAlignment="1" applyProtection="1">
      <alignment horizontal="center" vertical="center" wrapText="1"/>
    </xf>
    <xf numFmtId="0" fontId="30" fillId="0" borderId="6" xfId="0" applyNumberFormat="1" applyFont="1" applyFill="1" applyBorder="1" applyAlignment="1" applyProtection="1">
      <alignment horizontal="center" vertical="center" wrapText="1"/>
    </xf>
    <xf numFmtId="0" fontId="2" fillId="0" borderId="74" xfId="0" applyNumberFormat="1" applyFont="1" applyFill="1" applyBorder="1" applyAlignment="1" applyProtection="1">
      <alignment wrapText="1"/>
    </xf>
    <xf numFmtId="3" fontId="2" fillId="0" borderId="74" xfId="0" applyNumberFormat="1" applyFont="1" applyFill="1" applyBorder="1" applyAlignment="1" applyProtection="1"/>
    <xf numFmtId="3" fontId="2" fillId="0" borderId="9" xfId="0" applyNumberFormat="1" applyFont="1" applyFill="1" applyBorder="1" applyAlignment="1" applyProtection="1"/>
    <xf numFmtId="3" fontId="4" fillId="0" borderId="76" xfId="0" applyNumberFormat="1" applyFont="1" applyFill="1" applyBorder="1" applyAlignment="1" applyProtection="1"/>
    <xf numFmtId="3" fontId="2" fillId="0" borderId="10" xfId="0" applyNumberFormat="1" applyFont="1" applyFill="1" applyBorder="1" applyAlignment="1" applyProtection="1"/>
    <xf numFmtId="3" fontId="2" fillId="0" borderId="77" xfId="0" applyNumberFormat="1" applyFont="1" applyFill="1" applyBorder="1" applyAlignment="1" applyProtection="1"/>
    <xf numFmtId="3" fontId="4" fillId="0" borderId="70" xfId="0" applyNumberFormat="1" applyFont="1" applyFill="1" applyBorder="1" applyAlignment="1" applyProtection="1"/>
    <xf numFmtId="0" fontId="30" fillId="0" borderId="71" xfId="0" applyNumberFormat="1" applyFont="1" applyFill="1" applyBorder="1" applyAlignment="1" applyProtection="1">
      <alignment wrapText="1"/>
    </xf>
    <xf numFmtId="3" fontId="2" fillId="0" borderId="16" xfId="0" applyNumberFormat="1" applyFont="1" applyFill="1" applyBorder="1" applyAlignment="1" applyProtection="1"/>
    <xf numFmtId="196" fontId="4" fillId="0" borderId="44" xfId="8" applyNumberFormat="1" applyFont="1" applyFill="1" applyBorder="1" applyAlignment="1" applyProtection="1">
      <alignment horizontal="center" vertical="center"/>
      <protection locked="0"/>
    </xf>
    <xf numFmtId="196" fontId="4" fillId="0" borderId="46" xfId="8" applyNumberFormat="1" applyFont="1" applyFill="1" applyBorder="1" applyAlignment="1" applyProtection="1">
      <alignment horizontal="center" vertical="center"/>
      <protection locked="0"/>
    </xf>
    <xf numFmtId="196" fontId="4" fillId="0" borderId="47" xfId="8" applyNumberFormat="1" applyFont="1" applyFill="1" applyBorder="1" applyAlignment="1" applyProtection="1">
      <alignment horizontal="center" vertical="center" wrapText="1"/>
      <protection locked="0"/>
    </xf>
    <xf numFmtId="196" fontId="4" fillId="0" borderId="46" xfId="8" applyNumberFormat="1" applyFont="1" applyFill="1" applyBorder="1" applyAlignment="1" applyProtection="1">
      <alignment horizontal="center" vertical="center" wrapText="1"/>
      <protection locked="0"/>
    </xf>
    <xf numFmtId="196" fontId="4" fillId="0" borderId="50" xfId="7" applyNumberFormat="1" applyFont="1" applyFill="1" applyBorder="1" applyAlignment="1" applyProtection="1">
      <alignment horizontal="center" vertical="center"/>
      <protection locked="0"/>
    </xf>
    <xf numFmtId="171" fontId="2" fillId="0" borderId="0" xfId="0" applyNumberFormat="1" applyFont="1" applyFill="1" applyBorder="1" applyAlignment="1" applyProtection="1"/>
    <xf numFmtId="0" fontId="55" fillId="0" borderId="0" xfId="0" applyFont="1" applyBorder="1" applyAlignment="1">
      <alignment horizontal="center"/>
    </xf>
    <xf numFmtId="183" fontId="2" fillId="0" borderId="0" xfId="1" applyNumberFormat="1" applyFont="1" applyBorder="1"/>
    <xf numFmtId="183" fontId="55" fillId="0" borderId="0" xfId="1" applyNumberFormat="1" applyFont="1" applyBorder="1"/>
    <xf numFmtId="0" fontId="62" fillId="0" borderId="0" xfId="0" applyFont="1" applyAlignment="1">
      <alignment horizontal="center"/>
    </xf>
    <xf numFmtId="0" fontId="62" fillId="0" borderId="0" xfId="0" applyFont="1"/>
    <xf numFmtId="0" fontId="71" fillId="0" borderId="0" xfId="0" applyFont="1"/>
    <xf numFmtId="0" fontId="62" fillId="0" borderId="23" xfId="0" applyFont="1" applyBorder="1"/>
    <xf numFmtId="0" fontId="62" fillId="0" borderId="77" xfId="0" applyFont="1" applyBorder="1"/>
    <xf numFmtId="0" fontId="62" fillId="0" borderId="17" xfId="0" applyFont="1" applyBorder="1"/>
    <xf numFmtId="0" fontId="62" fillId="4" borderId="17" xfId="0" applyFont="1" applyFill="1" applyBorder="1"/>
    <xf numFmtId="0" fontId="62" fillId="4" borderId="18" xfId="0" applyFont="1" applyFill="1" applyBorder="1"/>
    <xf numFmtId="0" fontId="62" fillId="0" borderId="70" xfId="0" applyFont="1" applyBorder="1"/>
    <xf numFmtId="169" fontId="71" fillId="0" borderId="78" xfId="0" applyNumberFormat="1" applyFont="1" applyBorder="1"/>
    <xf numFmtId="169" fontId="71" fillId="0" borderId="3" xfId="0" applyNumberFormat="1" applyFont="1" applyBorder="1"/>
    <xf numFmtId="169" fontId="71" fillId="0" borderId="74" xfId="0" applyNumberFormat="1" applyFont="1" applyBorder="1"/>
    <xf numFmtId="169" fontId="71" fillId="4" borderId="74" xfId="0" applyNumberFormat="1" applyFont="1" applyFill="1" applyBorder="1"/>
    <xf numFmtId="169" fontId="71" fillId="0" borderId="79" xfId="0" applyNumberFormat="1" applyFont="1" applyBorder="1"/>
    <xf numFmtId="169" fontId="71" fillId="0" borderId="80" xfId="0" applyNumberFormat="1" applyFont="1" applyBorder="1"/>
    <xf numFmtId="169" fontId="71" fillId="4" borderId="10" xfId="0" applyNumberFormat="1" applyFont="1" applyFill="1" applyBorder="1"/>
    <xf numFmtId="169" fontId="71" fillId="0" borderId="81" xfId="0" applyNumberFormat="1" applyFont="1" applyBorder="1"/>
    <xf numFmtId="169" fontId="71" fillId="0" borderId="82" xfId="0" applyNumberFormat="1" applyFont="1" applyBorder="1"/>
    <xf numFmtId="169" fontId="71" fillId="0" borderId="76" xfId="0" applyNumberFormat="1" applyFont="1" applyBorder="1"/>
    <xf numFmtId="169" fontId="71" fillId="0" borderId="0" xfId="0" applyNumberFormat="1" applyFont="1"/>
    <xf numFmtId="169" fontId="71" fillId="4" borderId="3" xfId="0" applyNumberFormat="1" applyFont="1" applyFill="1" applyBorder="1"/>
    <xf numFmtId="169" fontId="71" fillId="0" borderId="83" xfId="0" applyNumberFormat="1" applyFont="1" applyBorder="1"/>
    <xf numFmtId="169" fontId="71" fillId="4" borderId="12" xfId="0" applyNumberFormat="1" applyFont="1" applyFill="1" applyBorder="1"/>
    <xf numFmtId="169" fontId="71" fillId="0" borderId="84" xfId="0" applyNumberFormat="1" applyFont="1" applyBorder="1"/>
    <xf numFmtId="169" fontId="71" fillId="0" borderId="85" xfId="0" applyNumberFormat="1" applyFont="1" applyBorder="1"/>
    <xf numFmtId="169" fontId="71" fillId="0" borderId="86" xfId="0" applyNumberFormat="1" applyFont="1" applyBorder="1"/>
    <xf numFmtId="169" fontId="71" fillId="0" borderId="87" xfId="0" applyNumberFormat="1" applyFont="1" applyBorder="1"/>
    <xf numFmtId="169" fontId="71" fillId="4" borderId="88" xfId="0" applyNumberFormat="1" applyFont="1" applyFill="1" applyBorder="1"/>
    <xf numFmtId="0" fontId="71" fillId="0" borderId="74" xfId="0" applyFont="1" applyBorder="1"/>
    <xf numFmtId="0" fontId="71" fillId="0" borderId="3" xfId="0" applyFont="1" applyBorder="1"/>
    <xf numFmtId="169" fontId="71" fillId="5" borderId="3" xfId="0" applyNumberFormat="1" applyFont="1" applyFill="1" applyBorder="1"/>
    <xf numFmtId="169" fontId="71" fillId="4" borderId="9" xfId="0" applyNumberFormat="1" applyFont="1" applyFill="1" applyBorder="1"/>
    <xf numFmtId="169" fontId="71" fillId="4" borderId="13" xfId="0" applyNumberFormat="1" applyFont="1" applyFill="1" applyBorder="1"/>
    <xf numFmtId="169" fontId="71" fillId="0" borderId="89" xfId="0" applyNumberFormat="1" applyFont="1" applyBorder="1"/>
    <xf numFmtId="0" fontId="62" fillId="0" borderId="90" xfId="0" applyFont="1" applyBorder="1"/>
    <xf numFmtId="169" fontId="71" fillId="4" borderId="91" xfId="0" applyNumberFormat="1" applyFont="1" applyFill="1" applyBorder="1"/>
    <xf numFmtId="41" fontId="72" fillId="0" borderId="3" xfId="0" applyNumberFormat="1" applyFont="1" applyBorder="1"/>
    <xf numFmtId="41" fontId="71" fillId="0" borderId="3" xfId="0" applyNumberFormat="1" applyFont="1" applyBorder="1"/>
    <xf numFmtId="0" fontId="71" fillId="0" borderId="92" xfId="0" applyFont="1" applyBorder="1"/>
    <xf numFmtId="0" fontId="71" fillId="0" borderId="93" xfId="0" applyFont="1" applyBorder="1"/>
    <xf numFmtId="0" fontId="71" fillId="0" borderId="94" xfId="0" applyFont="1" applyBorder="1"/>
    <xf numFmtId="41" fontId="71" fillId="0" borderId="95" xfId="0" applyNumberFormat="1" applyFont="1" applyBorder="1"/>
    <xf numFmtId="41" fontId="72" fillId="0" borderId="15" xfId="0" applyNumberFormat="1" applyFont="1" applyBorder="1"/>
    <xf numFmtId="41" fontId="72" fillId="0" borderId="15" xfId="0" applyNumberFormat="1" applyFont="1" applyBorder="1" applyAlignment="1">
      <alignment horizontal="right"/>
    </xf>
    <xf numFmtId="41" fontId="71" fillId="0" borderId="96" xfId="0" applyNumberFormat="1" applyFont="1" applyBorder="1"/>
    <xf numFmtId="3" fontId="11" fillId="0" borderId="0" xfId="5" applyNumberFormat="1" applyFill="1" applyBorder="1" applyAlignment="1" applyProtection="1"/>
    <xf numFmtId="0" fontId="60" fillId="0" borderId="0" xfId="0" applyFont="1"/>
    <xf numFmtId="0" fontId="0" fillId="0" borderId="97" xfId="0" applyBorder="1"/>
    <xf numFmtId="0" fontId="0" fillId="0" borderId="98" xfId="0" applyBorder="1"/>
    <xf numFmtId="0" fontId="0" fillId="0" borderId="99" xfId="0" applyBorder="1"/>
    <xf numFmtId="0" fontId="0" fillId="0" borderId="100" xfId="0" applyBorder="1"/>
    <xf numFmtId="0" fontId="0" fillId="0" borderId="101" xfId="0" applyBorder="1"/>
    <xf numFmtId="0" fontId="0" fillId="0" borderId="102" xfId="0" applyBorder="1"/>
    <xf numFmtId="41" fontId="51" fillId="0" borderId="103" xfId="0" applyNumberFormat="1" applyFont="1" applyBorder="1"/>
    <xf numFmtId="41" fontId="51" fillId="0" borderId="104" xfId="0" applyNumberFormat="1" applyFont="1" applyBorder="1"/>
    <xf numFmtId="0" fontId="0" fillId="0" borderId="105" xfId="0" applyBorder="1"/>
    <xf numFmtId="0" fontId="0" fillId="0" borderId="106" xfId="0" applyBorder="1"/>
    <xf numFmtId="41" fontId="51" fillId="0" borderId="107" xfId="0" applyNumberFormat="1" applyFont="1" applyBorder="1"/>
    <xf numFmtId="0" fontId="54" fillId="0" borderId="79" xfId="0" applyFont="1" applyBorder="1" applyAlignment="1">
      <alignment horizontal="center" wrapText="1"/>
    </xf>
    <xf numFmtId="0" fontId="0" fillId="0" borderId="108" xfId="0" applyBorder="1"/>
    <xf numFmtId="0" fontId="0" fillId="0" borderId="109" xfId="0" applyBorder="1"/>
    <xf numFmtId="0" fontId="54" fillId="0" borderId="81" xfId="0" applyFont="1" applyBorder="1" applyAlignment="1">
      <alignment horizontal="center" wrapText="1"/>
    </xf>
    <xf numFmtId="0" fontId="54" fillId="0" borderId="86" xfId="0" applyFont="1" applyBorder="1" applyAlignment="1">
      <alignment horizontal="center" wrapText="1"/>
    </xf>
    <xf numFmtId="0" fontId="0" fillId="0" borderId="85" xfId="0" applyBorder="1"/>
    <xf numFmtId="0" fontId="0" fillId="0" borderId="91" xfId="0" applyBorder="1"/>
    <xf numFmtId="169" fontId="54" fillId="0" borderId="95" xfId="0" applyNumberFormat="1" applyFont="1" applyBorder="1" applyAlignment="1">
      <alignment horizontal="right" wrapText="1"/>
    </xf>
    <xf numFmtId="169" fontId="54" fillId="0" borderId="76" xfId="0" applyNumberFormat="1" applyFont="1" applyBorder="1" applyAlignment="1">
      <alignment horizontal="right" wrapText="1"/>
    </xf>
    <xf numFmtId="169" fontId="54" fillId="0" borderId="30" xfId="0" applyNumberFormat="1" applyFont="1" applyBorder="1" applyAlignment="1">
      <alignment horizontal="right" wrapText="1"/>
    </xf>
    <xf numFmtId="0" fontId="73" fillId="0" borderId="0" xfId="0" applyFont="1" applyBorder="1"/>
    <xf numFmtId="0" fontId="4" fillId="0" borderId="0" xfId="0" applyFont="1" applyBorder="1"/>
    <xf numFmtId="0" fontId="4" fillId="0" borderId="0" xfId="0" applyFont="1" applyAlignment="1">
      <alignment horizontal="center"/>
    </xf>
    <xf numFmtId="0" fontId="4" fillId="0" borderId="0" xfId="0" applyNumberFormat="1" applyFont="1" applyFill="1" applyBorder="1" applyAlignment="1" applyProtection="1"/>
    <xf numFmtId="2" fontId="2" fillId="0" borderId="0" xfId="0" applyNumberFormat="1" applyFont="1" applyFill="1" applyBorder="1" applyAlignment="1" applyProtection="1"/>
    <xf numFmtId="196" fontId="4" fillId="0" borderId="59" xfId="7" applyNumberFormat="1" applyFont="1" applyFill="1" applyBorder="1" applyAlignment="1" applyProtection="1"/>
    <xf numFmtId="0" fontId="74" fillId="0" borderId="0" xfId="0" applyFont="1"/>
    <xf numFmtId="3" fontId="75" fillId="0" borderId="0" xfId="0" applyNumberFormat="1" applyFont="1"/>
    <xf numFmtId="171" fontId="1" fillId="0" borderId="3" xfId="0" applyNumberFormat="1" applyFont="1" applyFill="1" applyBorder="1"/>
    <xf numFmtId="196" fontId="4" fillId="0" borderId="69" xfId="7" applyNumberFormat="1" applyFont="1" applyFill="1" applyBorder="1" applyAlignment="1" applyProtection="1">
      <protection locked="0"/>
    </xf>
    <xf numFmtId="196" fontId="4" fillId="0" borderId="110" xfId="7" applyNumberFormat="1" applyFont="1" applyFill="1" applyBorder="1" applyAlignment="1" applyProtection="1">
      <protection locked="0"/>
    </xf>
    <xf numFmtId="196" fontId="4" fillId="0" borderId="110" xfId="7" applyNumberFormat="1" applyFont="1" applyFill="1" applyBorder="1" applyAlignment="1" applyProtection="1">
      <alignment wrapText="1"/>
      <protection locked="0"/>
    </xf>
    <xf numFmtId="196" fontId="2" fillId="0" borderId="44" xfId="7" applyNumberFormat="1" applyFont="1" applyFill="1" applyBorder="1" applyAlignment="1" applyProtection="1">
      <protection locked="0"/>
    </xf>
    <xf numFmtId="196" fontId="2" fillId="0" borderId="46" xfId="7" applyNumberFormat="1" applyFont="1" applyFill="1" applyBorder="1" applyAlignment="1" applyProtection="1">
      <protection locked="0"/>
    </xf>
    <xf numFmtId="196" fontId="2" fillId="0" borderId="47" xfId="7" applyNumberFormat="1" applyFont="1" applyFill="1" applyBorder="1" applyAlignment="1" applyProtection="1">
      <alignment wrapText="1"/>
      <protection locked="0"/>
    </xf>
    <xf numFmtId="196" fontId="2" fillId="0" borderId="48" xfId="7" applyNumberFormat="1" applyFont="1" applyFill="1" applyBorder="1" applyAlignment="1" applyProtection="1">
      <protection locked="0"/>
    </xf>
    <xf numFmtId="196" fontId="2" fillId="0" borderId="49" xfId="7" applyNumberFormat="1" applyFont="1" applyFill="1" applyBorder="1" applyAlignment="1" applyProtection="1">
      <protection locked="0"/>
    </xf>
    <xf numFmtId="196" fontId="2" fillId="0" borderId="50" xfId="7" applyNumberFormat="1" applyFont="1" applyFill="1" applyBorder="1" applyAlignment="1" applyProtection="1">
      <alignment horizontal="right"/>
    </xf>
    <xf numFmtId="171" fontId="19" fillId="0" borderId="0" xfId="0" applyNumberFormat="1" applyFont="1" applyFill="1" applyAlignment="1">
      <alignment horizontal="left" vertical="center"/>
    </xf>
    <xf numFmtId="0" fontId="71" fillId="0" borderId="3" xfId="0" applyFont="1" applyFill="1" applyBorder="1"/>
    <xf numFmtId="169" fontId="71" fillId="0" borderId="3" xfId="0" applyNumberFormat="1" applyFont="1" applyFill="1" applyBorder="1"/>
    <xf numFmtId="169" fontId="71" fillId="0" borderId="0" xfId="0" applyNumberFormat="1" applyFont="1" applyFill="1"/>
    <xf numFmtId="0" fontId="71" fillId="0" borderId="0" xfId="0" applyFont="1" applyFill="1"/>
    <xf numFmtId="0" fontId="71" fillId="0" borderId="31" xfId="0" applyFont="1" applyBorder="1"/>
    <xf numFmtId="41" fontId="72" fillId="0" borderId="75" xfId="0" applyNumberFormat="1" applyFont="1" applyBorder="1"/>
    <xf numFmtId="169" fontId="71" fillId="0" borderId="7" xfId="0" applyNumberFormat="1" applyFont="1" applyBorder="1"/>
    <xf numFmtId="169" fontId="71" fillId="0" borderId="14" xfId="0" applyNumberFormat="1" applyFont="1" applyBorder="1"/>
    <xf numFmtId="169" fontId="71" fillId="4" borderId="5" xfId="0" applyNumberFormat="1" applyFont="1" applyFill="1" applyBorder="1"/>
    <xf numFmtId="41" fontId="72" fillId="0" borderId="14" xfId="0" applyNumberFormat="1" applyFont="1" applyBorder="1"/>
    <xf numFmtId="169" fontId="71" fillId="0" borderId="111" xfId="0" applyNumberFormat="1" applyFont="1" applyBorder="1"/>
    <xf numFmtId="169" fontId="71" fillId="0" borderId="112" xfId="0" applyNumberFormat="1" applyFont="1" applyBorder="1"/>
    <xf numFmtId="169" fontId="71" fillId="0" borderId="113" xfId="0" applyNumberFormat="1" applyFont="1" applyBorder="1"/>
    <xf numFmtId="169" fontId="71" fillId="4" borderId="6" xfId="0" applyNumberFormat="1" applyFont="1" applyFill="1" applyBorder="1"/>
    <xf numFmtId="169" fontId="71" fillId="0" borderId="114" xfId="0" applyNumberFormat="1" applyFont="1" applyBorder="1"/>
    <xf numFmtId="0" fontId="71" fillId="0" borderId="16" xfId="0" applyFont="1" applyBorder="1"/>
    <xf numFmtId="169" fontId="71" fillId="0" borderId="17" xfId="0" applyNumberFormat="1" applyFont="1" applyBorder="1"/>
    <xf numFmtId="169" fontId="71" fillId="4" borderId="17" xfId="0" applyNumberFormat="1" applyFont="1" applyFill="1" applyBorder="1"/>
    <xf numFmtId="169" fontId="71" fillId="0" borderId="70" xfId="0" applyNumberFormat="1" applyFont="1" applyBorder="1"/>
    <xf numFmtId="0" fontId="71" fillId="0" borderId="16" xfId="0" applyFont="1" applyFill="1" applyBorder="1"/>
    <xf numFmtId="169" fontId="71" fillId="0" borderId="17" xfId="0" applyNumberFormat="1" applyFont="1" applyFill="1" applyBorder="1"/>
    <xf numFmtId="169" fontId="71" fillId="0" borderId="70" xfId="0" applyNumberFormat="1" applyFont="1" applyFill="1" applyBorder="1"/>
    <xf numFmtId="2" fontId="12" fillId="0" borderId="3" xfId="0" applyNumberFormat="1" applyFont="1" applyFill="1" applyBorder="1"/>
    <xf numFmtId="196" fontId="4" fillId="0" borderId="115" xfId="7" applyNumberFormat="1" applyFont="1" applyFill="1" applyBorder="1" applyAlignment="1">
      <alignment horizontal="left"/>
    </xf>
    <xf numFmtId="196" fontId="4" fillId="0" borderId="116" xfId="7" applyNumberFormat="1" applyFont="1" applyFill="1" applyBorder="1" applyAlignment="1">
      <alignment horizontal="left"/>
    </xf>
    <xf numFmtId="196" fontId="4" fillId="0" borderId="117" xfId="7" applyNumberFormat="1" applyFont="1" applyFill="1" applyBorder="1" applyAlignment="1">
      <alignment horizontal="left" vertical="top"/>
    </xf>
    <xf numFmtId="196" fontId="4" fillId="0" borderId="118" xfId="7" applyNumberFormat="1" applyFont="1" applyFill="1" applyBorder="1" applyAlignment="1">
      <alignment horizontal="left" vertical="top"/>
    </xf>
    <xf numFmtId="196" fontId="4" fillId="0" borderId="119" xfId="7" applyNumberFormat="1" applyFont="1" applyFill="1" applyBorder="1" applyAlignment="1">
      <alignment horizontal="left" vertical="top"/>
    </xf>
    <xf numFmtId="196" fontId="4" fillId="0" borderId="120" xfId="7" applyNumberFormat="1" applyFont="1" applyFill="1" applyBorder="1" applyAlignment="1">
      <alignment horizontal="left"/>
    </xf>
    <xf numFmtId="0" fontId="76" fillId="0" borderId="71" xfId="0" applyFont="1" applyBorder="1"/>
    <xf numFmtId="0" fontId="77" fillId="0" borderId="72" xfId="0" applyFont="1" applyBorder="1" applyAlignment="1">
      <alignment horizontal="center"/>
    </xf>
    <xf numFmtId="0" fontId="76" fillId="0" borderId="72" xfId="0" applyFont="1" applyBorder="1"/>
    <xf numFmtId="183" fontId="76" fillId="0" borderId="73" xfId="1" applyNumberFormat="1" applyFont="1" applyBorder="1"/>
    <xf numFmtId="183" fontId="77" fillId="0" borderId="73" xfId="1" applyNumberFormat="1" applyFont="1" applyBorder="1"/>
    <xf numFmtId="0" fontId="71" fillId="0" borderId="77" xfId="0" applyFont="1" applyBorder="1"/>
    <xf numFmtId="0" fontId="71" fillId="0" borderId="77" xfId="0" applyFont="1" applyFill="1" applyBorder="1"/>
    <xf numFmtId="41" fontId="71" fillId="0" borderId="77" xfId="0" applyNumberFormat="1" applyFont="1" applyFill="1" applyBorder="1"/>
    <xf numFmtId="41" fontId="71" fillId="0" borderId="0" xfId="0" applyNumberFormat="1" applyFont="1"/>
    <xf numFmtId="39" fontId="7" fillId="0" borderId="78" xfId="0" applyNumberFormat="1" applyFont="1" applyFill="1" applyBorder="1" applyAlignment="1">
      <alignment horizontal="center"/>
    </xf>
    <xf numFmtId="39" fontId="6" fillId="0" borderId="78" xfId="0" applyNumberFormat="1" applyFont="1" applyFill="1" applyBorder="1"/>
    <xf numFmtId="37" fontId="6" fillId="0" borderId="78" xfId="0" applyNumberFormat="1" applyFont="1" applyFill="1" applyBorder="1" applyAlignment="1">
      <alignment horizontal="center"/>
    </xf>
    <xf numFmtId="169" fontId="9" fillId="0" borderId="78" xfId="0" applyNumberFormat="1" applyFont="1" applyFill="1" applyBorder="1" applyAlignment="1">
      <alignment horizontal="right"/>
    </xf>
    <xf numFmtId="0" fontId="6" fillId="0" borderId="3" xfId="0" applyFont="1" applyBorder="1" applyAlignment="1">
      <alignment vertical="center"/>
    </xf>
    <xf numFmtId="39" fontId="6" fillId="0" borderId="14" xfId="0" applyNumberFormat="1" applyFont="1" applyFill="1" applyBorder="1"/>
    <xf numFmtId="182" fontId="16" fillId="0" borderId="14" xfId="0" applyNumberFormat="1" applyFont="1" applyFill="1" applyBorder="1" applyAlignment="1">
      <alignment horizontal="right" vertical="center"/>
    </xf>
    <xf numFmtId="0" fontId="6" fillId="0" borderId="74" xfId="0" applyFont="1" applyBorder="1" applyAlignment="1">
      <alignment vertical="center"/>
    </xf>
    <xf numFmtId="39" fontId="6" fillId="0" borderId="16" xfId="0" applyNumberFormat="1" applyFont="1" applyFill="1" applyBorder="1"/>
    <xf numFmtId="39" fontId="7" fillId="0" borderId="17" xfId="0" applyNumberFormat="1" applyFont="1" applyFill="1" applyBorder="1" applyAlignment="1">
      <alignment horizontal="center"/>
    </xf>
    <xf numFmtId="39" fontId="7" fillId="0" borderId="70" xfId="0" applyNumberFormat="1" applyFont="1" applyFill="1" applyBorder="1" applyAlignment="1">
      <alignment horizontal="center"/>
    </xf>
    <xf numFmtId="43" fontId="7" fillId="0" borderId="74" xfId="0" applyNumberFormat="1" applyFont="1" applyBorder="1" applyAlignment="1">
      <alignment horizontal="center" vertical="center"/>
    </xf>
    <xf numFmtId="43" fontId="7" fillId="0" borderId="3" xfId="0" applyNumberFormat="1" applyFont="1" applyBorder="1" applyAlignment="1">
      <alignment horizontal="center" vertical="center"/>
    </xf>
    <xf numFmtId="43" fontId="6" fillId="0" borderId="3" xfId="0" applyNumberFormat="1" applyFont="1" applyFill="1" applyBorder="1"/>
    <xf numFmtId="43" fontId="6" fillId="0" borderId="3" xfId="0" applyNumberFormat="1" applyFont="1" applyFill="1" applyBorder="1" applyAlignment="1">
      <alignment horizontal="center"/>
    </xf>
    <xf numFmtId="43" fontId="9" fillId="0" borderId="3" xfId="0" applyNumberFormat="1" applyFont="1" applyFill="1" applyBorder="1" applyAlignment="1">
      <alignment horizontal="right"/>
    </xf>
    <xf numFmtId="2" fontId="0" fillId="0" borderId="0" xfId="0" applyNumberFormat="1"/>
    <xf numFmtId="0" fontId="12" fillId="0" borderId="0" xfId="0" applyFont="1"/>
    <xf numFmtId="0" fontId="12" fillId="0" borderId="98" xfId="0" applyFont="1" applyBorder="1"/>
    <xf numFmtId="0" fontId="59" fillId="0" borderId="3" xfId="0" applyFont="1" applyBorder="1" applyAlignment="1">
      <alignment horizontal="center"/>
    </xf>
    <xf numFmtId="0" fontId="79" fillId="0" borderId="3" xfId="4" applyFont="1" applyFill="1" applyBorder="1" applyAlignment="1">
      <alignment horizontal="center"/>
    </xf>
    <xf numFmtId="0" fontId="0" fillId="0" borderId="121" xfId="0" applyBorder="1"/>
    <xf numFmtId="0" fontId="0" fillId="0" borderId="122" xfId="0" applyBorder="1"/>
    <xf numFmtId="3" fontId="0" fillId="0" borderId="123" xfId="0" applyNumberFormat="1" applyBorder="1"/>
    <xf numFmtId="0" fontId="0" fillId="0" borderId="124" xfId="0" applyBorder="1"/>
    <xf numFmtId="41" fontId="12" fillId="0" borderId="103" xfId="0" applyNumberFormat="1" applyFont="1" applyBorder="1"/>
    <xf numFmtId="0" fontId="0" fillId="0" borderId="125" xfId="0" applyBorder="1"/>
    <xf numFmtId="0" fontId="0" fillId="0" borderId="126" xfId="0" applyBorder="1"/>
    <xf numFmtId="0" fontId="0" fillId="0" borderId="127" xfId="0" applyBorder="1"/>
    <xf numFmtId="0" fontId="0" fillId="0" borderId="128" xfId="0" applyBorder="1"/>
    <xf numFmtId="3" fontId="0" fillId="0" borderId="106" xfId="0" applyNumberFormat="1" applyBorder="1"/>
    <xf numFmtId="0" fontId="0" fillId="0" borderId="129" xfId="0" applyBorder="1"/>
    <xf numFmtId="0" fontId="39" fillId="0" borderId="0" xfId="0" applyFont="1" applyBorder="1" applyAlignment="1">
      <alignment horizontal="center"/>
    </xf>
    <xf numFmtId="0" fontId="35" fillId="0" borderId="0" xfId="0" applyFont="1" applyBorder="1" applyAlignment="1">
      <alignment horizontal="center" wrapText="1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14" xfId="0" applyNumberFormat="1" applyFont="1" applyFill="1" applyBorder="1" applyAlignment="1" applyProtection="1">
      <alignment horizontal="center" vertical="center"/>
    </xf>
    <xf numFmtId="0" fontId="30" fillId="0" borderId="3" xfId="0" applyNumberFormat="1" applyFont="1" applyFill="1" applyBorder="1" applyAlignment="1" applyProtection="1">
      <alignment horizontal="center" vertical="center"/>
    </xf>
    <xf numFmtId="0" fontId="30" fillId="0" borderId="14" xfId="0" applyNumberFormat="1" applyFont="1" applyFill="1" applyBorder="1" applyAlignment="1" applyProtection="1">
      <alignment horizontal="center" vertical="center"/>
    </xf>
    <xf numFmtId="196" fontId="49" fillId="0" borderId="20" xfId="7" applyNumberFormat="1" applyFont="1" applyBorder="1" applyAlignment="1" applyProtection="1">
      <alignment horizontal="center" vertical="center" wrapText="1"/>
      <protection locked="0"/>
    </xf>
    <xf numFmtId="0" fontId="2" fillId="0" borderId="30" xfId="0" applyNumberFormat="1" applyFont="1" applyFill="1" applyBorder="1" applyAlignment="1" applyProtection="1"/>
    <xf numFmtId="196" fontId="4" fillId="0" borderId="0" xfId="7" applyNumberFormat="1" applyFont="1" applyFill="1" applyBorder="1" applyAlignment="1">
      <alignment horizontal="center" vertical="center"/>
    </xf>
    <xf numFmtId="0" fontId="51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32" fillId="0" borderId="14" xfId="0" applyFont="1" applyBorder="1" applyAlignment="1">
      <alignment horizontal="center" vertical="center"/>
    </xf>
    <xf numFmtId="0" fontId="32" fillId="0" borderId="74" xfId="0" applyFont="1" applyBorder="1" applyAlignment="1">
      <alignment horizontal="center" vertical="center"/>
    </xf>
    <xf numFmtId="0" fontId="59" fillId="0" borderId="14" xfId="0" applyFont="1" applyBorder="1" applyAlignment="1">
      <alignment horizontal="center" vertical="center"/>
    </xf>
    <xf numFmtId="0" fontId="59" fillId="0" borderId="74" xfId="0" applyFont="1" applyBorder="1" applyAlignment="1">
      <alignment horizontal="center" vertical="center"/>
    </xf>
    <xf numFmtId="0" fontId="62" fillId="0" borderId="0" xfId="0" applyFont="1" applyAlignment="1">
      <alignment horizontal="center"/>
    </xf>
  </cellXfs>
  <cellStyles count="9">
    <cellStyle name="Comma" xfId="1" builtinId="3"/>
    <cellStyle name="Comma_21.Aktivet Afatgjata Materiale  09" xfId="2"/>
    <cellStyle name="Comma_Levizja e Mjeteve Kryesore" xfId="3"/>
    <cellStyle name="Normal" xfId="0" builtinId="0"/>
    <cellStyle name="Normal 3" xfId="4"/>
    <cellStyle name="Normal_ardhshpe cact" xfId="5"/>
    <cellStyle name="Normal_bilanc cact" xfId="6"/>
    <cellStyle name="Normal_Documents C1 à C8 ENGLISH" xfId="7"/>
    <cellStyle name="Normal_Levizja e Mjeteve Kryesore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0"/>
  <sheetViews>
    <sheetView workbookViewId="0">
      <selection activeCell="N33" sqref="N33"/>
    </sheetView>
  </sheetViews>
  <sheetFormatPr defaultRowHeight="12.75" x14ac:dyDescent="0.2"/>
  <cols>
    <col min="1" max="1" width="3.7109375" style="25" customWidth="1"/>
    <col min="2" max="2" width="2.85546875" style="25" customWidth="1"/>
    <col min="3" max="4" width="9.140625" style="25"/>
    <col min="5" max="5" width="8" style="25" customWidth="1"/>
    <col min="6" max="6" width="2.140625" style="25" customWidth="1"/>
    <col min="7" max="7" width="17.42578125" style="25" customWidth="1"/>
    <col min="8" max="10" width="9.140625" style="25"/>
    <col min="11" max="11" width="16.85546875" style="25" customWidth="1"/>
    <col min="12" max="16384" width="9.140625" style="25"/>
  </cols>
  <sheetData>
    <row r="2" spans="1:11" ht="14.25" x14ac:dyDescent="0.2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</row>
    <row r="3" spans="1:11" ht="16.5" x14ac:dyDescent="0.3">
      <c r="A3" s="66"/>
      <c r="B3" s="67"/>
      <c r="C3" s="68"/>
      <c r="D3" s="68"/>
      <c r="E3" s="68"/>
      <c r="F3" s="68"/>
      <c r="G3" s="68"/>
      <c r="H3" s="68"/>
      <c r="I3" s="68"/>
      <c r="J3" s="68"/>
      <c r="K3" s="69"/>
    </row>
    <row r="4" spans="1:11" ht="16.5" x14ac:dyDescent="0.3">
      <c r="A4" s="66"/>
      <c r="B4" s="70"/>
      <c r="C4" s="71" t="s">
        <v>503</v>
      </c>
      <c r="D4" s="71"/>
      <c r="E4" s="71"/>
      <c r="F4" s="71"/>
      <c r="G4" s="83" t="s">
        <v>530</v>
      </c>
      <c r="H4" s="72"/>
      <c r="I4" s="72"/>
      <c r="J4" s="72"/>
      <c r="K4" s="73"/>
    </row>
    <row r="5" spans="1:11" ht="16.5" x14ac:dyDescent="0.3">
      <c r="A5" s="66"/>
      <c r="B5" s="70"/>
      <c r="C5" s="71" t="s">
        <v>504</v>
      </c>
      <c r="D5" s="71"/>
      <c r="E5" s="71"/>
      <c r="F5" s="71"/>
      <c r="G5" s="257" t="s">
        <v>531</v>
      </c>
      <c r="H5" s="72"/>
      <c r="I5" s="72"/>
      <c r="J5" s="72"/>
      <c r="K5" s="73"/>
    </row>
    <row r="6" spans="1:11" ht="16.5" x14ac:dyDescent="0.3">
      <c r="A6" s="66"/>
      <c r="B6" s="70"/>
      <c r="C6" s="71" t="s">
        <v>505</v>
      </c>
      <c r="D6" s="71"/>
      <c r="E6" s="71"/>
      <c r="F6" s="71"/>
      <c r="G6" s="83" t="s">
        <v>532</v>
      </c>
      <c r="H6" s="72"/>
      <c r="I6" s="72"/>
      <c r="J6" s="72"/>
      <c r="K6" s="73"/>
    </row>
    <row r="7" spans="1:11" ht="14.25" customHeight="1" x14ac:dyDescent="0.3">
      <c r="A7" s="66"/>
      <c r="B7" s="70"/>
      <c r="C7" s="71" t="s">
        <v>534</v>
      </c>
      <c r="D7" s="71"/>
      <c r="E7" s="71"/>
      <c r="F7" s="71"/>
      <c r="G7" s="83" t="s">
        <v>535</v>
      </c>
      <c r="H7" s="72"/>
      <c r="I7" s="72"/>
      <c r="J7" s="72"/>
      <c r="K7" s="73"/>
    </row>
    <row r="8" spans="1:11" ht="16.5" x14ac:dyDescent="0.3">
      <c r="A8" s="66"/>
      <c r="B8" s="70"/>
      <c r="C8" s="71" t="s">
        <v>506</v>
      </c>
      <c r="D8" s="71"/>
      <c r="E8" s="71"/>
      <c r="F8" s="71"/>
      <c r="G8" s="83" t="s">
        <v>545</v>
      </c>
      <c r="H8" s="72"/>
      <c r="I8" s="72"/>
      <c r="J8" s="72"/>
      <c r="K8" s="73"/>
    </row>
    <row r="9" spans="1:11" ht="16.5" x14ac:dyDescent="0.3">
      <c r="A9" s="66"/>
      <c r="B9" s="70"/>
      <c r="C9" s="72" t="s">
        <v>507</v>
      </c>
      <c r="D9" s="71"/>
      <c r="E9" s="71"/>
      <c r="F9" s="71"/>
      <c r="G9" s="83">
        <v>31117</v>
      </c>
      <c r="H9" s="72"/>
      <c r="I9" s="72"/>
      <c r="J9" s="72"/>
      <c r="K9" s="73"/>
    </row>
    <row r="10" spans="1:11" ht="16.5" x14ac:dyDescent="0.3">
      <c r="A10" s="66"/>
      <c r="B10" s="70"/>
      <c r="C10" s="71" t="s">
        <v>508</v>
      </c>
      <c r="D10" s="71"/>
      <c r="E10" s="71"/>
      <c r="F10" s="71"/>
      <c r="G10" s="258" t="s">
        <v>533</v>
      </c>
      <c r="H10" s="72"/>
      <c r="I10" s="72"/>
      <c r="J10" s="72"/>
      <c r="K10" s="73"/>
    </row>
    <row r="11" spans="1:11" ht="16.5" x14ac:dyDescent="0.3">
      <c r="A11" s="66"/>
      <c r="B11" s="70"/>
      <c r="C11" s="74"/>
      <c r="D11" s="74"/>
      <c r="E11" s="74"/>
      <c r="F11" s="74"/>
      <c r="G11" s="72"/>
      <c r="H11" s="72"/>
      <c r="I11" s="72"/>
      <c r="J11" s="72"/>
      <c r="K11" s="65"/>
    </row>
    <row r="12" spans="1:11" ht="18.75" x14ac:dyDescent="0.3">
      <c r="A12" s="66"/>
      <c r="B12" s="70"/>
      <c r="C12" s="75"/>
      <c r="D12" s="74"/>
      <c r="E12" s="74"/>
      <c r="F12" s="76"/>
      <c r="G12" s="75"/>
      <c r="H12" s="72"/>
      <c r="I12" s="72"/>
      <c r="J12" s="72"/>
      <c r="K12" s="65"/>
    </row>
    <row r="13" spans="1:11" ht="16.5" x14ac:dyDescent="0.3">
      <c r="A13" s="66"/>
      <c r="B13" s="77"/>
      <c r="C13" s="75"/>
      <c r="D13" s="74"/>
      <c r="E13" s="74"/>
      <c r="F13" s="74"/>
      <c r="G13" s="74"/>
      <c r="H13" s="74"/>
      <c r="I13" s="74"/>
      <c r="J13" s="74"/>
      <c r="K13" s="65"/>
    </row>
    <row r="14" spans="1:11" ht="16.5" x14ac:dyDescent="0.3">
      <c r="A14" s="66"/>
      <c r="B14" s="70"/>
      <c r="C14" s="74"/>
      <c r="D14" s="74"/>
      <c r="E14" s="74"/>
      <c r="F14" s="74"/>
      <c r="G14" s="74"/>
      <c r="H14" s="74"/>
      <c r="I14" s="74"/>
      <c r="J14" s="74"/>
      <c r="K14" s="65"/>
    </row>
    <row r="15" spans="1:11" ht="16.5" x14ac:dyDescent="0.3">
      <c r="A15" s="66"/>
      <c r="B15" s="70"/>
      <c r="C15" s="74"/>
      <c r="D15" s="74"/>
      <c r="E15" s="74"/>
      <c r="F15" s="74"/>
      <c r="G15" s="74"/>
      <c r="H15" s="74"/>
      <c r="I15" s="74"/>
      <c r="J15" s="74"/>
      <c r="K15" s="65"/>
    </row>
    <row r="16" spans="1:11" ht="16.5" x14ac:dyDescent="0.3">
      <c r="A16" s="66"/>
      <c r="B16" s="70"/>
      <c r="C16" s="74"/>
      <c r="D16" s="74"/>
      <c r="E16" s="74"/>
      <c r="F16" s="74"/>
      <c r="G16" s="74"/>
      <c r="H16" s="74"/>
      <c r="I16" s="74"/>
      <c r="J16" s="74"/>
      <c r="K16" s="65"/>
    </row>
    <row r="17" spans="1:11" ht="25.5" x14ac:dyDescent="0.35">
      <c r="A17" s="66"/>
      <c r="B17" s="70"/>
      <c r="C17" s="535" t="s">
        <v>509</v>
      </c>
      <c r="D17" s="535"/>
      <c r="E17" s="535"/>
      <c r="F17" s="535"/>
      <c r="G17" s="535"/>
      <c r="H17" s="535"/>
      <c r="I17" s="535"/>
      <c r="J17" s="535"/>
      <c r="K17" s="65"/>
    </row>
    <row r="18" spans="1:11" ht="16.5" x14ac:dyDescent="0.3">
      <c r="A18" s="66"/>
      <c r="B18" s="70"/>
      <c r="C18" s="536" t="s">
        <v>517</v>
      </c>
      <c r="D18" s="536"/>
      <c r="E18" s="536"/>
      <c r="F18" s="536"/>
      <c r="G18" s="536"/>
      <c r="H18" s="536"/>
      <c r="I18" s="536"/>
      <c r="J18" s="536"/>
      <c r="K18" s="65"/>
    </row>
    <row r="19" spans="1:11" ht="16.5" x14ac:dyDescent="0.3">
      <c r="A19" s="66"/>
      <c r="B19" s="70"/>
      <c r="C19" s="74" t="s">
        <v>516</v>
      </c>
      <c r="D19" s="74"/>
      <c r="E19" s="74"/>
      <c r="F19" s="74"/>
      <c r="G19" s="74"/>
      <c r="H19" s="74"/>
      <c r="I19" s="74"/>
      <c r="J19" s="74"/>
      <c r="K19" s="65"/>
    </row>
    <row r="20" spans="1:11" ht="16.5" x14ac:dyDescent="0.3">
      <c r="A20" s="66"/>
      <c r="B20" s="70"/>
      <c r="C20" s="75"/>
      <c r="D20" s="74"/>
      <c r="E20" s="74"/>
      <c r="F20" s="74"/>
      <c r="G20" s="75"/>
      <c r="H20" s="74"/>
      <c r="I20" s="74"/>
      <c r="J20" s="74"/>
      <c r="K20" s="65"/>
    </row>
    <row r="21" spans="1:11" ht="27" x14ac:dyDescent="0.35">
      <c r="A21" s="66"/>
      <c r="B21" s="70"/>
      <c r="C21" s="74"/>
      <c r="D21" s="74"/>
      <c r="E21" s="74"/>
      <c r="F21" s="78" t="s">
        <v>708</v>
      </c>
      <c r="G21" s="74"/>
      <c r="H21" s="74"/>
      <c r="I21" s="74"/>
      <c r="J21" s="74"/>
      <c r="K21" s="65"/>
    </row>
    <row r="22" spans="1:11" ht="16.5" x14ac:dyDescent="0.3">
      <c r="A22" s="66"/>
      <c r="B22" s="70"/>
      <c r="C22" s="74"/>
      <c r="D22" s="74"/>
      <c r="E22" s="74"/>
      <c r="F22" s="74"/>
      <c r="G22" s="74"/>
      <c r="H22" s="74"/>
      <c r="I22" s="74"/>
      <c r="J22" s="74"/>
      <c r="K22" s="65"/>
    </row>
    <row r="23" spans="1:11" ht="16.5" x14ac:dyDescent="0.3">
      <c r="A23" s="66"/>
      <c r="B23" s="70"/>
      <c r="C23" s="74"/>
      <c r="D23" s="74"/>
      <c r="E23" s="74"/>
      <c r="F23" s="74"/>
      <c r="G23" s="74"/>
      <c r="H23" s="74"/>
      <c r="I23" s="74"/>
      <c r="J23" s="74"/>
      <c r="K23" s="65"/>
    </row>
    <row r="24" spans="1:11" ht="16.5" x14ac:dyDescent="0.3">
      <c r="A24" s="66"/>
      <c r="B24" s="70"/>
      <c r="C24" s="74"/>
      <c r="D24" s="74"/>
      <c r="E24" s="74"/>
      <c r="F24" s="74"/>
      <c r="G24" s="74"/>
      <c r="H24" s="74"/>
      <c r="I24" s="74"/>
      <c r="J24" s="74"/>
      <c r="K24" s="65"/>
    </row>
    <row r="25" spans="1:11" ht="16.5" x14ac:dyDescent="0.3">
      <c r="A25" s="66"/>
      <c r="B25" s="70"/>
      <c r="C25" s="74"/>
      <c r="D25" s="74"/>
      <c r="E25" s="74"/>
      <c r="F25" s="74"/>
      <c r="G25" s="74"/>
      <c r="H25" s="74"/>
      <c r="I25" s="74"/>
      <c r="J25" s="74"/>
      <c r="K25" s="65"/>
    </row>
    <row r="26" spans="1:11" ht="16.5" x14ac:dyDescent="0.3">
      <c r="A26" s="66"/>
      <c r="B26" s="70"/>
      <c r="C26" s="74"/>
      <c r="D26" s="75"/>
      <c r="E26" s="75"/>
      <c r="F26" s="75"/>
      <c r="G26" s="75"/>
      <c r="H26" s="75"/>
      <c r="I26" s="75"/>
      <c r="J26" s="75"/>
      <c r="K26" s="65"/>
    </row>
    <row r="27" spans="1:11" ht="16.5" x14ac:dyDescent="0.3">
      <c r="A27" s="66"/>
      <c r="B27" s="70"/>
      <c r="C27" s="74"/>
      <c r="D27" s="75"/>
      <c r="E27" s="75"/>
      <c r="F27" s="75"/>
      <c r="G27" s="75"/>
      <c r="H27" s="75"/>
      <c r="I27" s="75"/>
      <c r="J27" s="75"/>
      <c r="K27" s="65"/>
    </row>
    <row r="28" spans="1:11" ht="16.5" x14ac:dyDescent="0.3">
      <c r="A28" s="66"/>
      <c r="B28" s="70"/>
      <c r="C28" s="74"/>
      <c r="D28" s="75"/>
      <c r="E28" s="75"/>
      <c r="F28" s="75"/>
      <c r="G28" s="75"/>
      <c r="H28" s="75"/>
      <c r="I28" s="75"/>
      <c r="J28" s="75"/>
      <c r="K28" s="65"/>
    </row>
    <row r="29" spans="1:11" ht="16.5" x14ac:dyDescent="0.3">
      <c r="A29" s="66"/>
      <c r="B29" s="70"/>
      <c r="C29" s="74"/>
      <c r="D29" s="75"/>
      <c r="E29" s="75"/>
      <c r="F29" s="75"/>
      <c r="G29" s="75"/>
      <c r="H29" s="75"/>
      <c r="I29" s="75"/>
      <c r="J29" s="75"/>
      <c r="K29" s="65"/>
    </row>
    <row r="30" spans="1:11" ht="16.5" x14ac:dyDescent="0.3">
      <c r="A30" s="66"/>
      <c r="B30" s="70"/>
      <c r="D30" s="74" t="s">
        <v>510</v>
      </c>
      <c r="E30" s="75"/>
      <c r="F30" s="75"/>
      <c r="G30" s="75"/>
      <c r="H30" s="75"/>
      <c r="I30" s="75"/>
      <c r="J30" s="75"/>
      <c r="K30" s="65"/>
    </row>
    <row r="31" spans="1:11" ht="16.5" x14ac:dyDescent="0.3">
      <c r="A31" s="66"/>
      <c r="B31" s="70"/>
      <c r="D31" s="74"/>
      <c r="E31" s="75"/>
      <c r="F31" s="75"/>
      <c r="G31" s="75"/>
      <c r="H31" s="75"/>
      <c r="I31" s="75"/>
      <c r="J31" s="75"/>
      <c r="K31" s="65"/>
    </row>
    <row r="32" spans="1:11" ht="16.5" x14ac:dyDescent="0.3">
      <c r="A32" s="66"/>
      <c r="B32" s="70"/>
      <c r="D32" s="74" t="s">
        <v>511</v>
      </c>
      <c r="E32" s="75"/>
      <c r="F32" s="75"/>
      <c r="G32" s="75"/>
      <c r="H32" s="75" t="s">
        <v>512</v>
      </c>
      <c r="I32" s="75"/>
      <c r="J32" s="75"/>
      <c r="K32" s="65"/>
    </row>
    <row r="33" spans="1:11" ht="16.5" x14ac:dyDescent="0.3">
      <c r="A33" s="66"/>
      <c r="B33" s="70"/>
      <c r="D33" s="74"/>
      <c r="E33" s="75"/>
      <c r="F33" s="75"/>
      <c r="G33" s="75"/>
      <c r="H33" s="75"/>
      <c r="I33" s="75"/>
      <c r="J33" s="75"/>
      <c r="K33" s="65"/>
    </row>
    <row r="34" spans="1:11" ht="16.5" x14ac:dyDescent="0.3">
      <c r="A34" s="66"/>
      <c r="B34" s="70"/>
      <c r="D34" s="74" t="s">
        <v>513</v>
      </c>
      <c r="E34" s="75"/>
      <c r="F34" s="75"/>
      <c r="G34" s="75"/>
      <c r="H34" s="75" t="s">
        <v>709</v>
      </c>
      <c r="I34" s="75"/>
      <c r="J34" s="75"/>
      <c r="K34" s="65"/>
    </row>
    <row r="35" spans="1:11" ht="16.5" x14ac:dyDescent="0.3">
      <c r="A35" s="66"/>
      <c r="B35" s="70"/>
      <c r="D35" s="74"/>
      <c r="E35" s="75"/>
      <c r="F35" s="75"/>
      <c r="G35" s="75"/>
      <c r="H35" s="75"/>
      <c r="I35" s="75"/>
      <c r="J35" s="75"/>
      <c r="K35" s="65"/>
    </row>
    <row r="36" spans="1:11" ht="16.5" x14ac:dyDescent="0.3">
      <c r="A36" s="66"/>
      <c r="B36" s="70"/>
      <c r="D36" s="74" t="s">
        <v>514</v>
      </c>
      <c r="E36" s="75"/>
      <c r="F36" s="75"/>
      <c r="G36" s="75"/>
      <c r="H36" s="75" t="s">
        <v>710</v>
      </c>
      <c r="I36" s="75"/>
      <c r="J36" s="75"/>
      <c r="K36" s="65"/>
    </row>
    <row r="37" spans="1:11" ht="16.5" x14ac:dyDescent="0.3">
      <c r="A37" s="66"/>
      <c r="B37" s="70"/>
      <c r="C37" s="74"/>
      <c r="D37" s="75"/>
      <c r="E37" s="75"/>
      <c r="F37" s="75"/>
      <c r="G37" s="75"/>
      <c r="H37" s="75"/>
      <c r="I37" s="75"/>
      <c r="J37" s="75"/>
      <c r="K37" s="65"/>
    </row>
    <row r="38" spans="1:11" ht="16.5" x14ac:dyDescent="0.3">
      <c r="A38" s="66"/>
      <c r="B38" s="70"/>
      <c r="C38" s="74"/>
      <c r="D38" s="74"/>
      <c r="E38" s="74"/>
      <c r="F38" s="74"/>
      <c r="G38" s="446">
        <v>1</v>
      </c>
      <c r="H38" s="74"/>
      <c r="I38" s="74"/>
      <c r="J38" s="74"/>
      <c r="K38" s="65"/>
    </row>
    <row r="39" spans="1:11" ht="16.5" x14ac:dyDescent="0.3">
      <c r="A39" s="66"/>
      <c r="B39" s="79"/>
      <c r="C39" s="80"/>
      <c r="D39" s="80"/>
      <c r="E39" s="80"/>
      <c r="F39" s="80"/>
      <c r="G39" s="80"/>
      <c r="H39" s="80"/>
      <c r="I39" s="80"/>
      <c r="J39" s="80"/>
      <c r="K39" s="81"/>
    </row>
    <row r="40" spans="1:11" ht="16.5" x14ac:dyDescent="0.3">
      <c r="A40" s="66"/>
      <c r="B40" s="82"/>
      <c r="C40" s="82"/>
      <c r="D40" s="82"/>
      <c r="E40" s="82"/>
      <c r="F40" s="82"/>
      <c r="G40" s="82"/>
      <c r="H40" s="82"/>
      <c r="I40" s="82"/>
      <c r="J40" s="82"/>
      <c r="K40" s="82"/>
    </row>
  </sheetData>
  <mergeCells count="2">
    <mergeCell ref="C17:J17"/>
    <mergeCell ref="C18:J18"/>
  </mergeCells>
  <phoneticPr fontId="3" type="noConversion"/>
  <pageMargins left="0.25" right="0.35" top="1" bottom="1" header="0.5" footer="0.5"/>
  <pageSetup scale="99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opLeftCell="A22" workbookViewId="0">
      <selection activeCell="N33" sqref="N33"/>
    </sheetView>
  </sheetViews>
  <sheetFormatPr defaultRowHeight="12.75" x14ac:dyDescent="0.2"/>
  <cols>
    <col min="1" max="1" width="5.140625" customWidth="1"/>
    <col min="2" max="2" width="21.140625" customWidth="1"/>
    <col min="3" max="3" width="9.42578125" customWidth="1"/>
    <col min="4" max="4" width="11.5703125" customWidth="1"/>
    <col min="5" max="5" width="11" customWidth="1"/>
    <col min="6" max="6" width="12" customWidth="1"/>
    <col min="7" max="7" width="13.42578125" customWidth="1"/>
    <col min="9" max="10" width="10.140625" bestFit="1" customWidth="1"/>
    <col min="13" max="13" width="12.28515625" customWidth="1"/>
  </cols>
  <sheetData>
    <row r="1" spans="1:9" ht="18" x14ac:dyDescent="0.25">
      <c r="B1" s="267" t="s">
        <v>550</v>
      </c>
    </row>
    <row r="2" spans="1:9" ht="18" x14ac:dyDescent="0.25">
      <c r="B2" s="267" t="s">
        <v>551</v>
      </c>
    </row>
    <row r="3" spans="1:9" x14ac:dyDescent="0.2">
      <c r="B3" s="295"/>
    </row>
    <row r="4" spans="1:9" ht="15.75" x14ac:dyDescent="0.25">
      <c r="B4" s="545" t="s">
        <v>725</v>
      </c>
      <c r="C4" s="545"/>
      <c r="D4" s="545"/>
      <c r="E4" s="545"/>
      <c r="F4" s="545"/>
      <c r="G4" s="545"/>
    </row>
    <row r="6" spans="1:9" x14ac:dyDescent="0.2">
      <c r="A6" s="546" t="s">
        <v>159</v>
      </c>
      <c r="B6" s="548" t="s">
        <v>581</v>
      </c>
      <c r="C6" s="546" t="s">
        <v>556</v>
      </c>
      <c r="D6" s="296" t="s">
        <v>582</v>
      </c>
      <c r="E6" s="546" t="s">
        <v>583</v>
      </c>
      <c r="F6" s="546" t="s">
        <v>584</v>
      </c>
      <c r="G6" s="296" t="s">
        <v>582</v>
      </c>
    </row>
    <row r="7" spans="1:9" x14ac:dyDescent="0.2">
      <c r="A7" s="547"/>
      <c r="B7" s="549"/>
      <c r="C7" s="547"/>
      <c r="D7" s="297">
        <v>43466</v>
      </c>
      <c r="E7" s="547"/>
      <c r="F7" s="547"/>
      <c r="G7" s="297">
        <v>43830</v>
      </c>
      <c r="H7" s="298"/>
      <c r="I7" s="298"/>
    </row>
    <row r="8" spans="1:9" x14ac:dyDescent="0.2">
      <c r="A8" s="299">
        <v>1</v>
      </c>
      <c r="B8" s="280" t="s">
        <v>460</v>
      </c>
      <c r="C8" s="299"/>
      <c r="D8" s="300"/>
      <c r="E8" s="300"/>
      <c r="F8" s="300"/>
      <c r="G8" s="300">
        <f t="shared" ref="G8:G16" si="0">D8+E8-F8</f>
        <v>0</v>
      </c>
      <c r="H8" s="298"/>
      <c r="I8" s="298"/>
    </row>
    <row r="9" spans="1:9" x14ac:dyDescent="0.2">
      <c r="A9" s="299">
        <v>2</v>
      </c>
      <c r="B9" s="280" t="s">
        <v>585</v>
      </c>
      <c r="C9" s="299"/>
      <c r="D9" s="300"/>
      <c r="E9" s="300"/>
      <c r="F9" s="300"/>
      <c r="G9" s="300">
        <f t="shared" si="0"/>
        <v>0</v>
      </c>
      <c r="H9" s="301"/>
      <c r="I9" s="302"/>
    </row>
    <row r="10" spans="1:9" x14ac:dyDescent="0.2">
      <c r="A10" s="299">
        <v>3</v>
      </c>
      <c r="B10" s="303" t="s">
        <v>586</v>
      </c>
      <c r="C10" s="299"/>
      <c r="D10" s="300">
        <f>+'Aq&amp;AM'!H14</f>
        <v>0</v>
      </c>
      <c r="E10" s="300">
        <v>0</v>
      </c>
      <c r="F10" s="300">
        <f>+'Aq&amp;AM'!H18</f>
        <v>0</v>
      </c>
      <c r="G10" s="300">
        <f t="shared" si="0"/>
        <v>0</v>
      </c>
      <c r="H10" s="301"/>
      <c r="I10" s="302"/>
    </row>
    <row r="11" spans="1:9" x14ac:dyDescent="0.2">
      <c r="A11" s="299">
        <v>4</v>
      </c>
      <c r="B11" s="303" t="s">
        <v>587</v>
      </c>
      <c r="C11" s="299"/>
      <c r="D11" s="300">
        <f>+'Aq&amp;AM'!I13</f>
        <v>0</v>
      </c>
      <c r="E11" s="300">
        <f>+'Aq&amp;AM'!I17</f>
        <v>3702600</v>
      </c>
      <c r="F11" s="300">
        <f>+'Aq&amp;AM'!I18</f>
        <v>0</v>
      </c>
      <c r="G11" s="300">
        <f t="shared" si="0"/>
        <v>3702600</v>
      </c>
      <c r="H11" s="301"/>
      <c r="I11" s="302"/>
    </row>
    <row r="12" spans="1:9" x14ac:dyDescent="0.2">
      <c r="A12" s="299">
        <v>5</v>
      </c>
      <c r="B12" s="303" t="s">
        <v>588</v>
      </c>
      <c r="C12" s="299"/>
      <c r="D12" s="300">
        <f>+'Aq&amp;AM'!J13</f>
        <v>3421661</v>
      </c>
      <c r="E12" s="300">
        <f>+'Aq&amp;AM'!J17</f>
        <v>0</v>
      </c>
      <c r="F12" s="300">
        <f>+'Aq&amp;AM'!H20</f>
        <v>0</v>
      </c>
      <c r="G12" s="300">
        <f t="shared" si="0"/>
        <v>3421661</v>
      </c>
      <c r="H12" s="301"/>
      <c r="I12" s="302"/>
    </row>
    <row r="13" spans="1:9" x14ac:dyDescent="0.2">
      <c r="A13" s="299">
        <v>1</v>
      </c>
      <c r="B13" s="303"/>
      <c r="C13" s="299"/>
      <c r="D13" s="300"/>
      <c r="E13" s="300"/>
      <c r="F13" s="300"/>
      <c r="G13" s="300">
        <f t="shared" si="0"/>
        <v>0</v>
      </c>
      <c r="H13" s="301"/>
      <c r="I13" s="302"/>
    </row>
    <row r="14" spans="1:9" x14ac:dyDescent="0.2">
      <c r="A14" s="299">
        <v>2</v>
      </c>
      <c r="B14" s="271"/>
      <c r="C14" s="299"/>
      <c r="D14" s="300"/>
      <c r="E14" s="300"/>
      <c r="F14" s="300"/>
      <c r="G14" s="300">
        <f t="shared" si="0"/>
        <v>0</v>
      </c>
      <c r="H14" s="298"/>
      <c r="I14" s="298"/>
    </row>
    <row r="15" spans="1:9" x14ac:dyDescent="0.2">
      <c r="A15" s="299">
        <v>3</v>
      </c>
      <c r="B15" s="271"/>
      <c r="C15" s="299"/>
      <c r="D15" s="300"/>
      <c r="E15" s="300"/>
      <c r="F15" s="300"/>
      <c r="G15" s="300">
        <f t="shared" si="0"/>
        <v>0</v>
      </c>
      <c r="H15" s="298"/>
      <c r="I15" s="298"/>
    </row>
    <row r="16" spans="1:9" ht="13.5" thickBot="1" x14ac:dyDescent="0.25">
      <c r="A16" s="304">
        <v>4</v>
      </c>
      <c r="B16" s="305"/>
      <c r="C16" s="304"/>
      <c r="D16" s="306"/>
      <c r="E16" s="306"/>
      <c r="F16" s="306"/>
      <c r="G16" s="306">
        <f t="shared" si="0"/>
        <v>0</v>
      </c>
      <c r="H16" s="298"/>
      <c r="I16" s="298"/>
    </row>
    <row r="17" spans="1:9" ht="13.5" thickBot="1" x14ac:dyDescent="0.25">
      <c r="A17" s="307"/>
      <c r="B17" s="308" t="s">
        <v>589</v>
      </c>
      <c r="C17" s="309"/>
      <c r="D17" s="310">
        <f>SUM(D8:D16)</f>
        <v>3421661</v>
      </c>
      <c r="E17" s="310">
        <f>SUM(E8:E16)</f>
        <v>3702600</v>
      </c>
      <c r="F17" s="310">
        <f>SUM(F8:F16)</f>
        <v>0</v>
      </c>
      <c r="G17" s="311">
        <f>SUM(G8:G16)</f>
        <v>7124261</v>
      </c>
      <c r="I17" s="312"/>
    </row>
    <row r="20" spans="1:9" ht="15.75" x14ac:dyDescent="0.25">
      <c r="B20" s="545" t="s">
        <v>726</v>
      </c>
      <c r="C20" s="545"/>
      <c r="D20" s="545"/>
      <c r="E20" s="545"/>
      <c r="F20" s="545"/>
      <c r="G20" s="545"/>
      <c r="I20" s="312"/>
    </row>
    <row r="22" spans="1:9" x14ac:dyDescent="0.2">
      <c r="A22" s="546" t="s">
        <v>159</v>
      </c>
      <c r="B22" s="548" t="s">
        <v>581</v>
      </c>
      <c r="C22" s="546" t="s">
        <v>556</v>
      </c>
      <c r="D22" s="296" t="s">
        <v>582</v>
      </c>
      <c r="E22" s="546" t="s">
        <v>583</v>
      </c>
      <c r="F22" s="546" t="s">
        <v>584</v>
      </c>
      <c r="G22" s="296" t="s">
        <v>582</v>
      </c>
    </row>
    <row r="23" spans="1:9" x14ac:dyDescent="0.2">
      <c r="A23" s="547"/>
      <c r="B23" s="549"/>
      <c r="C23" s="547"/>
      <c r="D23" s="297">
        <f>+D7</f>
        <v>43466</v>
      </c>
      <c r="E23" s="547"/>
      <c r="F23" s="547"/>
      <c r="G23" s="297">
        <f>+G7</f>
        <v>43830</v>
      </c>
    </row>
    <row r="24" spans="1:9" x14ac:dyDescent="0.2">
      <c r="A24" s="299">
        <v>1</v>
      </c>
      <c r="B24" s="280" t="s">
        <v>460</v>
      </c>
      <c r="C24" s="299"/>
      <c r="D24" s="300">
        <v>0</v>
      </c>
      <c r="E24" s="300">
        <v>0</v>
      </c>
      <c r="F24" s="300"/>
      <c r="G24" s="300">
        <f>D24+E24</f>
        <v>0</v>
      </c>
    </row>
    <row r="25" spans="1:9" x14ac:dyDescent="0.2">
      <c r="A25" s="299">
        <v>2</v>
      </c>
      <c r="B25" s="280" t="s">
        <v>585</v>
      </c>
      <c r="C25" s="299"/>
      <c r="D25" s="300"/>
      <c r="E25" s="300"/>
      <c r="F25" s="300"/>
      <c r="G25" s="300">
        <f>D25+E25</f>
        <v>0</v>
      </c>
    </row>
    <row r="26" spans="1:9" x14ac:dyDescent="0.2">
      <c r="A26" s="299">
        <v>3</v>
      </c>
      <c r="B26" s="303" t="s">
        <v>590</v>
      </c>
      <c r="C26" s="299"/>
      <c r="D26" s="300">
        <f>+'Aq&amp;AM'!H14</f>
        <v>0</v>
      </c>
      <c r="E26" s="313">
        <f>+'Aq&amp;AM'!H22</f>
        <v>0</v>
      </c>
      <c r="F26" s="300"/>
      <c r="G26" s="300">
        <f>D26+E26-F26</f>
        <v>0</v>
      </c>
    </row>
    <row r="27" spans="1:9" x14ac:dyDescent="0.2">
      <c r="A27" s="299">
        <v>4</v>
      </c>
      <c r="B27" s="303" t="s">
        <v>587</v>
      </c>
      <c r="C27" s="299"/>
      <c r="D27" s="300">
        <f>+'Aq&amp;AM'!I14</f>
        <v>0</v>
      </c>
      <c r="E27" s="313">
        <f>+'Aq&amp;AM'!I22</f>
        <v>509107</v>
      </c>
      <c r="F27" s="300">
        <f>+'Aq&amp;AM'!I24</f>
        <v>0</v>
      </c>
      <c r="G27" s="300">
        <f>D27+E27</f>
        <v>509107</v>
      </c>
    </row>
    <row r="28" spans="1:9" x14ac:dyDescent="0.2">
      <c r="A28" s="299">
        <v>5</v>
      </c>
      <c r="B28" s="303" t="s">
        <v>588</v>
      </c>
      <c r="C28" s="299"/>
      <c r="D28" s="300">
        <f>+'Aq&amp;AM'!J14</f>
        <v>2837088</v>
      </c>
      <c r="E28" s="313">
        <f>+'Aq&amp;AM'!J22</f>
        <v>116915</v>
      </c>
      <c r="F28" s="300"/>
      <c r="G28" s="300">
        <f>D28+E28</f>
        <v>2954003</v>
      </c>
    </row>
    <row r="29" spans="1:9" x14ac:dyDescent="0.2">
      <c r="A29" s="299">
        <v>1</v>
      </c>
      <c r="B29" s="303"/>
      <c r="C29" s="299"/>
      <c r="D29" s="300"/>
      <c r="E29" s="300"/>
      <c r="F29" s="300"/>
      <c r="G29" s="300"/>
    </row>
    <row r="30" spans="1:9" x14ac:dyDescent="0.2">
      <c r="A30" s="299">
        <v>2</v>
      </c>
      <c r="B30" s="271"/>
      <c r="C30" s="299"/>
      <c r="D30" s="300"/>
      <c r="E30" s="300"/>
      <c r="F30" s="300"/>
      <c r="G30" s="300">
        <f>D30+E30-F30</f>
        <v>0</v>
      </c>
    </row>
    <row r="31" spans="1:9" x14ac:dyDescent="0.2">
      <c r="A31" s="299">
        <v>3</v>
      </c>
      <c r="B31" s="271"/>
      <c r="C31" s="299"/>
      <c r="D31" s="300"/>
      <c r="E31" s="300"/>
      <c r="F31" s="300"/>
      <c r="G31" s="300">
        <f>D31+E31-F31</f>
        <v>0</v>
      </c>
    </row>
    <row r="32" spans="1:9" ht="13.5" thickBot="1" x14ac:dyDescent="0.25">
      <c r="A32" s="304">
        <v>4</v>
      </c>
      <c r="B32" s="305"/>
      <c r="C32" s="304"/>
      <c r="D32" s="306"/>
      <c r="E32" s="306"/>
      <c r="F32" s="306"/>
      <c r="G32" s="306">
        <f>D32+E32-F32</f>
        <v>0</v>
      </c>
    </row>
    <row r="33" spans="1:14" ht="13.5" thickBot="1" x14ac:dyDescent="0.25">
      <c r="A33" s="307"/>
      <c r="B33" s="308" t="s">
        <v>589</v>
      </c>
      <c r="C33" s="309"/>
      <c r="D33" s="310">
        <f>SUM(D24:D32)</f>
        <v>2837088</v>
      </c>
      <c r="E33" s="310">
        <f>SUM(E24:E32)</f>
        <v>626022</v>
      </c>
      <c r="F33" s="310">
        <f>SUM(F24:F32)</f>
        <v>0</v>
      </c>
      <c r="G33" s="311">
        <f>SUM(G24:G32)</f>
        <v>3463110</v>
      </c>
      <c r="H33" s="315"/>
      <c r="I33" s="312"/>
      <c r="J33" s="312"/>
    </row>
    <row r="34" spans="1:14" x14ac:dyDescent="0.2">
      <c r="G34" s="315"/>
    </row>
    <row r="36" spans="1:14" ht="15.75" x14ac:dyDescent="0.25">
      <c r="B36" s="545" t="s">
        <v>727</v>
      </c>
      <c r="C36" s="545"/>
      <c r="D36" s="545"/>
      <c r="E36" s="545"/>
      <c r="F36" s="545"/>
      <c r="G36" s="545"/>
    </row>
    <row r="38" spans="1:14" x14ac:dyDescent="0.2">
      <c r="A38" s="546" t="s">
        <v>159</v>
      </c>
      <c r="B38" s="548" t="s">
        <v>581</v>
      </c>
      <c r="C38" s="546" t="s">
        <v>556</v>
      </c>
      <c r="D38" s="296" t="s">
        <v>582</v>
      </c>
      <c r="E38" s="546" t="s">
        <v>583</v>
      </c>
      <c r="F38" s="546" t="s">
        <v>584</v>
      </c>
      <c r="G38" s="296" t="s">
        <v>582</v>
      </c>
    </row>
    <row r="39" spans="1:14" x14ac:dyDescent="0.2">
      <c r="A39" s="547"/>
      <c r="B39" s="549"/>
      <c r="C39" s="547"/>
      <c r="D39" s="297">
        <f>+D7</f>
        <v>43466</v>
      </c>
      <c r="E39" s="547"/>
      <c r="F39" s="547"/>
      <c r="G39" s="297">
        <f>+G7</f>
        <v>43830</v>
      </c>
    </row>
    <row r="40" spans="1:14" x14ac:dyDescent="0.2">
      <c r="A40" s="299">
        <v>1</v>
      </c>
      <c r="B40" s="280" t="s">
        <v>460</v>
      </c>
      <c r="C40" s="299"/>
      <c r="D40" s="300">
        <v>0</v>
      </c>
      <c r="E40" s="300"/>
      <c r="F40" s="300">
        <v>0</v>
      </c>
      <c r="G40" s="300">
        <f t="shared" ref="G40:G48" si="1">D40+E40-F40</f>
        <v>0</v>
      </c>
    </row>
    <row r="41" spans="1:14" x14ac:dyDescent="0.2">
      <c r="A41" s="299">
        <v>2</v>
      </c>
      <c r="B41" s="303" t="s">
        <v>585</v>
      </c>
      <c r="C41" s="299"/>
      <c r="D41" s="300"/>
      <c r="E41" s="300"/>
      <c r="F41" s="300"/>
      <c r="G41" s="300">
        <f t="shared" si="1"/>
        <v>0</v>
      </c>
      <c r="M41" s="298"/>
      <c r="N41" s="298"/>
    </row>
    <row r="42" spans="1:14" x14ac:dyDescent="0.2">
      <c r="A42" s="299">
        <v>3</v>
      </c>
      <c r="B42" s="303" t="s">
        <v>590</v>
      </c>
      <c r="C42" s="299"/>
      <c r="D42" s="314">
        <f>+D10-D26</f>
        <v>0</v>
      </c>
      <c r="E42" s="313">
        <f>+E10-E26</f>
        <v>0</v>
      </c>
      <c r="F42" s="314">
        <f>+F10-F26</f>
        <v>0</v>
      </c>
      <c r="G42" s="300">
        <f t="shared" si="1"/>
        <v>0</v>
      </c>
      <c r="M42" s="298"/>
      <c r="N42" s="298"/>
    </row>
    <row r="43" spans="1:14" x14ac:dyDescent="0.2">
      <c r="A43" s="299">
        <v>4</v>
      </c>
      <c r="B43" s="303" t="s">
        <v>587</v>
      </c>
      <c r="C43" s="299"/>
      <c r="D43" s="314">
        <f t="shared" ref="D43:F44" si="2">+D11-D27</f>
        <v>0</v>
      </c>
      <c r="E43" s="313">
        <f t="shared" si="2"/>
        <v>3193493</v>
      </c>
      <c r="F43" s="314">
        <f t="shared" si="2"/>
        <v>0</v>
      </c>
      <c r="G43" s="300">
        <f t="shared" si="1"/>
        <v>3193493</v>
      </c>
      <c r="M43" s="298"/>
      <c r="N43" s="298"/>
    </row>
    <row r="44" spans="1:14" x14ac:dyDescent="0.2">
      <c r="A44" s="299">
        <v>5</v>
      </c>
      <c r="B44" s="303" t="s">
        <v>588</v>
      </c>
      <c r="C44" s="299"/>
      <c r="D44" s="314">
        <f t="shared" si="2"/>
        <v>584573</v>
      </c>
      <c r="E44" s="313">
        <f t="shared" si="2"/>
        <v>-116915</v>
      </c>
      <c r="F44" s="314">
        <f t="shared" si="2"/>
        <v>0</v>
      </c>
      <c r="G44" s="300">
        <f t="shared" si="1"/>
        <v>467658</v>
      </c>
      <c r="M44" s="298"/>
      <c r="N44" s="298"/>
    </row>
    <row r="45" spans="1:14" x14ac:dyDescent="0.2">
      <c r="A45" s="299">
        <v>1</v>
      </c>
      <c r="B45" s="303"/>
      <c r="C45" s="299"/>
      <c r="D45" s="300"/>
      <c r="E45" s="300"/>
      <c r="F45" s="300"/>
      <c r="G45" s="300">
        <f t="shared" si="1"/>
        <v>0</v>
      </c>
      <c r="M45" s="298"/>
      <c r="N45" s="298"/>
    </row>
    <row r="46" spans="1:14" x14ac:dyDescent="0.2">
      <c r="A46" s="299">
        <v>2</v>
      </c>
      <c r="B46" s="303"/>
      <c r="C46" s="299"/>
      <c r="D46" s="300"/>
      <c r="E46" s="300"/>
      <c r="F46" s="300"/>
      <c r="G46" s="300">
        <f t="shared" si="1"/>
        <v>0</v>
      </c>
      <c r="M46" s="298"/>
      <c r="N46" s="298"/>
    </row>
    <row r="47" spans="1:14" x14ac:dyDescent="0.2">
      <c r="A47" s="299">
        <v>3</v>
      </c>
      <c r="B47" s="271"/>
      <c r="C47" s="299"/>
      <c r="D47" s="300"/>
      <c r="E47" s="300"/>
      <c r="F47" s="300"/>
      <c r="G47" s="300">
        <f t="shared" si="1"/>
        <v>0</v>
      </c>
      <c r="M47" s="298"/>
      <c r="N47" s="298"/>
    </row>
    <row r="48" spans="1:14" ht="13.5" thickBot="1" x14ac:dyDescent="0.25">
      <c r="A48" s="304">
        <v>4</v>
      </c>
      <c r="B48" s="305"/>
      <c r="C48" s="304"/>
      <c r="D48" s="306"/>
      <c r="E48" s="306"/>
      <c r="F48" s="306"/>
      <c r="G48" s="306">
        <f t="shared" si="1"/>
        <v>0</v>
      </c>
      <c r="M48" s="298"/>
      <c r="N48" s="298"/>
    </row>
    <row r="49" spans="1:14" ht="13.5" thickBot="1" x14ac:dyDescent="0.25">
      <c r="A49" s="307"/>
      <c r="B49" s="308" t="s">
        <v>589</v>
      </c>
      <c r="C49" s="309"/>
      <c r="D49" s="310">
        <f>SUM(D40:D48)</f>
        <v>584573</v>
      </c>
      <c r="E49" s="310">
        <f>SUM(E40:E48)</f>
        <v>3076578</v>
      </c>
      <c r="F49" s="310">
        <f>SUM(F40:F48)</f>
        <v>0</v>
      </c>
      <c r="G49" s="311">
        <f>SUM(G40:G48)</f>
        <v>3661151</v>
      </c>
      <c r="I49" s="315"/>
      <c r="J49" s="312"/>
      <c r="M49" s="316"/>
      <c r="N49" s="298"/>
    </row>
    <row r="50" spans="1:14" s="298" customFormat="1" x14ac:dyDescent="0.2">
      <c r="F50" s="302"/>
      <c r="G50" s="317"/>
      <c r="J50" s="302"/>
    </row>
    <row r="51" spans="1:14" ht="15.75" x14ac:dyDescent="0.25">
      <c r="D51" s="279">
        <v>10</v>
      </c>
      <c r="E51" s="550" t="s">
        <v>591</v>
      </c>
      <c r="F51" s="550"/>
      <c r="G51" s="550"/>
      <c r="M51" s="298"/>
      <c r="N51" s="298"/>
    </row>
    <row r="52" spans="1:14" x14ac:dyDescent="0.2">
      <c r="E52" s="544" t="s">
        <v>592</v>
      </c>
      <c r="F52" s="544"/>
      <c r="G52" s="544"/>
    </row>
  </sheetData>
  <mergeCells count="20">
    <mergeCell ref="E51:G51"/>
    <mergeCell ref="E52:G52"/>
    <mergeCell ref="B36:G36"/>
    <mergeCell ref="A38:A39"/>
    <mergeCell ref="B38:B39"/>
    <mergeCell ref="C38:C39"/>
    <mergeCell ref="E38:E39"/>
    <mergeCell ref="F38:F39"/>
    <mergeCell ref="B20:G20"/>
    <mergeCell ref="A22:A23"/>
    <mergeCell ref="B22:B23"/>
    <mergeCell ref="C22:C23"/>
    <mergeCell ref="E22:E23"/>
    <mergeCell ref="F22:F23"/>
    <mergeCell ref="B4:G4"/>
    <mergeCell ref="A6:A7"/>
    <mergeCell ref="B6:B7"/>
    <mergeCell ref="C6:C7"/>
    <mergeCell ref="E6:E7"/>
    <mergeCell ref="F6:F7"/>
  </mergeCells>
  <phoneticPr fontId="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4"/>
  <sheetViews>
    <sheetView workbookViewId="0">
      <selection activeCell="D43" sqref="D43"/>
    </sheetView>
  </sheetViews>
  <sheetFormatPr defaultColWidth="11.42578125" defaultRowHeight="12.75" x14ac:dyDescent="0.2"/>
  <cols>
    <col min="1" max="1" width="5.7109375" style="32" customWidth="1"/>
    <col min="2" max="2" width="42.7109375" style="32" bestFit="1" customWidth="1"/>
    <col min="3" max="3" width="3.85546875" style="32" customWidth="1"/>
    <col min="4" max="5" width="16.140625" style="32" customWidth="1"/>
    <col min="6" max="15" width="16.140625" style="32" hidden="1" customWidth="1"/>
    <col min="16" max="16" width="11.42578125" style="32" customWidth="1"/>
    <col min="17" max="16384" width="11.42578125" style="32"/>
  </cols>
  <sheetData>
    <row r="1" spans="1:16" ht="16.5" x14ac:dyDescent="0.2">
      <c r="B1" s="50" t="s">
        <v>157</v>
      </c>
    </row>
    <row r="2" spans="1:16" ht="13.5" x14ac:dyDescent="0.2">
      <c r="B2" s="33" t="s">
        <v>661</v>
      </c>
      <c r="P2" s="35"/>
    </row>
    <row r="3" spans="1:16" x14ac:dyDescent="0.2">
      <c r="B3" s="49" t="s">
        <v>419</v>
      </c>
    </row>
    <row r="5" spans="1:16" hidden="1" x14ac:dyDescent="0.2"/>
    <row r="6" spans="1:16" hidden="1" x14ac:dyDescent="0.2"/>
    <row r="8" spans="1:16" ht="15" x14ac:dyDescent="0.2">
      <c r="B8" s="53" t="s">
        <v>158</v>
      </c>
      <c r="C8" s="34" t="s">
        <v>159</v>
      </c>
      <c r="D8" s="34" t="s">
        <v>728</v>
      </c>
      <c r="E8" s="34" t="s">
        <v>693</v>
      </c>
      <c r="F8" s="34" t="s">
        <v>687</v>
      </c>
      <c r="G8" s="34" t="s">
        <v>674</v>
      </c>
      <c r="H8" s="34" t="s">
        <v>669</v>
      </c>
      <c r="I8" s="34" t="s">
        <v>660</v>
      </c>
      <c r="J8" s="34" t="s">
        <v>652</v>
      </c>
      <c r="K8" s="34" t="s">
        <v>632</v>
      </c>
      <c r="L8" s="34" t="s">
        <v>596</v>
      </c>
      <c r="M8" s="34" t="s">
        <v>539</v>
      </c>
      <c r="N8" s="34" t="s">
        <v>519</v>
      </c>
      <c r="O8" s="34" t="s">
        <v>518</v>
      </c>
    </row>
    <row r="11" spans="1:16" x14ac:dyDescent="0.2">
      <c r="A11" s="36" t="s">
        <v>160</v>
      </c>
      <c r="B11" s="37" t="s">
        <v>161</v>
      </c>
      <c r="C11" s="37" t="s">
        <v>127</v>
      </c>
    </row>
    <row r="12" spans="1:16" x14ac:dyDescent="0.2">
      <c r="A12" s="36" t="s">
        <v>162</v>
      </c>
      <c r="B12" s="37" t="s">
        <v>163</v>
      </c>
      <c r="C12" s="37" t="s">
        <v>128</v>
      </c>
      <c r="D12" s="38">
        <f>+D20</f>
        <v>3661151</v>
      </c>
      <c r="E12" s="38">
        <f>+E20</f>
        <v>584573</v>
      </c>
      <c r="F12" s="38">
        <f>+F20</f>
        <v>779431</v>
      </c>
      <c r="G12" s="38">
        <f t="shared" ref="G12:L12" si="0">+G20</f>
        <v>2923526</v>
      </c>
      <c r="H12" s="38">
        <f t="shared" si="0"/>
        <v>3466199</v>
      </c>
      <c r="I12" s="38">
        <f t="shared" si="0"/>
        <v>4332749</v>
      </c>
      <c r="J12" s="38">
        <f t="shared" si="0"/>
        <v>5415936</v>
      </c>
      <c r="K12" s="38">
        <f t="shared" si="0"/>
        <v>6737059</v>
      </c>
      <c r="L12" s="38">
        <f t="shared" si="0"/>
        <v>1002149</v>
      </c>
      <c r="M12" s="38">
        <v>954723</v>
      </c>
      <c r="N12" s="38">
        <v>1193404</v>
      </c>
      <c r="O12" s="38">
        <v>1193404</v>
      </c>
    </row>
    <row r="13" spans="1:16" x14ac:dyDescent="0.2">
      <c r="A13" s="36" t="s">
        <v>137</v>
      </c>
      <c r="B13" s="37" t="s">
        <v>164</v>
      </c>
      <c r="C13" s="37" t="s">
        <v>129</v>
      </c>
    </row>
    <row r="14" spans="1:16" x14ac:dyDescent="0.2">
      <c r="A14" s="36" t="s">
        <v>142</v>
      </c>
      <c r="B14" s="37" t="s">
        <v>165</v>
      </c>
      <c r="C14" s="37" t="s">
        <v>130</v>
      </c>
    </row>
    <row r="15" spans="1:16" x14ac:dyDescent="0.2">
      <c r="A15" s="36" t="s">
        <v>143</v>
      </c>
      <c r="B15" s="37" t="s">
        <v>166</v>
      </c>
      <c r="C15" s="37" t="s">
        <v>131</v>
      </c>
    </row>
    <row r="16" spans="1:16" x14ac:dyDescent="0.2">
      <c r="A16" s="36" t="s">
        <v>144</v>
      </c>
      <c r="B16" s="37" t="s">
        <v>167</v>
      </c>
      <c r="C16" s="37" t="s">
        <v>139</v>
      </c>
    </row>
    <row r="17" spans="1:15" x14ac:dyDescent="0.2">
      <c r="A17" s="36" t="s">
        <v>146</v>
      </c>
      <c r="B17" s="37" t="s">
        <v>168</v>
      </c>
      <c r="C17" s="37" t="s">
        <v>140</v>
      </c>
    </row>
    <row r="18" spans="1:15" x14ac:dyDescent="0.2">
      <c r="A18" s="36" t="s">
        <v>147</v>
      </c>
      <c r="B18" s="37" t="s">
        <v>169</v>
      </c>
      <c r="C18" s="37" t="s">
        <v>141</v>
      </c>
    </row>
    <row r="19" spans="1:15" x14ac:dyDescent="0.2">
      <c r="A19" s="36" t="s">
        <v>170</v>
      </c>
      <c r="B19" s="37" t="s">
        <v>171</v>
      </c>
      <c r="C19" s="37" t="s">
        <v>145</v>
      </c>
    </row>
    <row r="20" spans="1:15" x14ac:dyDescent="0.2">
      <c r="A20" s="36" t="s">
        <v>138</v>
      </c>
      <c r="B20" s="37" t="s">
        <v>172</v>
      </c>
      <c r="C20" s="37" t="s">
        <v>149</v>
      </c>
      <c r="D20" s="38">
        <f>+D21+D22+D23+D24+D25</f>
        <v>3661151</v>
      </c>
      <c r="E20" s="38">
        <f>+E21+E22+E23+E24+E25</f>
        <v>584573</v>
      </c>
      <c r="F20" s="38">
        <f>+F21+F22+F23+F24+F25</f>
        <v>779431</v>
      </c>
      <c r="G20" s="38">
        <f t="shared" ref="G20:L20" si="1">+G21+G22+G23+G24+G25</f>
        <v>2923526</v>
      </c>
      <c r="H20" s="38">
        <f t="shared" si="1"/>
        <v>3466199</v>
      </c>
      <c r="I20" s="38">
        <f t="shared" si="1"/>
        <v>4332749</v>
      </c>
      <c r="J20" s="38">
        <f t="shared" si="1"/>
        <v>5415936</v>
      </c>
      <c r="K20" s="38">
        <f t="shared" si="1"/>
        <v>6737059</v>
      </c>
      <c r="L20" s="38">
        <f t="shared" si="1"/>
        <v>1002149</v>
      </c>
      <c r="M20" s="38">
        <v>954723</v>
      </c>
      <c r="N20" s="38">
        <v>1193404</v>
      </c>
      <c r="O20" s="38">
        <v>1193404</v>
      </c>
    </row>
    <row r="21" spans="1:15" x14ac:dyDescent="0.2">
      <c r="A21" s="36" t="s">
        <v>142</v>
      </c>
      <c r="B21" s="37" t="s">
        <v>173</v>
      </c>
      <c r="C21" s="37" t="s">
        <v>150</v>
      </c>
    </row>
    <row r="22" spans="1:15" x14ac:dyDescent="0.2">
      <c r="A22" s="36" t="s">
        <v>143</v>
      </c>
      <c r="B22" s="37" t="s">
        <v>174</v>
      </c>
      <c r="C22" s="37" t="s">
        <v>151</v>
      </c>
      <c r="D22" s="38">
        <f>3421661+3702600</f>
        <v>7124261</v>
      </c>
      <c r="E22" s="38">
        <f>+F22</f>
        <v>3421661</v>
      </c>
      <c r="F22" s="38">
        <v>3421661</v>
      </c>
      <c r="G22" s="38">
        <f>5812640+2924744+68550+84567</f>
        <v>8890501</v>
      </c>
      <c r="H22" s="38">
        <f>5812640+2924744</f>
        <v>8737384</v>
      </c>
      <c r="I22" s="38">
        <f>5812640+2924744</f>
        <v>8737384</v>
      </c>
      <c r="J22" s="38">
        <v>8737384</v>
      </c>
      <c r="K22" s="38">
        <v>8707051</v>
      </c>
      <c r="L22" s="38">
        <v>2771711</v>
      </c>
      <c r="M22" s="38">
        <v>2533340</v>
      </c>
      <c r="N22" s="38">
        <v>2533340</v>
      </c>
      <c r="O22" s="38">
        <v>2533340</v>
      </c>
    </row>
    <row r="23" spans="1:15" x14ac:dyDescent="0.2">
      <c r="A23" s="36" t="s">
        <v>144</v>
      </c>
      <c r="B23" s="37" t="s">
        <v>175</v>
      </c>
      <c r="C23" s="37" t="s">
        <v>152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</row>
    <row r="24" spans="1:15" x14ac:dyDescent="0.2">
      <c r="A24" s="36" t="s">
        <v>146</v>
      </c>
      <c r="B24" s="37" t="s">
        <v>176</v>
      </c>
      <c r="C24" s="37" t="s">
        <v>153</v>
      </c>
    </row>
    <row r="25" spans="1:15" x14ac:dyDescent="0.2">
      <c r="A25" s="36" t="s">
        <v>147</v>
      </c>
      <c r="B25" s="37" t="s">
        <v>169</v>
      </c>
      <c r="C25" s="37" t="s">
        <v>177</v>
      </c>
      <c r="D25" s="38">
        <f>-(-E25+'A-Sh BA'!C82)</f>
        <v>-3463110</v>
      </c>
      <c r="E25" s="38">
        <f>-(-F25+'A-Sh BA'!D82)</f>
        <v>-2837088</v>
      </c>
      <c r="F25" s="38">
        <v>-2642230</v>
      </c>
      <c r="G25" s="38">
        <f>-(2092550+2312085+866550+695790)</f>
        <v>-5966975</v>
      </c>
      <c r="H25" s="38">
        <f>-(2092550+2312085+866550)</f>
        <v>-5271185</v>
      </c>
      <c r="I25" s="38">
        <f>-(2092550+2312085)</f>
        <v>-4404635</v>
      </c>
      <c r="J25" s="38">
        <v>-3321448</v>
      </c>
      <c r="K25" s="38">
        <v>-1969992</v>
      </c>
      <c r="L25" s="38">
        <v>-1769562</v>
      </c>
      <c r="M25" s="38">
        <v>-1578617</v>
      </c>
      <c r="N25" s="38">
        <v>-1339936</v>
      </c>
      <c r="O25" s="38">
        <v>-1339936</v>
      </c>
    </row>
    <row r="26" spans="1:15" x14ac:dyDescent="0.2">
      <c r="A26" s="36" t="s">
        <v>170</v>
      </c>
      <c r="B26" s="37" t="s">
        <v>171</v>
      </c>
      <c r="C26" s="37" t="s">
        <v>178</v>
      </c>
    </row>
    <row r="27" spans="1:15" x14ac:dyDescent="0.2">
      <c r="A27" s="36" t="s">
        <v>148</v>
      </c>
      <c r="B27" s="37" t="s">
        <v>179</v>
      </c>
      <c r="C27" s="37" t="s">
        <v>180</v>
      </c>
    </row>
    <row r="28" spans="1:15" x14ac:dyDescent="0.2">
      <c r="A28" s="36" t="s">
        <v>142</v>
      </c>
      <c r="B28" s="37" t="s">
        <v>181</v>
      </c>
      <c r="C28" s="37" t="s">
        <v>182</v>
      </c>
    </row>
    <row r="29" spans="1:15" x14ac:dyDescent="0.2">
      <c r="A29" s="36" t="s">
        <v>143</v>
      </c>
      <c r="B29" s="37" t="s">
        <v>183</v>
      </c>
      <c r="C29" s="37" t="s">
        <v>184</v>
      </c>
    </row>
    <row r="30" spans="1:15" x14ac:dyDescent="0.2">
      <c r="A30" s="36" t="s">
        <v>144</v>
      </c>
      <c r="B30" s="37" t="s">
        <v>185</v>
      </c>
      <c r="C30" s="37" t="s">
        <v>186</v>
      </c>
    </row>
    <row r="31" spans="1:15" x14ac:dyDescent="0.2">
      <c r="A31" s="36" t="s">
        <v>146</v>
      </c>
      <c r="B31" s="37" t="s">
        <v>187</v>
      </c>
      <c r="C31" s="37" t="s">
        <v>188</v>
      </c>
    </row>
    <row r="32" spans="1:15" x14ac:dyDescent="0.2">
      <c r="A32" s="36" t="s">
        <v>154</v>
      </c>
      <c r="B32" s="37" t="s">
        <v>189</v>
      </c>
      <c r="C32" s="37" t="s">
        <v>190</v>
      </c>
      <c r="D32" s="38">
        <v>-4.6566128730773926E-10</v>
      </c>
      <c r="E32" s="38">
        <v>-4.6566128730773926E-10</v>
      </c>
      <c r="F32" s="38">
        <v>-4.6566128730773926E-10</v>
      </c>
      <c r="G32" s="38">
        <v>-4.6566128730773926E-10</v>
      </c>
      <c r="H32" s="38">
        <v>-4.6566128730773926E-10</v>
      </c>
      <c r="I32" s="38">
        <v>-4.6566128730773926E-10</v>
      </c>
      <c r="J32" s="38">
        <v>-4.6566128730773926E-10</v>
      </c>
      <c r="K32" s="38">
        <v>-4.6566128730773926E-10</v>
      </c>
      <c r="L32" s="38">
        <v>-4.6566128730773926E-10</v>
      </c>
      <c r="M32" s="38">
        <v>-4.6566128730773926E-10</v>
      </c>
      <c r="N32" s="38">
        <v>-4.6566128730773926E-10</v>
      </c>
      <c r="O32" s="38">
        <v>-4.6566128730773926E-10</v>
      </c>
    </row>
    <row r="33" spans="1:15" x14ac:dyDescent="0.2">
      <c r="A33" s="36" t="s">
        <v>191</v>
      </c>
      <c r="B33" s="37" t="s">
        <v>192</v>
      </c>
      <c r="C33" s="37" t="s">
        <v>193</v>
      </c>
      <c r="D33" s="38">
        <f>+D50+D54+D40+D34</f>
        <v>38545323.228199996</v>
      </c>
      <c r="E33" s="38">
        <f>+E50+E54+E40+E34</f>
        <v>32927385.66</v>
      </c>
      <c r="F33" s="38">
        <f t="shared" ref="F33:K33" si="2">+F50+F54+F40</f>
        <v>33595699.760000005</v>
      </c>
      <c r="G33" s="38">
        <f t="shared" si="2"/>
        <v>33194183</v>
      </c>
      <c r="H33" s="38">
        <f t="shared" si="2"/>
        <v>19213367.449999999</v>
      </c>
      <c r="I33" s="38">
        <f t="shared" si="2"/>
        <v>16866963.449999999</v>
      </c>
      <c r="J33" s="38">
        <f t="shared" si="2"/>
        <v>14382319.6</v>
      </c>
      <c r="K33" s="38">
        <f t="shared" si="2"/>
        <v>14762225</v>
      </c>
      <c r="L33" s="38">
        <f>+L50+L54</f>
        <v>2646808</v>
      </c>
      <c r="M33" s="38">
        <v>2150538</v>
      </c>
      <c r="N33" s="38">
        <v>2521422</v>
      </c>
      <c r="O33" s="38">
        <v>1470587</v>
      </c>
    </row>
    <row r="34" spans="1:15" x14ac:dyDescent="0.2">
      <c r="A34" s="36" t="s">
        <v>137</v>
      </c>
      <c r="B34" s="37" t="s">
        <v>194</v>
      </c>
      <c r="C34" s="37" t="s">
        <v>195</v>
      </c>
      <c r="D34" s="51">
        <f>SUM(D35:D39)</f>
        <v>0</v>
      </c>
      <c r="E34" s="51">
        <f>SUM(E35:E39)</f>
        <v>0</v>
      </c>
      <c r="F34" s="51"/>
      <c r="G34" s="51"/>
      <c r="H34" s="51"/>
      <c r="I34" s="51"/>
      <c r="J34" s="51"/>
      <c r="K34" s="51"/>
      <c r="L34" s="51"/>
      <c r="M34" s="51">
        <v>532550</v>
      </c>
      <c r="N34" s="51"/>
      <c r="O34" s="51">
        <v>163309</v>
      </c>
    </row>
    <row r="35" spans="1:15" x14ac:dyDescent="0.2">
      <c r="A35" s="36" t="s">
        <v>142</v>
      </c>
      <c r="B35" s="37" t="s">
        <v>196</v>
      </c>
      <c r="C35" s="37" t="s">
        <v>197</v>
      </c>
    </row>
    <row r="36" spans="1:15" x14ac:dyDescent="0.2">
      <c r="A36" s="36" t="s">
        <v>143</v>
      </c>
      <c r="B36" s="37" t="s">
        <v>198</v>
      </c>
      <c r="C36" s="37" t="s">
        <v>199</v>
      </c>
    </row>
    <row r="37" spans="1:15" x14ac:dyDescent="0.2">
      <c r="A37" s="36" t="s">
        <v>144</v>
      </c>
      <c r="B37" s="37" t="s">
        <v>134</v>
      </c>
      <c r="C37" s="37" t="s">
        <v>200</v>
      </c>
      <c r="D37" s="38"/>
      <c r="E37" s="38"/>
      <c r="F37" s="38"/>
      <c r="G37" s="38"/>
      <c r="H37" s="38"/>
      <c r="I37" s="38"/>
      <c r="J37" s="38"/>
      <c r="K37" s="38"/>
      <c r="L37" s="38"/>
      <c r="M37" s="38">
        <v>532550</v>
      </c>
      <c r="N37" s="38">
        <v>0</v>
      </c>
      <c r="O37" s="38">
        <v>163309</v>
      </c>
    </row>
    <row r="38" spans="1:15" x14ac:dyDescent="0.2">
      <c r="A38" s="36" t="s">
        <v>146</v>
      </c>
      <c r="B38" s="37" t="s">
        <v>201</v>
      </c>
      <c r="C38" s="37" t="s">
        <v>202</v>
      </c>
    </row>
    <row r="39" spans="1:15" x14ac:dyDescent="0.2">
      <c r="A39" s="36" t="s">
        <v>147</v>
      </c>
      <c r="B39" s="37" t="s">
        <v>187</v>
      </c>
      <c r="C39" s="37" t="s">
        <v>203</v>
      </c>
    </row>
    <row r="40" spans="1:15" x14ac:dyDescent="0.2">
      <c r="A40" s="36" t="s">
        <v>138</v>
      </c>
      <c r="B40" s="37" t="s">
        <v>204</v>
      </c>
      <c r="C40" s="37" t="s">
        <v>205</v>
      </c>
      <c r="D40" s="51">
        <f>SUM(D41:D46)</f>
        <v>37778707.149999999</v>
      </c>
      <c r="E40" s="51">
        <f>SUM(E41:E46)</f>
        <v>32560034.66</v>
      </c>
      <c r="F40" s="51">
        <f t="shared" ref="F40:K40" si="3">SUM(F41:F46)</f>
        <v>23861014.760000002</v>
      </c>
      <c r="G40" s="51">
        <f t="shared" si="3"/>
        <v>29089384</v>
      </c>
      <c r="H40" s="51">
        <f t="shared" si="3"/>
        <v>17375540.449999999</v>
      </c>
      <c r="I40" s="51">
        <f t="shared" si="3"/>
        <v>14189703.449999999</v>
      </c>
      <c r="J40" s="51">
        <f t="shared" si="3"/>
        <v>11974649.6</v>
      </c>
      <c r="K40" s="51">
        <f t="shared" si="3"/>
        <v>3414813</v>
      </c>
      <c r="L40" s="51"/>
      <c r="M40" s="51">
        <v>64922</v>
      </c>
      <c r="N40" s="51">
        <v>2140931</v>
      </c>
      <c r="O40" s="51">
        <v>384361</v>
      </c>
    </row>
    <row r="41" spans="1:15" x14ac:dyDescent="0.2">
      <c r="B41" s="37" t="s">
        <v>206</v>
      </c>
    </row>
    <row r="42" spans="1:15" x14ac:dyDescent="0.2">
      <c r="A42" s="36" t="s">
        <v>142</v>
      </c>
      <c r="B42" s="37" t="s">
        <v>207</v>
      </c>
      <c r="C42" s="37" t="s">
        <v>208</v>
      </c>
      <c r="D42" s="38">
        <v>36852476.149999999</v>
      </c>
      <c r="E42" s="38">
        <v>32467587.66</v>
      </c>
      <c r="F42" s="38">
        <f>23156065.71-494797.95</f>
        <v>22661267.760000002</v>
      </c>
      <c r="G42" s="38">
        <v>27979041</v>
      </c>
      <c r="H42" s="38">
        <v>16585610.449999999</v>
      </c>
      <c r="I42" s="38">
        <v>13585910.449999999</v>
      </c>
      <c r="J42" s="38">
        <v>11566747.6</v>
      </c>
      <c r="K42" s="38">
        <v>3155785</v>
      </c>
      <c r="L42" s="38"/>
      <c r="M42" s="38"/>
      <c r="N42" s="38"/>
      <c r="O42" s="38"/>
    </row>
    <row r="43" spans="1:15" x14ac:dyDescent="0.2">
      <c r="A43" s="36" t="s">
        <v>143</v>
      </c>
      <c r="B43" s="37" t="s">
        <v>209</v>
      </c>
      <c r="C43" s="37" t="s">
        <v>210</v>
      </c>
    </row>
    <row r="44" spans="1:15" x14ac:dyDescent="0.2">
      <c r="A44" s="36" t="s">
        <v>144</v>
      </c>
      <c r="B44" s="132" t="s">
        <v>525</v>
      </c>
      <c r="C44" s="37" t="s">
        <v>211</v>
      </c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>
        <v>2094762</v>
      </c>
      <c r="O44" s="38"/>
    </row>
    <row r="45" spans="1:15" x14ac:dyDescent="0.2">
      <c r="A45" s="36" t="s">
        <v>146</v>
      </c>
      <c r="B45" s="37" t="s">
        <v>212</v>
      </c>
      <c r="C45" s="37" t="s">
        <v>213</v>
      </c>
      <c r="D45" s="38">
        <v>926231</v>
      </c>
      <c r="E45" s="38">
        <v>92447</v>
      </c>
      <c r="F45" s="38">
        <f>1192487+7260</f>
        <v>1199747</v>
      </c>
      <c r="G45" s="38">
        <f>1032063+78280</f>
        <v>1110343</v>
      </c>
      <c r="H45" s="38">
        <v>789930</v>
      </c>
      <c r="I45" s="38">
        <v>603793</v>
      </c>
      <c r="J45" s="38">
        <v>407902</v>
      </c>
      <c r="K45" s="38">
        <v>259028</v>
      </c>
      <c r="L45" s="38"/>
      <c r="M45" s="38">
        <v>64922</v>
      </c>
      <c r="N45" s="38">
        <v>46169</v>
      </c>
      <c r="O45" s="38">
        <v>384361</v>
      </c>
    </row>
    <row r="46" spans="1:15" x14ac:dyDescent="0.2">
      <c r="A46" s="36" t="s">
        <v>147</v>
      </c>
      <c r="B46" s="37" t="s">
        <v>187</v>
      </c>
      <c r="C46" s="37" t="s">
        <v>214</v>
      </c>
    </row>
    <row r="47" spans="1:15" x14ac:dyDescent="0.2">
      <c r="A47" s="36" t="s">
        <v>148</v>
      </c>
      <c r="B47" s="37" t="s">
        <v>215</v>
      </c>
      <c r="C47" s="37" t="s">
        <v>216</v>
      </c>
    </row>
    <row r="48" spans="1:15" x14ac:dyDescent="0.2">
      <c r="A48" s="36" t="s">
        <v>142</v>
      </c>
      <c r="B48" s="37" t="s">
        <v>217</v>
      </c>
      <c r="C48" s="37" t="s">
        <v>218</v>
      </c>
    </row>
    <row r="49" spans="1:15" x14ac:dyDescent="0.2">
      <c r="A49" s="36" t="s">
        <v>143</v>
      </c>
      <c r="B49" s="37" t="s">
        <v>187</v>
      </c>
      <c r="C49" s="37" t="s">
        <v>219</v>
      </c>
    </row>
    <row r="50" spans="1:15" x14ac:dyDescent="0.2">
      <c r="A50" s="36" t="s">
        <v>154</v>
      </c>
      <c r="B50" s="37" t="s">
        <v>220</v>
      </c>
      <c r="C50" s="37" t="s">
        <v>221</v>
      </c>
      <c r="D50" s="51">
        <f>+D51+D52+D53</f>
        <v>766616.07819999754</v>
      </c>
      <c r="E50" s="51">
        <f>+E51+E52+E53</f>
        <v>367351</v>
      </c>
      <c r="F50" s="51">
        <f>+F51+F52+F53</f>
        <v>8884689</v>
      </c>
      <c r="G50" s="51">
        <f t="shared" ref="G50:L50" si="4">+G51+G52+G53</f>
        <v>3829510</v>
      </c>
      <c r="H50" s="51">
        <f t="shared" si="4"/>
        <v>1192392</v>
      </c>
      <c r="I50" s="51">
        <f t="shared" si="4"/>
        <v>1569400</v>
      </c>
      <c r="J50" s="51">
        <f t="shared" si="4"/>
        <v>731426</v>
      </c>
      <c r="K50" s="51">
        <f t="shared" si="4"/>
        <v>5818367</v>
      </c>
      <c r="L50" s="51">
        <f t="shared" si="4"/>
        <v>1396153</v>
      </c>
      <c r="M50" s="51">
        <v>1553066</v>
      </c>
      <c r="N50" s="51">
        <v>380491</v>
      </c>
      <c r="O50" s="51">
        <v>922917</v>
      </c>
    </row>
    <row r="51" spans="1:15" x14ac:dyDescent="0.2">
      <c r="A51" s="36" t="s">
        <v>142</v>
      </c>
      <c r="B51" s="37" t="s">
        <v>222</v>
      </c>
      <c r="C51" s="37" t="s">
        <v>223</v>
      </c>
      <c r="D51" s="38">
        <f>+banka!B15</f>
        <v>634216.07819999754</v>
      </c>
      <c r="E51" s="38">
        <v>268901</v>
      </c>
      <c r="F51" s="38">
        <v>6032929</v>
      </c>
      <c r="G51" s="38">
        <v>3700279</v>
      </c>
      <c r="H51" s="38">
        <v>908101</v>
      </c>
      <c r="I51" s="38">
        <v>1085105</v>
      </c>
      <c r="J51" s="38">
        <v>630876</v>
      </c>
      <c r="K51" s="38">
        <v>430391</v>
      </c>
      <c r="L51" s="38">
        <v>1080391</v>
      </c>
      <c r="M51" s="38">
        <v>752436</v>
      </c>
      <c r="N51" s="38">
        <v>17423</v>
      </c>
      <c r="O51" s="38">
        <v>871117</v>
      </c>
    </row>
    <row r="52" spans="1:15" x14ac:dyDescent="0.2">
      <c r="A52" s="36" t="s">
        <v>143</v>
      </c>
      <c r="B52" s="37" t="s">
        <v>224</v>
      </c>
      <c r="C52" s="37" t="s">
        <v>225</v>
      </c>
      <c r="D52" s="38">
        <v>132400</v>
      </c>
      <c r="E52" s="38">
        <v>98450</v>
      </c>
      <c r="F52" s="38">
        <v>59810</v>
      </c>
      <c r="G52" s="38">
        <v>129231</v>
      </c>
      <c r="H52" s="38">
        <v>284291</v>
      </c>
      <c r="I52" s="38">
        <v>484295</v>
      </c>
      <c r="J52" s="38">
        <v>100550</v>
      </c>
      <c r="K52" s="38">
        <v>83936</v>
      </c>
      <c r="L52" s="38">
        <v>315762</v>
      </c>
      <c r="M52" s="38">
        <v>800630</v>
      </c>
      <c r="N52" s="38">
        <v>363068</v>
      </c>
      <c r="O52" s="38">
        <v>51800</v>
      </c>
    </row>
    <row r="53" spans="1:15" x14ac:dyDescent="0.2">
      <c r="A53" s="36" t="s">
        <v>144</v>
      </c>
      <c r="B53" s="37" t="s">
        <v>642</v>
      </c>
      <c r="C53" s="37" t="s">
        <v>226</v>
      </c>
      <c r="D53" s="38">
        <v>0</v>
      </c>
      <c r="E53" s="38">
        <v>0</v>
      </c>
      <c r="F53" s="38">
        <v>2791950</v>
      </c>
      <c r="G53" s="38"/>
      <c r="H53" s="38"/>
      <c r="I53" s="38"/>
      <c r="J53" s="38"/>
      <c r="K53" s="38">
        <v>5304040</v>
      </c>
      <c r="L53" s="38"/>
      <c r="M53" s="38"/>
      <c r="N53" s="38"/>
      <c r="O53" s="38"/>
    </row>
    <row r="54" spans="1:15" x14ac:dyDescent="0.2">
      <c r="A54" s="36" t="s">
        <v>155</v>
      </c>
      <c r="B54" s="37" t="s">
        <v>227</v>
      </c>
      <c r="C54" s="37" t="s">
        <v>228</v>
      </c>
      <c r="D54" s="51"/>
      <c r="E54" s="51"/>
      <c r="F54" s="51">
        <v>849996</v>
      </c>
      <c r="G54" s="51">
        <v>275289</v>
      </c>
      <c r="H54" s="51">
        <v>645435</v>
      </c>
      <c r="I54" s="51">
        <v>1107860</v>
      </c>
      <c r="J54" s="51">
        <v>1676244</v>
      </c>
      <c r="K54" s="51">
        <v>5529045</v>
      </c>
      <c r="L54" s="51">
        <v>1250655</v>
      </c>
      <c r="M54" s="51"/>
      <c r="N54" s="51"/>
      <c r="O54" s="51"/>
    </row>
    <row r="55" spans="1:15" x14ac:dyDescent="0.2">
      <c r="B55" s="37" t="s">
        <v>229</v>
      </c>
    </row>
    <row r="56" spans="1:15" x14ac:dyDescent="0.2">
      <c r="A56" s="36" t="s">
        <v>230</v>
      </c>
      <c r="B56" s="37" t="s">
        <v>231</v>
      </c>
      <c r="C56" s="37" t="s">
        <v>232</v>
      </c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</row>
    <row r="57" spans="1:15" x14ac:dyDescent="0.2">
      <c r="A57" s="36" t="s">
        <v>142</v>
      </c>
      <c r="B57" s="37" t="s">
        <v>233</v>
      </c>
      <c r="C57" s="37" t="s">
        <v>234</v>
      </c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</row>
    <row r="58" spans="1:15" x14ac:dyDescent="0.2">
      <c r="A58" s="36" t="s">
        <v>143</v>
      </c>
      <c r="B58" s="37" t="s">
        <v>235</v>
      </c>
      <c r="C58" s="37" t="s">
        <v>236</v>
      </c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</row>
    <row r="59" spans="1:15" x14ac:dyDescent="0.2">
      <c r="A59" s="36" t="s">
        <v>144</v>
      </c>
      <c r="B59" s="37" t="s">
        <v>133</v>
      </c>
      <c r="C59" s="37" t="s">
        <v>237</v>
      </c>
    </row>
    <row r="60" spans="1:15" x14ac:dyDescent="0.2">
      <c r="B60" s="37" t="s">
        <v>238</v>
      </c>
      <c r="C60" s="37" t="s">
        <v>239</v>
      </c>
      <c r="D60" s="51">
        <f t="shared" ref="D60:I60" si="5">+D12+D33</f>
        <v>42206474.228199996</v>
      </c>
      <c r="E60" s="51">
        <f t="shared" si="5"/>
        <v>33511958.66</v>
      </c>
      <c r="F60" s="51">
        <f t="shared" si="5"/>
        <v>34375130.760000005</v>
      </c>
      <c r="G60" s="51">
        <f t="shared" si="5"/>
        <v>36117709</v>
      </c>
      <c r="H60" s="51">
        <f t="shared" si="5"/>
        <v>22679566.449999999</v>
      </c>
      <c r="I60" s="51">
        <f t="shared" si="5"/>
        <v>21199712.449999999</v>
      </c>
      <c r="J60" s="51">
        <f t="shared" ref="J60:O60" si="6">+J12+J33</f>
        <v>19798255.600000001</v>
      </c>
      <c r="K60" s="51">
        <f t="shared" si="6"/>
        <v>21499284</v>
      </c>
      <c r="L60" s="51">
        <f t="shared" si="6"/>
        <v>3648957</v>
      </c>
      <c r="M60" s="51">
        <f t="shared" si="6"/>
        <v>3105261</v>
      </c>
      <c r="N60" s="51">
        <f t="shared" si="6"/>
        <v>3714826</v>
      </c>
      <c r="O60" s="51">
        <f t="shared" si="6"/>
        <v>2663991</v>
      </c>
    </row>
    <row r="61" spans="1:15" x14ac:dyDescent="0.2">
      <c r="A61" s="36" t="s">
        <v>240</v>
      </c>
      <c r="B61" s="37" t="s">
        <v>241</v>
      </c>
      <c r="C61" s="37" t="s">
        <v>242</v>
      </c>
    </row>
    <row r="62" spans="1:15" x14ac:dyDescent="0.2">
      <c r="A62" s="36" t="s">
        <v>137</v>
      </c>
      <c r="B62" s="37" t="s">
        <v>243</v>
      </c>
      <c r="C62" s="37" t="s">
        <v>244</v>
      </c>
    </row>
    <row r="63" spans="1:15" x14ac:dyDescent="0.2">
      <c r="A63" s="36" t="s">
        <v>138</v>
      </c>
      <c r="B63" s="37" t="s">
        <v>245</v>
      </c>
      <c r="C63" s="37" t="s">
        <v>246</v>
      </c>
    </row>
    <row r="64" spans="1:15" x14ac:dyDescent="0.2">
      <c r="A64" s="36" t="s">
        <v>148</v>
      </c>
      <c r="B64" s="37" t="s">
        <v>247</v>
      </c>
      <c r="C64" s="37" t="s">
        <v>248</v>
      </c>
    </row>
    <row r="66" spans="1:15" x14ac:dyDescent="0.2">
      <c r="A66" s="36" t="s">
        <v>160</v>
      </c>
      <c r="B66" s="52" t="s">
        <v>249</v>
      </c>
      <c r="C66" s="37" t="s">
        <v>250</v>
      </c>
      <c r="D66" s="38">
        <f t="shared" ref="D66:L66" si="7">+D67</f>
        <v>15032826.814500004</v>
      </c>
      <c r="E66" s="38">
        <f t="shared" si="7"/>
        <v>12348988.664500004</v>
      </c>
      <c r="F66" s="38">
        <f t="shared" si="7"/>
        <v>8846689.7645000033</v>
      </c>
      <c r="G66" s="38">
        <f t="shared" si="7"/>
        <v>7968034.5145000042</v>
      </c>
      <c r="H66" s="38">
        <f t="shared" si="7"/>
        <v>4956946.6500000004</v>
      </c>
      <c r="I66" s="38">
        <f t="shared" si="7"/>
        <v>3294488.45</v>
      </c>
      <c r="J66" s="38">
        <f t="shared" si="7"/>
        <v>1899788.6</v>
      </c>
      <c r="K66" s="38">
        <f t="shared" si="7"/>
        <v>695079</v>
      </c>
      <c r="L66" s="38">
        <f t="shared" si="7"/>
        <v>3447853</v>
      </c>
      <c r="M66" s="38">
        <v>2935704</v>
      </c>
      <c r="N66" s="38">
        <v>2094762</v>
      </c>
      <c r="O66" s="38">
        <v>-10921313</v>
      </c>
    </row>
    <row r="67" spans="1:15" x14ac:dyDescent="0.2">
      <c r="A67" s="36" t="s">
        <v>137</v>
      </c>
      <c r="B67" s="37" t="s">
        <v>251</v>
      </c>
      <c r="C67" s="37" t="s">
        <v>252</v>
      </c>
      <c r="D67" s="38">
        <f>+D69+D76+D77+D72</f>
        <v>15032826.814500004</v>
      </c>
      <c r="E67" s="38">
        <f>+E69+E76+E77+E72</f>
        <v>12348988.664500004</v>
      </c>
      <c r="F67" s="38">
        <f>+F69+F76+F77+F72</f>
        <v>8846689.7645000033</v>
      </c>
      <c r="G67" s="38">
        <f t="shared" ref="G67:L67" si="8">+G69+G76+G77+G72</f>
        <v>7968034.5145000042</v>
      </c>
      <c r="H67" s="38">
        <f t="shared" si="8"/>
        <v>4956946.6500000004</v>
      </c>
      <c r="I67" s="38">
        <f t="shared" si="8"/>
        <v>3294488.45</v>
      </c>
      <c r="J67" s="38">
        <f t="shared" si="8"/>
        <v>1899788.6</v>
      </c>
      <c r="K67" s="38">
        <f t="shared" si="8"/>
        <v>695079</v>
      </c>
      <c r="L67" s="38">
        <f t="shared" si="8"/>
        <v>3447853</v>
      </c>
      <c r="M67" s="38">
        <f>+M69+M72+M76+M77</f>
        <v>2935704</v>
      </c>
      <c r="N67" s="38">
        <f>+N69+N72+N76+N77</f>
        <v>2094762</v>
      </c>
      <c r="O67" s="38">
        <f>+O69+O72+O76+O77</f>
        <v>-10921313</v>
      </c>
    </row>
    <row r="68" spans="1:15" x14ac:dyDescent="0.2">
      <c r="B68" s="37" t="s">
        <v>253</v>
      </c>
    </row>
    <row r="69" spans="1:15" x14ac:dyDescent="0.2">
      <c r="A69" s="36" t="s">
        <v>142</v>
      </c>
      <c r="B69" s="37" t="s">
        <v>254</v>
      </c>
      <c r="C69" s="37" t="s">
        <v>255</v>
      </c>
      <c r="D69" s="38">
        <v>100000</v>
      </c>
      <c r="E69" s="38">
        <v>100000</v>
      </c>
      <c r="F69" s="38">
        <v>100000</v>
      </c>
      <c r="G69" s="38">
        <v>100000</v>
      </c>
      <c r="H69" s="38">
        <v>100000</v>
      </c>
      <c r="I69" s="38">
        <v>100000</v>
      </c>
      <c r="J69" s="38">
        <v>100000</v>
      </c>
      <c r="K69" s="38">
        <v>100000</v>
      </c>
      <c r="L69" s="38">
        <v>100000</v>
      </c>
      <c r="M69" s="38">
        <v>100000</v>
      </c>
      <c r="N69" s="38">
        <v>100000</v>
      </c>
      <c r="O69" s="38">
        <v>100000</v>
      </c>
    </row>
    <row r="70" spans="1:15" x14ac:dyDescent="0.2">
      <c r="A70" s="36" t="s">
        <v>143</v>
      </c>
      <c r="B70" s="37" t="s">
        <v>256</v>
      </c>
      <c r="C70" s="37" t="s">
        <v>257</v>
      </c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</row>
    <row r="71" spans="1:15" x14ac:dyDescent="0.2">
      <c r="A71" s="36" t="s">
        <v>144</v>
      </c>
      <c r="B71" s="37" t="s">
        <v>258</v>
      </c>
      <c r="C71" s="37" t="s">
        <v>259</v>
      </c>
    </row>
    <row r="72" spans="1:15" x14ac:dyDescent="0.2">
      <c r="A72" s="36" t="s">
        <v>146</v>
      </c>
      <c r="B72" s="37" t="s">
        <v>260</v>
      </c>
      <c r="C72" s="37" t="s">
        <v>261</v>
      </c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</row>
    <row r="73" spans="1:15" x14ac:dyDescent="0.2">
      <c r="B73" s="37" t="s">
        <v>262</v>
      </c>
      <c r="C73" s="37" t="s">
        <v>263</v>
      </c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</row>
    <row r="74" spans="1:15" x14ac:dyDescent="0.2">
      <c r="B74" s="37" t="s">
        <v>264</v>
      </c>
      <c r="C74" s="37" t="s">
        <v>265</v>
      </c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</row>
    <row r="75" spans="1:15" x14ac:dyDescent="0.2">
      <c r="B75" s="37" t="s">
        <v>266</v>
      </c>
      <c r="C75" s="37" t="s">
        <v>267</v>
      </c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</row>
    <row r="76" spans="1:15" x14ac:dyDescent="0.2">
      <c r="A76" s="36" t="s">
        <v>147</v>
      </c>
      <c r="B76" s="37" t="s">
        <v>268</v>
      </c>
      <c r="C76" s="37" t="s">
        <v>269</v>
      </c>
      <c r="D76" s="38">
        <f t="shared" ref="D76:J76" si="9">+E76+E77</f>
        <v>12248988.664500004</v>
      </c>
      <c r="E76" s="38">
        <f t="shared" si="9"/>
        <v>8746689.7645000033</v>
      </c>
      <c r="F76" s="38">
        <f t="shared" si="9"/>
        <v>7868034.5145000042</v>
      </c>
      <c r="G76" s="38">
        <f t="shared" si="9"/>
        <v>4856946.6500000004</v>
      </c>
      <c r="H76" s="38">
        <f t="shared" si="9"/>
        <v>3194488.45</v>
      </c>
      <c r="I76" s="38">
        <f t="shared" si="9"/>
        <v>1799788.6</v>
      </c>
      <c r="J76" s="38">
        <f t="shared" si="9"/>
        <v>595079</v>
      </c>
      <c r="K76" s="38">
        <v>-1160383</v>
      </c>
      <c r="L76" s="38">
        <f>+M76+M77</f>
        <v>2835704</v>
      </c>
      <c r="M76" s="38">
        <v>1994762</v>
      </c>
      <c r="N76" s="38"/>
      <c r="O76" s="38">
        <v>-3967933</v>
      </c>
    </row>
    <row r="77" spans="1:15" x14ac:dyDescent="0.2">
      <c r="A77" s="36" t="s">
        <v>170</v>
      </c>
      <c r="B77" s="37" t="s">
        <v>270</v>
      </c>
      <c r="C77" s="37" t="s">
        <v>271</v>
      </c>
      <c r="D77" s="38">
        <f>+'A-Sh BA'!C105</f>
        <v>2683838.15</v>
      </c>
      <c r="E77" s="38">
        <f>+'A-Sh BA'!D105</f>
        <v>3502298.9</v>
      </c>
      <c r="F77" s="38">
        <f>+'A-Sh BA'!E105</f>
        <v>878655.25</v>
      </c>
      <c r="G77" s="38">
        <f>+'A-Sh BA'!F105</f>
        <v>3011087.8645000039</v>
      </c>
      <c r="H77" s="38">
        <f>+'A-Sh BA'!G105</f>
        <v>1662458.2</v>
      </c>
      <c r="I77" s="38">
        <f>+'A-Sh BA'!H105</f>
        <v>1394699.85</v>
      </c>
      <c r="J77" s="38">
        <f>+'A-Sh BA'!I105</f>
        <v>1204709.6000000001</v>
      </c>
      <c r="K77" s="38">
        <f>+'A-Sh BA'!J105</f>
        <v>1755462</v>
      </c>
      <c r="L77" s="38">
        <f>+'A-Sh BA'!K105+0.4</f>
        <v>512149</v>
      </c>
      <c r="M77" s="38">
        <v>840942</v>
      </c>
      <c r="N77" s="38">
        <v>1994762</v>
      </c>
      <c r="O77" s="38">
        <v>-7053380</v>
      </c>
    </row>
    <row r="78" spans="1:15" x14ac:dyDescent="0.2">
      <c r="A78" s="36" t="s">
        <v>156</v>
      </c>
      <c r="B78" s="37" t="s">
        <v>272</v>
      </c>
      <c r="C78" s="37" t="s">
        <v>273</v>
      </c>
    </row>
    <row r="79" spans="1:15" x14ac:dyDescent="0.2">
      <c r="A79" s="36" t="s">
        <v>138</v>
      </c>
      <c r="B79" s="37" t="s">
        <v>274</v>
      </c>
      <c r="C79" s="37" t="s">
        <v>275</v>
      </c>
    </row>
    <row r="80" spans="1:15" x14ac:dyDescent="0.2">
      <c r="A80" s="36" t="s">
        <v>142</v>
      </c>
      <c r="B80" s="37" t="s">
        <v>276</v>
      </c>
      <c r="C80" s="37" t="s">
        <v>277</v>
      </c>
    </row>
    <row r="81" spans="1:15" x14ac:dyDescent="0.2">
      <c r="A81" s="36" t="s">
        <v>143</v>
      </c>
      <c r="B81" s="37" t="s">
        <v>278</v>
      </c>
      <c r="C81" s="37" t="s">
        <v>279</v>
      </c>
    </row>
    <row r="82" spans="1:15" x14ac:dyDescent="0.2">
      <c r="A82" s="36" t="s">
        <v>144</v>
      </c>
      <c r="B82" s="37" t="s">
        <v>280</v>
      </c>
      <c r="C82" s="37" t="s">
        <v>281</v>
      </c>
    </row>
    <row r="83" spans="1:15" x14ac:dyDescent="0.2">
      <c r="A83" s="36" t="s">
        <v>146</v>
      </c>
      <c r="B83" s="37" t="s">
        <v>282</v>
      </c>
      <c r="C83" s="37" t="s">
        <v>283</v>
      </c>
    </row>
    <row r="84" spans="1:15" x14ac:dyDescent="0.2">
      <c r="A84" s="36" t="s">
        <v>148</v>
      </c>
      <c r="B84" s="37" t="s">
        <v>284</v>
      </c>
      <c r="C84" s="37" t="s">
        <v>285</v>
      </c>
    </row>
    <row r="85" spans="1:15" x14ac:dyDescent="0.2">
      <c r="A85" s="36" t="s">
        <v>154</v>
      </c>
      <c r="B85" s="37" t="s">
        <v>286</v>
      </c>
      <c r="C85" s="37" t="s">
        <v>287</v>
      </c>
    </row>
    <row r="86" spans="1:15" x14ac:dyDescent="0.2">
      <c r="A86" s="36" t="s">
        <v>142</v>
      </c>
      <c r="B86" s="37" t="s">
        <v>288</v>
      </c>
      <c r="C86" s="37" t="s">
        <v>289</v>
      </c>
    </row>
    <row r="87" spans="1:15" x14ac:dyDescent="0.2">
      <c r="A87" s="36" t="s">
        <v>143</v>
      </c>
      <c r="B87" s="37" t="s">
        <v>290</v>
      </c>
      <c r="C87" s="37" t="s">
        <v>291</v>
      </c>
    </row>
    <row r="88" spans="1:15" x14ac:dyDescent="0.2">
      <c r="A88" s="36" t="s">
        <v>162</v>
      </c>
      <c r="B88" s="37" t="s">
        <v>292</v>
      </c>
      <c r="C88" s="37" t="s">
        <v>293</v>
      </c>
      <c r="D88" s="38">
        <f>+D97</f>
        <v>27173647.418299999</v>
      </c>
      <c r="E88" s="38">
        <f>+E97</f>
        <v>21162970</v>
      </c>
      <c r="F88" s="38">
        <f>+F97</f>
        <v>25528441</v>
      </c>
      <c r="G88" s="38">
        <f t="shared" ref="G88:L88" si="10">+G97</f>
        <v>28149674.490000002</v>
      </c>
      <c r="H88" s="38">
        <f t="shared" si="10"/>
        <v>17722619.800000001</v>
      </c>
      <c r="I88" s="38">
        <f t="shared" si="10"/>
        <v>17905224</v>
      </c>
      <c r="J88" s="38">
        <f t="shared" si="10"/>
        <v>17898467</v>
      </c>
      <c r="K88" s="38">
        <f t="shared" si="10"/>
        <v>20804205</v>
      </c>
      <c r="L88" s="38">
        <f t="shared" si="10"/>
        <v>201104</v>
      </c>
      <c r="M88" s="38">
        <v>169557</v>
      </c>
      <c r="N88" s="38">
        <v>1620064</v>
      </c>
      <c r="O88" s="38">
        <v>13585304</v>
      </c>
    </row>
    <row r="89" spans="1:15" x14ac:dyDescent="0.2">
      <c r="A89" s="36" t="s">
        <v>137</v>
      </c>
      <c r="B89" s="37" t="s">
        <v>294</v>
      </c>
      <c r="C89" s="37" t="s">
        <v>295</v>
      </c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</row>
    <row r="90" spans="1:15" x14ac:dyDescent="0.2">
      <c r="A90" s="36" t="s">
        <v>142</v>
      </c>
      <c r="B90" s="37" t="s">
        <v>296</v>
      </c>
      <c r="C90" s="37" t="s">
        <v>297</v>
      </c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</row>
    <row r="91" spans="1:15" x14ac:dyDescent="0.2">
      <c r="A91" s="36" t="s">
        <v>143</v>
      </c>
      <c r="B91" s="37" t="s">
        <v>298</v>
      </c>
      <c r="C91" s="37" t="s">
        <v>299</v>
      </c>
    </row>
    <row r="92" spans="1:15" x14ac:dyDescent="0.2">
      <c r="A92" s="36" t="s">
        <v>144</v>
      </c>
      <c r="B92" s="37" t="s">
        <v>300</v>
      </c>
      <c r="C92" s="37" t="s">
        <v>301</v>
      </c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</row>
    <row r="93" spans="1:15" x14ac:dyDescent="0.2">
      <c r="A93" s="36" t="s">
        <v>146</v>
      </c>
      <c r="B93" s="37" t="s">
        <v>302</v>
      </c>
      <c r="C93" s="37" t="s">
        <v>303</v>
      </c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</row>
    <row r="94" spans="1:15" x14ac:dyDescent="0.2">
      <c r="A94" s="36" t="s">
        <v>147</v>
      </c>
      <c r="B94" s="37" t="s">
        <v>304</v>
      </c>
      <c r="C94" s="37" t="s">
        <v>305</v>
      </c>
    </row>
    <row r="95" spans="1:15" x14ac:dyDescent="0.2">
      <c r="A95" s="36" t="s">
        <v>170</v>
      </c>
      <c r="B95" s="37" t="s">
        <v>118</v>
      </c>
      <c r="C95" s="37" t="s">
        <v>306</v>
      </c>
    </row>
    <row r="96" spans="1:15" x14ac:dyDescent="0.2">
      <c r="A96" s="36" t="s">
        <v>156</v>
      </c>
      <c r="B96" s="37" t="s">
        <v>307</v>
      </c>
      <c r="C96" s="37" t="s">
        <v>308</v>
      </c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</row>
    <row r="97" spans="1:15" x14ac:dyDescent="0.2">
      <c r="A97" s="36" t="s">
        <v>138</v>
      </c>
      <c r="B97" s="37" t="s">
        <v>309</v>
      </c>
      <c r="C97" s="37" t="s">
        <v>310</v>
      </c>
      <c r="D97" s="38">
        <f>+D98+D99+D100+D101+D102+D103+D104+D105+D106+D107</f>
        <v>27173647.418299999</v>
      </c>
      <c r="E97" s="38">
        <f>+E98+E99+E100+E101+E102+E103+E104+E105+E106+E107</f>
        <v>21162970</v>
      </c>
      <c r="F97" s="38">
        <f>+F98+F99+F100+F101+F102+F103+F104+F105+F106+F107</f>
        <v>25528441</v>
      </c>
      <c r="G97" s="38">
        <f t="shared" ref="G97:L97" si="11">+G98+G99+G100+G101+G102+G103+G104+G105+G106+G107</f>
        <v>28149674.490000002</v>
      </c>
      <c r="H97" s="38">
        <f t="shared" si="11"/>
        <v>17722619.800000001</v>
      </c>
      <c r="I97" s="38">
        <f t="shared" si="11"/>
        <v>17905224</v>
      </c>
      <c r="J97" s="38">
        <f t="shared" si="11"/>
        <v>17898467</v>
      </c>
      <c r="K97" s="38">
        <f t="shared" si="11"/>
        <v>20804205</v>
      </c>
      <c r="L97" s="38">
        <f t="shared" si="11"/>
        <v>201104</v>
      </c>
      <c r="M97" s="38">
        <v>169557</v>
      </c>
      <c r="N97" s="38">
        <v>1620064</v>
      </c>
      <c r="O97" s="38">
        <v>13585304</v>
      </c>
    </row>
    <row r="98" spans="1:15" x14ac:dyDescent="0.2">
      <c r="A98" s="36" t="s">
        <v>142</v>
      </c>
      <c r="B98" s="37" t="s">
        <v>296</v>
      </c>
      <c r="C98" s="37" t="s">
        <v>311</v>
      </c>
      <c r="D98" s="38">
        <f>192500*121.77+7886.79*121.77+10000*121.77</f>
        <v>25618799.418299999</v>
      </c>
      <c r="E98" s="38">
        <f>2882820+15120000+1364000</f>
        <v>19366820</v>
      </c>
      <c r="F98" s="38">
        <f>22675032+1329500</f>
        <v>24004532</v>
      </c>
      <c r="G98" s="38">
        <v>24013690</v>
      </c>
      <c r="H98" s="38">
        <f>9677500+3235364</f>
        <v>12912864</v>
      </c>
      <c r="I98" s="38">
        <f>4628464+9770600</f>
        <v>14399064</v>
      </c>
      <c r="J98" s="38">
        <v>15320110</v>
      </c>
      <c r="K98" s="38">
        <v>16603537</v>
      </c>
      <c r="L98" s="38"/>
      <c r="M98" s="38"/>
      <c r="N98" s="38"/>
      <c r="O98" s="38">
        <v>8142510</v>
      </c>
    </row>
    <row r="99" spans="1:15" x14ac:dyDescent="0.2">
      <c r="A99" s="36" t="s">
        <v>143</v>
      </c>
      <c r="B99" s="37" t="s">
        <v>298</v>
      </c>
      <c r="C99" s="37" t="s">
        <v>312</v>
      </c>
    </row>
    <row r="100" spans="1:15" x14ac:dyDescent="0.2">
      <c r="A100" s="36" t="s">
        <v>144</v>
      </c>
      <c r="B100" s="37" t="s">
        <v>313</v>
      </c>
      <c r="C100" s="37" t="s">
        <v>314</v>
      </c>
    </row>
    <row r="101" spans="1:15" x14ac:dyDescent="0.2">
      <c r="A101" s="36" t="s">
        <v>146</v>
      </c>
      <c r="B101" s="37" t="s">
        <v>302</v>
      </c>
      <c r="C101" s="37" t="s">
        <v>315</v>
      </c>
      <c r="D101" s="38">
        <v>1043653</v>
      </c>
      <c r="E101" s="38">
        <f>1176355</f>
        <v>1176355</v>
      </c>
      <c r="F101" s="38">
        <v>1245430</v>
      </c>
      <c r="G101" s="38">
        <f>3854385+1.49</f>
        <v>3854386.49</v>
      </c>
      <c r="H101" s="38">
        <v>4231701.8</v>
      </c>
      <c r="I101" s="38">
        <v>3014566</v>
      </c>
      <c r="J101" s="38">
        <v>2400644</v>
      </c>
      <c r="K101" s="38">
        <v>4100951</v>
      </c>
      <c r="L101" s="38"/>
      <c r="M101" s="38"/>
      <c r="N101" s="38">
        <v>1205070</v>
      </c>
      <c r="O101" s="38">
        <v>1061093</v>
      </c>
    </row>
    <row r="102" spans="1:15" x14ac:dyDescent="0.2">
      <c r="A102" s="36" t="s">
        <v>147</v>
      </c>
      <c r="B102" s="37" t="s">
        <v>316</v>
      </c>
      <c r="C102" s="37" t="s">
        <v>317</v>
      </c>
      <c r="D102" s="54">
        <v>370140</v>
      </c>
      <c r="E102" s="54">
        <v>337000</v>
      </c>
      <c r="F102" s="54">
        <v>198280</v>
      </c>
      <c r="G102" s="54">
        <v>212176</v>
      </c>
      <c r="H102" s="54">
        <v>409825</v>
      </c>
      <c r="I102" s="54">
        <f>231587+153254</f>
        <v>384841</v>
      </c>
      <c r="J102" s="54"/>
      <c r="K102" s="54"/>
      <c r="L102" s="54"/>
      <c r="M102" s="54"/>
      <c r="N102" s="54"/>
      <c r="O102" s="54"/>
    </row>
    <row r="103" spans="1:15" x14ac:dyDescent="0.2">
      <c r="A103" s="36" t="s">
        <v>170</v>
      </c>
      <c r="B103" s="37" t="s">
        <v>665</v>
      </c>
      <c r="C103" s="37" t="s">
        <v>318</v>
      </c>
      <c r="D103" s="54">
        <v>131590</v>
      </c>
      <c r="E103" s="54">
        <v>119346</v>
      </c>
      <c r="F103" s="54">
        <v>74949</v>
      </c>
      <c r="G103" s="54">
        <v>64172</v>
      </c>
      <c r="H103" s="54">
        <v>85097</v>
      </c>
      <c r="I103" s="54">
        <v>71147</v>
      </c>
      <c r="J103" s="54">
        <v>60859</v>
      </c>
      <c r="K103" s="54">
        <v>66255</v>
      </c>
      <c r="L103" s="54">
        <v>52905</v>
      </c>
      <c r="M103" s="54">
        <v>49782</v>
      </c>
      <c r="N103" s="54">
        <v>37386</v>
      </c>
      <c r="O103" s="54">
        <v>65672</v>
      </c>
    </row>
    <row r="104" spans="1:15" x14ac:dyDescent="0.2">
      <c r="A104" s="36" t="s">
        <v>156</v>
      </c>
      <c r="B104" s="37" t="s">
        <v>666</v>
      </c>
      <c r="C104" s="37" t="s">
        <v>319</v>
      </c>
      <c r="D104" s="54">
        <v>9465</v>
      </c>
      <c r="E104" s="54">
        <f>5250+158199</f>
        <v>163449</v>
      </c>
      <c r="F104" s="54">
        <f>5250</f>
        <v>5250</v>
      </c>
      <c r="G104" s="54">
        <v>5250</v>
      </c>
      <c r="H104" s="54">
        <f>9000+74132</f>
        <v>83132</v>
      </c>
      <c r="I104" s="54">
        <v>35606</v>
      </c>
      <c r="J104" s="54">
        <f>14000+102854</f>
        <v>116854</v>
      </c>
      <c r="K104" s="54">
        <v>33462</v>
      </c>
      <c r="L104" s="54">
        <v>148199</v>
      </c>
      <c r="M104" s="54">
        <v>119775</v>
      </c>
      <c r="N104" s="54">
        <v>10400</v>
      </c>
      <c r="O104" s="54">
        <v>15546</v>
      </c>
    </row>
    <row r="105" spans="1:15" x14ac:dyDescent="0.2">
      <c r="A105" s="36" t="s">
        <v>320</v>
      </c>
      <c r="B105" s="37" t="s">
        <v>118</v>
      </c>
      <c r="C105" s="37" t="s">
        <v>321</v>
      </c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>
        <v>367208</v>
      </c>
      <c r="O105" s="54">
        <v>4300483</v>
      </c>
    </row>
    <row r="106" spans="1:15" x14ac:dyDescent="0.2">
      <c r="A106" s="36" t="s">
        <v>322</v>
      </c>
      <c r="B106" s="37" t="s">
        <v>323</v>
      </c>
      <c r="C106" s="37" t="s">
        <v>324</v>
      </c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</row>
    <row r="107" spans="1:15" x14ac:dyDescent="0.2">
      <c r="A107" s="36" t="s">
        <v>148</v>
      </c>
      <c r="B107" s="37" t="s">
        <v>325</v>
      </c>
      <c r="C107" s="37" t="s">
        <v>326</v>
      </c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</row>
    <row r="108" spans="1:15" x14ac:dyDescent="0.2">
      <c r="A108" s="36" t="s">
        <v>191</v>
      </c>
      <c r="B108" s="37" t="s">
        <v>231</v>
      </c>
      <c r="C108" s="37" t="s">
        <v>327</v>
      </c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</row>
    <row r="109" spans="1:15" x14ac:dyDescent="0.2">
      <c r="A109" s="36" t="s">
        <v>142</v>
      </c>
      <c r="B109" s="37" t="s">
        <v>328</v>
      </c>
      <c r="C109" s="37" t="s">
        <v>329</v>
      </c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</row>
    <row r="110" spans="1:15" x14ac:dyDescent="0.2">
      <c r="A110" s="36" t="s">
        <v>143</v>
      </c>
      <c r="B110" s="37" t="s">
        <v>110</v>
      </c>
      <c r="C110" s="37" t="s">
        <v>330</v>
      </c>
    </row>
    <row r="111" spans="1:15" x14ac:dyDescent="0.2">
      <c r="B111" s="37" t="s">
        <v>331</v>
      </c>
      <c r="C111" s="37" t="s">
        <v>332</v>
      </c>
      <c r="D111" s="51">
        <f t="shared" ref="D111:I111" si="12">+D108+D88+D66</f>
        <v>42206474.232800007</v>
      </c>
      <c r="E111" s="51">
        <f t="shared" si="12"/>
        <v>33511958.664500006</v>
      </c>
      <c r="F111" s="51">
        <f t="shared" si="12"/>
        <v>34375130.764500007</v>
      </c>
      <c r="G111" s="51">
        <f t="shared" si="12"/>
        <v>36117709.004500009</v>
      </c>
      <c r="H111" s="51">
        <f t="shared" si="12"/>
        <v>22679566.450000003</v>
      </c>
      <c r="I111" s="51">
        <f t="shared" si="12"/>
        <v>21199712.449999999</v>
      </c>
      <c r="J111" s="51">
        <f t="shared" ref="J111:O111" si="13">+J108+J88+J66</f>
        <v>19798255.600000001</v>
      </c>
      <c r="K111" s="51">
        <f t="shared" si="13"/>
        <v>21499284</v>
      </c>
      <c r="L111" s="51">
        <f t="shared" si="13"/>
        <v>3648957</v>
      </c>
      <c r="M111" s="51">
        <f t="shared" si="13"/>
        <v>3105261</v>
      </c>
      <c r="N111" s="51">
        <f t="shared" si="13"/>
        <v>3714826</v>
      </c>
      <c r="O111" s="51">
        <f t="shared" si="13"/>
        <v>2663991</v>
      </c>
    </row>
    <row r="112" spans="1:15" x14ac:dyDescent="0.2">
      <c r="B112" s="37" t="s">
        <v>241</v>
      </c>
      <c r="C112" s="37" t="s">
        <v>333</v>
      </c>
    </row>
    <row r="113" spans="1:15" x14ac:dyDescent="0.2">
      <c r="A113" s="36" t="s">
        <v>142</v>
      </c>
      <c r="B113" s="37" t="s">
        <v>334</v>
      </c>
      <c r="C113" s="37" t="s">
        <v>335</v>
      </c>
    </row>
    <row r="114" spans="1:15" x14ac:dyDescent="0.2">
      <c r="A114" s="36" t="s">
        <v>143</v>
      </c>
      <c r="B114" s="37" t="s">
        <v>336</v>
      </c>
      <c r="C114" s="37" t="s">
        <v>337</v>
      </c>
    </row>
    <row r="115" spans="1:15" x14ac:dyDescent="0.2">
      <c r="A115" s="36" t="s">
        <v>144</v>
      </c>
      <c r="B115" s="37" t="s">
        <v>338</v>
      </c>
      <c r="C115" s="37" t="s">
        <v>339</v>
      </c>
    </row>
    <row r="116" spans="1:15" x14ac:dyDescent="0.2">
      <c r="C116" s="37" t="s">
        <v>340</v>
      </c>
    </row>
    <row r="118" spans="1:15" x14ac:dyDescent="0.2">
      <c r="A118" s="39"/>
      <c r="D118" s="59">
        <f t="shared" ref="D118:I118" si="14">+D60-D111</f>
        <v>-4.6000108122825623E-3</v>
      </c>
      <c r="E118" s="59">
        <f t="shared" si="14"/>
        <v>-4.5000053942203522E-3</v>
      </c>
      <c r="F118" s="59">
        <f t="shared" si="14"/>
        <v>-4.5000016689300537E-3</v>
      </c>
      <c r="G118" s="59">
        <f t="shared" si="14"/>
        <v>-4.5000091195106506E-3</v>
      </c>
      <c r="H118" s="59">
        <f t="shared" si="14"/>
        <v>0</v>
      </c>
      <c r="I118" s="59">
        <f t="shared" si="14"/>
        <v>0</v>
      </c>
      <c r="J118" s="59">
        <f t="shared" ref="J118:O118" si="15">+J60-J111</f>
        <v>0</v>
      </c>
      <c r="K118" s="59">
        <f t="shared" si="15"/>
        <v>0</v>
      </c>
      <c r="L118" s="59">
        <f t="shared" si="15"/>
        <v>0</v>
      </c>
      <c r="M118" s="59">
        <f t="shared" si="15"/>
        <v>0</v>
      </c>
      <c r="N118" s="59">
        <f t="shared" si="15"/>
        <v>0</v>
      </c>
      <c r="O118" s="59">
        <f t="shared" si="15"/>
        <v>0</v>
      </c>
    </row>
    <row r="120" spans="1:15" x14ac:dyDescent="0.2">
      <c r="D120" s="84"/>
      <c r="E120" s="84"/>
      <c r="F120" s="84"/>
      <c r="G120" s="84"/>
      <c r="H120" s="84"/>
      <c r="I120" s="84"/>
      <c r="J120" s="84"/>
      <c r="K120" s="84"/>
      <c r="L120" s="84"/>
      <c r="M120" s="84"/>
      <c r="N120" s="84"/>
      <c r="O120" s="84"/>
    </row>
    <row r="124" spans="1:15" x14ac:dyDescent="0.2">
      <c r="D124" s="84"/>
      <c r="E124" s="84"/>
      <c r="F124" s="84"/>
      <c r="G124" s="84"/>
      <c r="H124" s="84"/>
      <c r="I124" s="84"/>
      <c r="J124" s="84"/>
      <c r="K124" s="84"/>
      <c r="L124" s="84"/>
      <c r="M124" s="84"/>
      <c r="N124" s="84"/>
      <c r="O124" s="84"/>
    </row>
  </sheetData>
  <phoneticPr fontId="11" type="noConversion"/>
  <pageMargins left="0.23" right="0.25" top="0.4" bottom="0.5" header="0" footer="0"/>
  <pageSetup paperSize="9" orientation="portrait" blackAndWhite="1" errors="NA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0"/>
  <sheetViews>
    <sheetView topLeftCell="A7" workbookViewId="0">
      <selection activeCell="C67" sqref="C67"/>
    </sheetView>
  </sheetViews>
  <sheetFormatPr defaultColWidth="11.42578125" defaultRowHeight="12.75" x14ac:dyDescent="0.2"/>
  <cols>
    <col min="1" max="1" width="5.5703125" style="40" customWidth="1"/>
    <col min="2" max="2" width="47.42578125" style="40" bestFit="1" customWidth="1"/>
    <col min="3" max="4" width="15.28515625" style="40" customWidth="1"/>
    <col min="5" max="10" width="15.28515625" style="40" hidden="1" customWidth="1"/>
    <col min="11" max="14" width="14" style="40" hidden="1" customWidth="1"/>
    <col min="15" max="18" width="11.42578125" style="40"/>
    <col min="19" max="20" width="11.42578125" style="40" customWidth="1"/>
    <col min="21" max="16384" width="11.42578125" style="40"/>
  </cols>
  <sheetData>
    <row r="1" spans="1:14" ht="18" x14ac:dyDescent="0.2">
      <c r="B1" s="41" t="s">
        <v>342</v>
      </c>
    </row>
    <row r="3" spans="1:14" ht="14.25" x14ac:dyDescent="0.2">
      <c r="B3" s="42" t="s">
        <v>343</v>
      </c>
    </row>
    <row r="5" spans="1:14" x14ac:dyDescent="0.2">
      <c r="C5" s="423"/>
      <c r="D5" s="423"/>
      <c r="E5" s="423"/>
      <c r="F5" s="423"/>
      <c r="G5" s="423"/>
      <c r="H5" s="423"/>
      <c r="I5" s="423"/>
      <c r="J5" s="423"/>
    </row>
    <row r="9" spans="1:14" ht="15" x14ac:dyDescent="0.2">
      <c r="A9" s="43" t="s">
        <v>344</v>
      </c>
      <c r="B9" s="44" t="s">
        <v>345</v>
      </c>
      <c r="C9" s="43" t="s">
        <v>707</v>
      </c>
      <c r="D9" s="43" t="s">
        <v>694</v>
      </c>
      <c r="E9" s="43" t="s">
        <v>686</v>
      </c>
      <c r="F9" s="43" t="s">
        <v>673</v>
      </c>
      <c r="G9" s="43" t="s">
        <v>668</v>
      </c>
      <c r="H9" s="43" t="s">
        <v>659</v>
      </c>
      <c r="I9" s="43" t="s">
        <v>651</v>
      </c>
      <c r="J9" s="43" t="s">
        <v>633</v>
      </c>
      <c r="K9" s="43" t="s">
        <v>595</v>
      </c>
      <c r="L9" s="43" t="s">
        <v>538</v>
      </c>
      <c r="M9" s="43" t="s">
        <v>520</v>
      </c>
      <c r="N9" s="43" t="s">
        <v>438</v>
      </c>
    </row>
    <row r="12" spans="1:14" x14ac:dyDescent="0.2">
      <c r="A12" s="45" t="s">
        <v>137</v>
      </c>
      <c r="B12" s="46" t="s">
        <v>346</v>
      </c>
      <c r="C12" s="56">
        <f>SUM(C14:C15)</f>
        <v>402531859</v>
      </c>
      <c r="D12" s="56">
        <f>SUM(D14:D15)</f>
        <v>519157790</v>
      </c>
      <c r="E12" s="56">
        <f>SUM(E14:E15)</f>
        <v>537776947</v>
      </c>
      <c r="F12" s="56">
        <f>SUM(F14:F15)</f>
        <v>462882613</v>
      </c>
      <c r="G12" s="56">
        <f t="shared" ref="G12:L12" si="0">SUM(G14:G15)</f>
        <v>27265876</v>
      </c>
      <c r="H12" s="56">
        <f t="shared" si="0"/>
        <v>15746159</v>
      </c>
      <c r="I12" s="56">
        <f t="shared" si="0"/>
        <v>153095919</v>
      </c>
      <c r="J12" s="56">
        <f t="shared" si="0"/>
        <v>108863657</v>
      </c>
      <c r="K12" s="56">
        <f t="shared" si="0"/>
        <v>47054355</v>
      </c>
      <c r="L12" s="56">
        <f t="shared" si="0"/>
        <v>76859726</v>
      </c>
      <c r="M12" s="56">
        <v>61947030</v>
      </c>
      <c r="N12" s="56">
        <v>78482619</v>
      </c>
    </row>
    <row r="13" spans="1:14" x14ac:dyDescent="0.2">
      <c r="A13" s="45" t="s">
        <v>127</v>
      </c>
      <c r="B13" s="46" t="s">
        <v>347</v>
      </c>
    </row>
    <row r="14" spans="1:14" x14ac:dyDescent="0.2">
      <c r="A14" s="45" t="s">
        <v>128</v>
      </c>
      <c r="B14" s="46" t="s">
        <v>348</v>
      </c>
      <c r="C14" s="259">
        <v>400280859</v>
      </c>
      <c r="D14" s="259">
        <v>503263866</v>
      </c>
      <c r="E14" s="259">
        <v>537776947</v>
      </c>
      <c r="F14" s="259">
        <v>462882613</v>
      </c>
      <c r="G14" s="259">
        <v>27265876</v>
      </c>
      <c r="H14" s="259">
        <v>15746159</v>
      </c>
      <c r="I14" s="259">
        <v>153095919</v>
      </c>
      <c r="J14" s="259">
        <v>108863657</v>
      </c>
      <c r="K14" s="259">
        <v>46521805</v>
      </c>
      <c r="L14" s="259">
        <v>73566876</v>
      </c>
      <c r="M14" s="47">
        <v>58608271</v>
      </c>
      <c r="N14" s="47">
        <v>74117107</v>
      </c>
    </row>
    <row r="15" spans="1:14" x14ac:dyDescent="0.2">
      <c r="A15" s="45" t="s">
        <v>129</v>
      </c>
      <c r="B15" s="46" t="s">
        <v>349</v>
      </c>
      <c r="C15" s="259">
        <v>2251000</v>
      </c>
      <c r="D15" s="259">
        <v>15893924</v>
      </c>
      <c r="E15" s="259">
        <v>0</v>
      </c>
      <c r="F15" s="259">
        <v>0</v>
      </c>
      <c r="G15" s="259">
        <v>0</v>
      </c>
      <c r="H15" s="259">
        <v>0</v>
      </c>
      <c r="I15" s="259">
        <v>0</v>
      </c>
      <c r="J15" s="259">
        <v>0</v>
      </c>
      <c r="K15" s="259">
        <v>532550</v>
      </c>
      <c r="L15" s="259">
        <v>3292850</v>
      </c>
      <c r="M15" s="47">
        <v>3338759</v>
      </c>
      <c r="N15" s="47">
        <v>4365512</v>
      </c>
    </row>
    <row r="16" spans="1:14" x14ac:dyDescent="0.2">
      <c r="A16" s="45" t="s">
        <v>130</v>
      </c>
      <c r="B16" s="46" t="s">
        <v>350</v>
      </c>
    </row>
    <row r="17" spans="1:14" x14ac:dyDescent="0.2">
      <c r="B17" s="46" t="s">
        <v>351</v>
      </c>
      <c r="C17" s="56">
        <f>SUM(C14:C15)</f>
        <v>402531859</v>
      </c>
      <c r="D17" s="56">
        <f>SUM(D14:D15)</f>
        <v>519157790</v>
      </c>
      <c r="E17" s="56">
        <f>SUM(E14:E15)</f>
        <v>537776947</v>
      </c>
      <c r="F17" s="56">
        <f>SUM(F14:F15)</f>
        <v>462882613</v>
      </c>
      <c r="G17" s="56">
        <f t="shared" ref="G17:L17" si="1">SUM(G14:G15)</f>
        <v>27265876</v>
      </c>
      <c r="H17" s="56">
        <f t="shared" si="1"/>
        <v>15746159</v>
      </c>
      <c r="I17" s="56">
        <f t="shared" si="1"/>
        <v>153095919</v>
      </c>
      <c r="J17" s="56">
        <f t="shared" si="1"/>
        <v>108863657</v>
      </c>
      <c r="K17" s="56">
        <f t="shared" si="1"/>
        <v>47054355</v>
      </c>
      <c r="L17" s="56">
        <f t="shared" si="1"/>
        <v>76859726</v>
      </c>
      <c r="M17" s="47">
        <v>61947030</v>
      </c>
      <c r="N17" s="47">
        <v>78482619</v>
      </c>
    </row>
    <row r="18" spans="1:14" x14ac:dyDescent="0.2">
      <c r="B18" s="46" t="s">
        <v>352</v>
      </c>
    </row>
    <row r="19" spans="1:14" x14ac:dyDescent="0.2">
      <c r="A19" s="45" t="s">
        <v>138</v>
      </c>
      <c r="B19" s="46" t="s">
        <v>353</v>
      </c>
      <c r="C19" s="56">
        <f>SUM(C20:C26)</f>
        <v>0</v>
      </c>
      <c r="D19" s="56">
        <f>SUM(D20:D26)</f>
        <v>0</v>
      </c>
      <c r="E19" s="56">
        <f>SUM(E20:E26)</f>
        <v>583335</v>
      </c>
      <c r="F19" s="56"/>
      <c r="G19" s="56"/>
      <c r="H19" s="56"/>
      <c r="I19" s="56"/>
      <c r="J19" s="56"/>
      <c r="K19" s="56"/>
      <c r="L19" s="56"/>
      <c r="M19" s="56"/>
      <c r="N19" s="56"/>
    </row>
    <row r="20" spans="1:14" x14ac:dyDescent="0.2">
      <c r="A20" s="45" t="s">
        <v>131</v>
      </c>
      <c r="B20" s="46" t="s">
        <v>354</v>
      </c>
    </row>
    <row r="21" spans="1:14" x14ac:dyDescent="0.2">
      <c r="A21" s="45" t="s">
        <v>139</v>
      </c>
      <c r="B21" s="46" t="s">
        <v>355</v>
      </c>
    </row>
    <row r="22" spans="1:14" x14ac:dyDescent="0.2">
      <c r="A22" s="45" t="s">
        <v>140</v>
      </c>
      <c r="B22" s="46" t="s">
        <v>356</v>
      </c>
    </row>
    <row r="23" spans="1:14" x14ac:dyDescent="0.2">
      <c r="A23" s="45" t="s">
        <v>141</v>
      </c>
      <c r="B23" s="46" t="s">
        <v>357</v>
      </c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</row>
    <row r="24" spans="1:14" x14ac:dyDescent="0.2">
      <c r="A24" s="45" t="s">
        <v>142</v>
      </c>
      <c r="B24" s="46" t="s">
        <v>358</v>
      </c>
      <c r="C24" s="47">
        <v>0</v>
      </c>
      <c r="D24" s="47">
        <v>0</v>
      </c>
      <c r="E24" s="47">
        <v>583335</v>
      </c>
      <c r="F24" s="47"/>
      <c r="G24" s="47"/>
      <c r="H24" s="47"/>
      <c r="I24" s="47"/>
      <c r="J24" s="47"/>
      <c r="K24" s="47"/>
      <c r="L24" s="47"/>
      <c r="M24" s="47"/>
      <c r="N24" s="47"/>
    </row>
    <row r="25" spans="1:14" x14ac:dyDescent="0.2">
      <c r="A25" s="45" t="s">
        <v>143</v>
      </c>
      <c r="B25" s="46" t="s">
        <v>359</v>
      </c>
    </row>
    <row r="26" spans="1:14" x14ac:dyDescent="0.2">
      <c r="A26" s="45" t="s">
        <v>144</v>
      </c>
      <c r="B26" s="46" t="s">
        <v>110</v>
      </c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</row>
    <row r="28" spans="1:14" x14ac:dyDescent="0.2">
      <c r="A28" s="45" t="s">
        <v>145</v>
      </c>
      <c r="B28" s="46" t="s">
        <v>360</v>
      </c>
    </row>
    <row r="29" spans="1:14" x14ac:dyDescent="0.2">
      <c r="A29" s="45" t="s">
        <v>142</v>
      </c>
      <c r="B29" s="46" t="s">
        <v>361</v>
      </c>
    </row>
    <row r="30" spans="1:14" x14ac:dyDescent="0.2">
      <c r="A30" s="45" t="s">
        <v>143</v>
      </c>
      <c r="B30" s="46" t="s">
        <v>362</v>
      </c>
    </row>
    <row r="31" spans="1:14" x14ac:dyDescent="0.2">
      <c r="A31" s="45" t="s">
        <v>144</v>
      </c>
      <c r="B31" s="46" t="s">
        <v>363</v>
      </c>
    </row>
    <row r="32" spans="1:14" x14ac:dyDescent="0.2">
      <c r="A32" s="45" t="s">
        <v>146</v>
      </c>
      <c r="B32" s="46" t="s">
        <v>364</v>
      </c>
    </row>
    <row r="33" spans="1:14" x14ac:dyDescent="0.2">
      <c r="A33" s="45" t="s">
        <v>147</v>
      </c>
      <c r="B33" s="46" t="s">
        <v>365</v>
      </c>
    </row>
    <row r="34" spans="1:14" x14ac:dyDescent="0.2">
      <c r="B34" s="46" t="s">
        <v>366</v>
      </c>
      <c r="C34" s="47">
        <f>+C17+C19</f>
        <v>402531859</v>
      </c>
      <c r="D34" s="47">
        <f>+D17+D19</f>
        <v>519157790</v>
      </c>
      <c r="E34" s="47">
        <f>+E17+E19</f>
        <v>538360282</v>
      </c>
      <c r="F34" s="47">
        <f>+F17+F19</f>
        <v>462882613</v>
      </c>
      <c r="G34" s="47">
        <f t="shared" ref="G34:L34" si="2">+G17+G19</f>
        <v>27265876</v>
      </c>
      <c r="H34" s="47">
        <f t="shared" si="2"/>
        <v>15746159</v>
      </c>
      <c r="I34" s="47">
        <f t="shared" si="2"/>
        <v>153095919</v>
      </c>
      <c r="J34" s="47">
        <f t="shared" si="2"/>
        <v>108863657</v>
      </c>
      <c r="K34" s="47">
        <f t="shared" si="2"/>
        <v>47054355</v>
      </c>
      <c r="L34" s="47">
        <f t="shared" si="2"/>
        <v>76859726</v>
      </c>
      <c r="M34" s="47">
        <v>61947030</v>
      </c>
      <c r="N34" s="47">
        <v>78482619</v>
      </c>
    </row>
    <row r="36" spans="1:14" x14ac:dyDescent="0.2">
      <c r="A36" s="45" t="s">
        <v>148</v>
      </c>
      <c r="B36" s="46" t="s">
        <v>367</v>
      </c>
      <c r="C36" s="56">
        <f>SUM(C37:C41)</f>
        <v>-1.7462298274040222E-10</v>
      </c>
      <c r="D36" s="56">
        <f>SUM(D37:D41)</f>
        <v>-1.7462298274040222E-10</v>
      </c>
      <c r="E36" s="56">
        <f>SUM(E37:E41)</f>
        <v>-1.7462298274040222E-10</v>
      </c>
      <c r="F36" s="56">
        <f>SUM(F37:F41)</f>
        <v>-1.7462298274040222E-10</v>
      </c>
      <c r="G36" s="56">
        <f t="shared" ref="G36:L36" si="3">SUM(G37:G41)</f>
        <v>-1.7462298274040222E-10</v>
      </c>
      <c r="H36" s="56">
        <f t="shared" si="3"/>
        <v>-1.7462298274040222E-10</v>
      </c>
      <c r="I36" s="56">
        <f t="shared" si="3"/>
        <v>-1.7462298274040222E-10</v>
      </c>
      <c r="J36" s="56">
        <f t="shared" si="3"/>
        <v>-1.7462298274040222E-10</v>
      </c>
      <c r="K36" s="56">
        <f t="shared" si="3"/>
        <v>-1.7462298274040222E-10</v>
      </c>
      <c r="L36" s="56">
        <f t="shared" si="3"/>
        <v>-1.7462298274040222E-10</v>
      </c>
      <c r="M36" s="56">
        <v>0</v>
      </c>
      <c r="N36" s="56">
        <v>3928806</v>
      </c>
    </row>
    <row r="37" spans="1:14" x14ac:dyDescent="0.2">
      <c r="A37" s="45" t="s">
        <v>149</v>
      </c>
      <c r="B37" s="46" t="s">
        <v>368</v>
      </c>
      <c r="C37" s="47">
        <v>0</v>
      </c>
      <c r="D37" s="47">
        <v>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22</v>
      </c>
    </row>
    <row r="38" spans="1:14" x14ac:dyDescent="0.2">
      <c r="A38" s="45" t="s">
        <v>150</v>
      </c>
      <c r="B38" s="46" t="s">
        <v>369</v>
      </c>
    </row>
    <row r="39" spans="1:14" x14ac:dyDescent="0.2">
      <c r="A39" s="45" t="s">
        <v>151</v>
      </c>
      <c r="B39" s="46" t="s">
        <v>370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3928784</v>
      </c>
    </row>
    <row r="40" spans="1:14" x14ac:dyDescent="0.2">
      <c r="A40" s="45" t="s">
        <v>152</v>
      </c>
      <c r="B40" s="46" t="s">
        <v>371</v>
      </c>
    </row>
    <row r="41" spans="1:14" x14ac:dyDescent="0.2">
      <c r="A41" s="45" t="s">
        <v>153</v>
      </c>
      <c r="B41" s="46" t="s">
        <v>372</v>
      </c>
      <c r="C41" s="47">
        <v>-1.7462298274040222E-10</v>
      </c>
      <c r="D41" s="47">
        <v>-1.7462298274040222E-10</v>
      </c>
      <c r="E41" s="47">
        <v>-1.7462298274040222E-10</v>
      </c>
      <c r="F41" s="47">
        <v>-1.7462298274040222E-10</v>
      </c>
      <c r="G41" s="47">
        <v>-1.7462298274040222E-10</v>
      </c>
      <c r="H41" s="47">
        <v>-1.7462298274040222E-10</v>
      </c>
      <c r="I41" s="47">
        <v>-1.7462298274040222E-10</v>
      </c>
      <c r="J41" s="47">
        <v>-1.7462298274040222E-10</v>
      </c>
      <c r="K41" s="47">
        <v>-1.7462298274040222E-10</v>
      </c>
      <c r="L41" s="47">
        <v>-1.7462298274040222E-10</v>
      </c>
      <c r="M41" s="47">
        <v>-1.7462298274040222E-10</v>
      </c>
      <c r="N41" s="47">
        <v>-1.7462298274040222E-10</v>
      </c>
    </row>
    <row r="43" spans="1:14" x14ac:dyDescent="0.2">
      <c r="B43" s="46" t="s">
        <v>373</v>
      </c>
      <c r="C43" s="56">
        <f>+C34</f>
        <v>402531859</v>
      </c>
      <c r="D43" s="56">
        <f>+D34</f>
        <v>519157790</v>
      </c>
      <c r="E43" s="56">
        <f>+E34</f>
        <v>538360282</v>
      </c>
      <c r="F43" s="56">
        <f>+F34</f>
        <v>462882613</v>
      </c>
      <c r="G43" s="56">
        <f t="shared" ref="G43:L43" si="4">+G34</f>
        <v>27265876</v>
      </c>
      <c r="H43" s="56">
        <f t="shared" si="4"/>
        <v>15746159</v>
      </c>
      <c r="I43" s="56">
        <f t="shared" si="4"/>
        <v>153095919</v>
      </c>
      <c r="J43" s="56">
        <f t="shared" si="4"/>
        <v>108863657</v>
      </c>
      <c r="K43" s="56">
        <f t="shared" si="4"/>
        <v>47054355</v>
      </c>
      <c r="L43" s="56">
        <f t="shared" si="4"/>
        <v>76859726</v>
      </c>
      <c r="M43" s="56">
        <v>61947030</v>
      </c>
      <c r="N43" s="56">
        <v>82411425</v>
      </c>
    </row>
    <row r="45" spans="1:14" x14ac:dyDescent="0.2">
      <c r="B45" s="46" t="s">
        <v>374</v>
      </c>
    </row>
    <row r="46" spans="1:14" x14ac:dyDescent="0.2">
      <c r="B46" s="46" t="s">
        <v>375</v>
      </c>
    </row>
    <row r="47" spans="1:14" x14ac:dyDescent="0.2">
      <c r="A47" s="45" t="s">
        <v>154</v>
      </c>
      <c r="B47" s="46" t="s">
        <v>376</v>
      </c>
    </row>
    <row r="48" spans="1:14" x14ac:dyDescent="0.2">
      <c r="B48" s="46" t="s">
        <v>377</v>
      </c>
    </row>
    <row r="49" spans="1:14" x14ac:dyDescent="0.2">
      <c r="B49" s="46" t="s">
        <v>375</v>
      </c>
    </row>
    <row r="50" spans="1:14" x14ac:dyDescent="0.2">
      <c r="A50" s="45" t="s">
        <v>155</v>
      </c>
      <c r="B50" s="46" t="s">
        <v>378</v>
      </c>
    </row>
    <row r="51" spans="1:14" x14ac:dyDescent="0.2">
      <c r="B51" s="46" t="s">
        <v>375</v>
      </c>
    </row>
    <row r="52" spans="1:14" x14ac:dyDescent="0.2">
      <c r="B52" s="46"/>
    </row>
    <row r="53" spans="1:14" x14ac:dyDescent="0.2">
      <c r="B53" s="46"/>
    </row>
    <row r="54" spans="1:14" x14ac:dyDescent="0.2">
      <c r="B54" s="46"/>
    </row>
    <row r="55" spans="1:14" x14ac:dyDescent="0.2">
      <c r="B55" s="46"/>
    </row>
    <row r="56" spans="1:14" x14ac:dyDescent="0.2">
      <c r="B56" s="46"/>
    </row>
    <row r="57" spans="1:14" x14ac:dyDescent="0.2">
      <c r="B57" s="46"/>
    </row>
    <row r="58" spans="1:14" x14ac:dyDescent="0.2">
      <c r="B58" s="46"/>
    </row>
    <row r="60" spans="1:14" ht="15" x14ac:dyDescent="0.2">
      <c r="A60" s="43" t="s">
        <v>344</v>
      </c>
      <c r="B60" s="44" t="s">
        <v>379</v>
      </c>
      <c r="C60" s="43" t="str">
        <f>+C9</f>
        <v>Vlefta 2019</v>
      </c>
      <c r="D60" s="43" t="str">
        <f>+D9</f>
        <v>Vlefta 2018</v>
      </c>
      <c r="E60" s="43" t="str">
        <f t="shared" ref="E60:J60" si="5">+E9</f>
        <v>Vlefta 2017</v>
      </c>
      <c r="F60" s="43" t="str">
        <f t="shared" si="5"/>
        <v>Vlefta 2016</v>
      </c>
      <c r="G60" s="43" t="str">
        <f t="shared" si="5"/>
        <v>Vlefta 2015</v>
      </c>
      <c r="H60" s="43" t="str">
        <f t="shared" si="5"/>
        <v>Vlefta 2014</v>
      </c>
      <c r="I60" s="43" t="str">
        <f t="shared" si="5"/>
        <v>Vlefta 2013</v>
      </c>
      <c r="J60" s="43" t="str">
        <f t="shared" si="5"/>
        <v>Vlefta 2012</v>
      </c>
      <c r="K60" s="43" t="s">
        <v>595</v>
      </c>
      <c r="L60" s="43" t="s">
        <v>538</v>
      </c>
      <c r="M60" s="43" t="s">
        <v>520</v>
      </c>
      <c r="N60" s="43" t="s">
        <v>438</v>
      </c>
    </row>
    <row r="63" spans="1:14" x14ac:dyDescent="0.2">
      <c r="A63" s="45" t="s">
        <v>137</v>
      </c>
      <c r="B63" s="46" t="s">
        <v>380</v>
      </c>
    </row>
    <row r="64" spans="1:14" x14ac:dyDescent="0.2">
      <c r="A64" s="45" t="s">
        <v>138</v>
      </c>
      <c r="B64" s="46" t="s">
        <v>381</v>
      </c>
      <c r="C64" s="56">
        <f>+C65+C68+C71+C72+C77+C81+C76</f>
        <v>398482469</v>
      </c>
      <c r="D64" s="56">
        <f>+D65+D68+D71+D72+D77+D81+D76</f>
        <v>513968747</v>
      </c>
      <c r="E64" s="56">
        <f t="shared" ref="E64:J64" si="6">+E65+E68+E71+E72+E77+E81+E76</f>
        <v>536404622</v>
      </c>
      <c r="F64" s="56">
        <f t="shared" si="6"/>
        <v>458387858.63</v>
      </c>
      <c r="G64" s="56">
        <f t="shared" si="6"/>
        <v>24234946</v>
      </c>
      <c r="H64" s="56">
        <f t="shared" si="6"/>
        <v>12761637</v>
      </c>
      <c r="I64" s="56">
        <f t="shared" si="6"/>
        <v>150494073</v>
      </c>
      <c r="J64" s="56">
        <f t="shared" si="6"/>
        <v>106782332</v>
      </c>
      <c r="K64" s="56">
        <f>+K65+K68+K71+K72+K77+K81</f>
        <v>46458707</v>
      </c>
      <c r="L64" s="56">
        <v>75908419</v>
      </c>
      <c r="M64" s="56">
        <v>59952268</v>
      </c>
      <c r="N64" s="56">
        <v>89122239</v>
      </c>
    </row>
    <row r="65" spans="1:14" x14ac:dyDescent="0.2">
      <c r="A65" s="45" t="s">
        <v>127</v>
      </c>
      <c r="B65" s="46" t="s">
        <v>382</v>
      </c>
      <c r="C65" s="349">
        <f t="shared" ref="C65:K65" si="7">+C66</f>
        <v>387151737</v>
      </c>
      <c r="D65" s="349">
        <f t="shared" si="7"/>
        <v>487436454</v>
      </c>
      <c r="E65" s="349">
        <f t="shared" si="7"/>
        <v>528805100</v>
      </c>
      <c r="F65" s="349">
        <f t="shared" si="7"/>
        <v>450900558</v>
      </c>
      <c r="G65" s="349">
        <f t="shared" si="7"/>
        <v>0</v>
      </c>
      <c r="H65" s="349">
        <f t="shared" si="7"/>
        <v>0</v>
      </c>
      <c r="I65" s="349">
        <f t="shared" si="7"/>
        <v>142702565</v>
      </c>
      <c r="J65" s="349">
        <f t="shared" si="7"/>
        <v>101943489</v>
      </c>
      <c r="K65" s="349">
        <f t="shared" si="7"/>
        <v>41828078</v>
      </c>
      <c r="L65" s="57"/>
      <c r="M65" s="57"/>
      <c r="N65" s="57"/>
    </row>
    <row r="66" spans="1:14" x14ac:dyDescent="0.2">
      <c r="A66" s="45" t="s">
        <v>142</v>
      </c>
      <c r="B66" s="46" t="s">
        <v>383</v>
      </c>
      <c r="C66" s="47">
        <v>387151737</v>
      </c>
      <c r="D66" s="47">
        <f>483186731+4249723</f>
        <v>487436454</v>
      </c>
      <c r="E66" s="47">
        <v>528805100</v>
      </c>
      <c r="F66" s="47">
        <v>450900558</v>
      </c>
      <c r="G66" s="47">
        <v>0</v>
      </c>
      <c r="H66" s="47">
        <v>0</v>
      </c>
      <c r="I66" s="47">
        <v>142702565</v>
      </c>
      <c r="J66" s="47">
        <v>101943489</v>
      </c>
      <c r="K66" s="47">
        <v>41828078</v>
      </c>
      <c r="L66" s="47"/>
      <c r="M66" s="47"/>
      <c r="N66" s="47"/>
    </row>
    <row r="67" spans="1:14" x14ac:dyDescent="0.2">
      <c r="A67" s="45" t="s">
        <v>143</v>
      </c>
      <c r="B67" s="46" t="s">
        <v>384</v>
      </c>
    </row>
    <row r="68" spans="1:14" x14ac:dyDescent="0.2">
      <c r="A68" s="45" t="s">
        <v>128</v>
      </c>
      <c r="B68" s="46" t="s">
        <v>385</v>
      </c>
      <c r="C68" s="350">
        <f>+C69+C70</f>
        <v>2033829</v>
      </c>
      <c r="D68" s="350">
        <f>+D69+D70</f>
        <v>14833288</v>
      </c>
      <c r="E68" s="350">
        <f t="shared" ref="E68:K68" si="8">+E69</f>
        <v>0</v>
      </c>
      <c r="F68" s="350">
        <f t="shared" si="8"/>
        <v>0</v>
      </c>
      <c r="G68" s="350">
        <f t="shared" si="8"/>
        <v>0</v>
      </c>
      <c r="H68" s="350">
        <f t="shared" si="8"/>
        <v>0</v>
      </c>
      <c r="I68" s="350">
        <f t="shared" si="8"/>
        <v>0</v>
      </c>
      <c r="J68" s="350">
        <f t="shared" si="8"/>
        <v>0</v>
      </c>
      <c r="K68" s="350">
        <f t="shared" si="8"/>
        <v>532550</v>
      </c>
      <c r="L68" s="346">
        <v>2404665</v>
      </c>
      <c r="M68" s="346">
        <v>1349918</v>
      </c>
      <c r="N68" s="57">
        <v>1023300</v>
      </c>
    </row>
    <row r="69" spans="1:14" x14ac:dyDescent="0.2">
      <c r="A69" s="45" t="s">
        <v>142</v>
      </c>
      <c r="B69" s="46" t="s">
        <v>386</v>
      </c>
      <c r="C69" s="347">
        <v>2033829</v>
      </c>
      <c r="D69" s="347">
        <v>14833288</v>
      </c>
      <c r="E69" s="347">
        <v>0</v>
      </c>
      <c r="F69" s="347">
        <v>0</v>
      </c>
      <c r="G69" s="347">
        <v>0</v>
      </c>
      <c r="H69" s="347">
        <v>0</v>
      </c>
      <c r="I69" s="347">
        <v>0</v>
      </c>
      <c r="J69" s="347">
        <v>0</v>
      </c>
      <c r="K69" s="347">
        <v>532550</v>
      </c>
      <c r="L69" s="347">
        <v>2937215</v>
      </c>
      <c r="M69" s="348">
        <v>1186609</v>
      </c>
      <c r="N69" s="47">
        <v>1186609</v>
      </c>
    </row>
    <row r="70" spans="1:14" x14ac:dyDescent="0.2">
      <c r="A70" s="45" t="s">
        <v>143</v>
      </c>
      <c r="B70" s="46" t="s">
        <v>387</v>
      </c>
      <c r="C70" s="347">
        <v>0</v>
      </c>
      <c r="D70" s="347">
        <v>0</v>
      </c>
      <c r="E70" s="347">
        <v>0</v>
      </c>
      <c r="F70" s="347">
        <v>0</v>
      </c>
      <c r="G70" s="347">
        <v>0</v>
      </c>
      <c r="H70" s="347">
        <v>0</v>
      </c>
      <c r="I70" s="347">
        <v>0</v>
      </c>
      <c r="J70" s="347">
        <v>0</v>
      </c>
      <c r="K70" s="347">
        <v>0</v>
      </c>
      <c r="L70" s="347">
        <v>-532550</v>
      </c>
      <c r="M70" s="348">
        <v>163309</v>
      </c>
      <c r="N70" s="47">
        <v>-163309</v>
      </c>
    </row>
    <row r="71" spans="1:14" x14ac:dyDescent="0.2">
      <c r="A71" s="45" t="s">
        <v>129</v>
      </c>
      <c r="B71" s="46" t="s">
        <v>388</v>
      </c>
      <c r="C71" s="262">
        <f>1572089+124804</f>
        <v>1696893</v>
      </c>
      <c r="D71" s="262">
        <f>1468000+438517+2685+112337+1497286+311215+617479</f>
        <v>4447519</v>
      </c>
      <c r="E71" s="262">
        <f>270148+6685+104287+85833+832812+234220+420000</f>
        <v>1953985</v>
      </c>
      <c r="F71" s="262">
        <f>501000+59493.63+5400+1754400+582516+439753</f>
        <v>3342562.63</v>
      </c>
      <c r="G71" s="262">
        <f>383000+18613118+492084+403665</f>
        <v>19891867</v>
      </c>
      <c r="H71" s="262">
        <f>7581600+504000+58426+7000+319054+451003</f>
        <v>8921083</v>
      </c>
      <c r="I71" s="262">
        <v>3433449</v>
      </c>
      <c r="J71" s="262">
        <v>1213039</v>
      </c>
      <c r="K71" s="262">
        <f>723245+22045</f>
        <v>745290</v>
      </c>
      <c r="L71" s="260">
        <v>70168754</v>
      </c>
      <c r="M71" s="260">
        <v>53854110</v>
      </c>
      <c r="N71" s="47">
        <v>4443674</v>
      </c>
    </row>
    <row r="72" spans="1:14" x14ac:dyDescent="0.2">
      <c r="A72" s="45" t="s">
        <v>130</v>
      </c>
      <c r="B72" s="46" t="s">
        <v>389</v>
      </c>
      <c r="C72" s="262">
        <f>+C73+C74+C75</f>
        <v>5873179</v>
      </c>
      <c r="D72" s="262">
        <f>+D73+D74+D75</f>
        <v>5621209</v>
      </c>
      <c r="E72" s="262">
        <f>+E73+E74+E75</f>
        <v>3069745</v>
      </c>
      <c r="F72" s="262">
        <f t="shared" ref="F72:K72" si="9">+F73+F74+F75</f>
        <v>3159435</v>
      </c>
      <c r="G72" s="262">
        <f t="shared" si="9"/>
        <v>3320598</v>
      </c>
      <c r="H72" s="262">
        <f t="shared" si="9"/>
        <v>2709788</v>
      </c>
      <c r="I72" s="262">
        <f t="shared" si="9"/>
        <v>2968393</v>
      </c>
      <c r="J72" s="262">
        <f t="shared" si="9"/>
        <v>2900664</v>
      </c>
      <c r="K72" s="262">
        <f t="shared" si="9"/>
        <v>2922498</v>
      </c>
      <c r="L72" s="260">
        <v>2978174</v>
      </c>
      <c r="M72" s="260">
        <v>2558830</v>
      </c>
      <c r="N72" s="47">
        <v>3494674</v>
      </c>
    </row>
    <row r="73" spans="1:14" x14ac:dyDescent="0.2">
      <c r="A73" s="45" t="s">
        <v>142</v>
      </c>
      <c r="B73" s="46" t="s">
        <v>390</v>
      </c>
      <c r="C73" s="263">
        <v>5033220</v>
      </c>
      <c r="D73" s="263">
        <v>4821550</v>
      </c>
      <c r="E73" s="263">
        <v>2636100</v>
      </c>
      <c r="F73" s="263">
        <v>2711900</v>
      </c>
      <c r="G73" s="263">
        <v>2850000</v>
      </c>
      <c r="H73" s="263">
        <v>2296100</v>
      </c>
      <c r="I73" s="263">
        <v>2547000</v>
      </c>
      <c r="J73" s="263">
        <v>2488000</v>
      </c>
      <c r="K73" s="263">
        <v>2386600</v>
      </c>
      <c r="L73" s="263">
        <v>2445400</v>
      </c>
      <c r="M73" s="260">
        <v>2158126</v>
      </c>
      <c r="N73" s="47">
        <v>2894740</v>
      </c>
    </row>
    <row r="74" spans="1:14" x14ac:dyDescent="0.2">
      <c r="A74" s="45" t="s">
        <v>143</v>
      </c>
      <c r="B74" s="46" t="s">
        <v>391</v>
      </c>
      <c r="C74" s="261">
        <v>0</v>
      </c>
      <c r="D74" s="261">
        <v>0</v>
      </c>
      <c r="E74" s="261">
        <v>0</v>
      </c>
      <c r="F74" s="261">
        <v>0</v>
      </c>
      <c r="G74" s="261">
        <v>0</v>
      </c>
      <c r="H74" s="261">
        <v>0</v>
      </c>
      <c r="I74" s="261">
        <v>0</v>
      </c>
      <c r="J74" s="261">
        <v>0</v>
      </c>
      <c r="K74" s="261">
        <v>0</v>
      </c>
      <c r="L74" s="261">
        <v>0</v>
      </c>
      <c r="M74" s="261">
        <v>0</v>
      </c>
    </row>
    <row r="75" spans="1:14" x14ac:dyDescent="0.2">
      <c r="A75" s="45" t="s">
        <v>144</v>
      </c>
      <c r="B75" s="46" t="s">
        <v>392</v>
      </c>
      <c r="C75" s="263">
        <v>839959</v>
      </c>
      <c r="D75" s="263">
        <v>799659</v>
      </c>
      <c r="E75" s="263">
        <v>433645</v>
      </c>
      <c r="F75" s="263">
        <v>447535</v>
      </c>
      <c r="G75" s="263">
        <v>470598</v>
      </c>
      <c r="H75" s="263">
        <v>413688</v>
      </c>
      <c r="I75" s="263">
        <v>421393</v>
      </c>
      <c r="J75" s="263">
        <v>412664</v>
      </c>
      <c r="K75" s="263">
        <v>535898</v>
      </c>
      <c r="L75" s="263">
        <v>532774</v>
      </c>
      <c r="M75" s="260">
        <v>400704</v>
      </c>
      <c r="N75" s="47">
        <v>599830</v>
      </c>
    </row>
    <row r="76" spans="1:14" x14ac:dyDescent="0.2">
      <c r="A76" s="45" t="s">
        <v>131</v>
      </c>
      <c r="B76" s="46" t="s">
        <v>393</v>
      </c>
      <c r="C76" s="260">
        <v>88049</v>
      </c>
      <c r="D76" s="260">
        <f>68667+901460</f>
        <v>970127</v>
      </c>
      <c r="E76" s="260">
        <f>87000+671</f>
        <v>87671</v>
      </c>
      <c r="F76" s="260">
        <v>231146</v>
      </c>
      <c r="G76" s="260">
        <v>58488</v>
      </c>
      <c r="H76" s="260">
        <v>35953</v>
      </c>
      <c r="I76" s="260">
        <v>35620</v>
      </c>
      <c r="J76" s="260">
        <v>27324</v>
      </c>
      <c r="K76" s="260">
        <v>0</v>
      </c>
      <c r="L76" s="260">
        <v>0</v>
      </c>
      <c r="M76" s="260">
        <v>2189411</v>
      </c>
      <c r="N76" s="47">
        <v>1600</v>
      </c>
    </row>
    <row r="77" spans="1:14" x14ac:dyDescent="0.2">
      <c r="A77" s="45" t="s">
        <v>139</v>
      </c>
      <c r="B77" s="46" t="s">
        <v>394</v>
      </c>
      <c r="C77" s="262">
        <f>+C78+C79+C80</f>
        <v>1012760</v>
      </c>
      <c r="D77" s="262">
        <f>+D78+D79+D80</f>
        <v>465292</v>
      </c>
      <c r="E77" s="262">
        <f>+E78+E79+E80</f>
        <v>1904912</v>
      </c>
      <c r="F77" s="262">
        <f t="shared" ref="F77:K77" si="10">+F78+F79+F80</f>
        <v>58367</v>
      </c>
      <c r="G77" s="262">
        <f t="shared" si="10"/>
        <v>97443</v>
      </c>
      <c r="H77" s="262">
        <f t="shared" si="10"/>
        <v>11626</v>
      </c>
      <c r="I77" s="262">
        <f t="shared" si="10"/>
        <v>2590</v>
      </c>
      <c r="J77" s="262">
        <f t="shared" si="10"/>
        <v>497386</v>
      </c>
      <c r="K77" s="262">
        <f t="shared" si="10"/>
        <v>239346</v>
      </c>
      <c r="L77" s="260">
        <v>118145</v>
      </c>
      <c r="M77" s="260">
        <v>0</v>
      </c>
      <c r="N77" s="47">
        <v>80158991</v>
      </c>
    </row>
    <row r="78" spans="1:14" x14ac:dyDescent="0.2">
      <c r="A78" s="45" t="s">
        <v>142</v>
      </c>
      <c r="B78" s="46" t="s">
        <v>395</v>
      </c>
      <c r="C78" s="260">
        <v>0</v>
      </c>
      <c r="D78" s="260">
        <v>0</v>
      </c>
      <c r="E78" s="260">
        <v>1904686</v>
      </c>
      <c r="F78" s="260">
        <v>0</v>
      </c>
      <c r="G78" s="260">
        <v>0</v>
      </c>
      <c r="H78" s="260">
        <v>0</v>
      </c>
      <c r="I78" s="260">
        <v>0</v>
      </c>
      <c r="J78" s="260">
        <v>0</v>
      </c>
      <c r="K78" s="260">
        <v>0</v>
      </c>
      <c r="L78" s="260">
        <v>0</v>
      </c>
      <c r="M78" s="260"/>
      <c r="N78" s="47"/>
    </row>
    <row r="79" spans="1:14" x14ac:dyDescent="0.2">
      <c r="A79" s="45" t="s">
        <v>143</v>
      </c>
      <c r="B79" s="46" t="s">
        <v>396</v>
      </c>
      <c r="C79" s="261"/>
      <c r="D79" s="261"/>
      <c r="E79" s="261"/>
      <c r="F79" s="261"/>
      <c r="G79" s="261"/>
      <c r="H79" s="261"/>
      <c r="I79" s="261"/>
      <c r="J79" s="261"/>
      <c r="K79" s="261"/>
      <c r="L79" s="261"/>
      <c r="M79" s="261"/>
    </row>
    <row r="80" spans="1:14" x14ac:dyDescent="0.2">
      <c r="A80" s="45" t="s">
        <v>144</v>
      </c>
      <c r="B80" s="46" t="s">
        <v>110</v>
      </c>
      <c r="C80" s="351">
        <v>1012760</v>
      </c>
      <c r="D80" s="351">
        <v>465292</v>
      </c>
      <c r="E80" s="351">
        <v>226</v>
      </c>
      <c r="F80" s="351">
        <v>58367</v>
      </c>
      <c r="G80" s="351">
        <v>97443</v>
      </c>
      <c r="H80" s="351">
        <v>11626</v>
      </c>
      <c r="I80" s="351">
        <v>2590</v>
      </c>
      <c r="J80" s="351">
        <v>497386</v>
      </c>
      <c r="K80" s="351">
        <v>239346</v>
      </c>
      <c r="L80" s="260">
        <v>118145</v>
      </c>
      <c r="M80" s="260">
        <v>0</v>
      </c>
      <c r="N80" s="47">
        <v>80158991</v>
      </c>
    </row>
    <row r="81" spans="1:14" x14ac:dyDescent="0.2">
      <c r="A81" s="45" t="s">
        <v>140</v>
      </c>
      <c r="B81" s="46" t="s">
        <v>397</v>
      </c>
      <c r="C81" s="262">
        <f>+C82+C83+C84+C85+C86+C87</f>
        <v>626022</v>
      </c>
      <c r="D81" s="262">
        <f>+D82+D83+D84+D85+D86+D87</f>
        <v>194858</v>
      </c>
      <c r="E81" s="262">
        <f>+E82+E83+E84+E85+E86+E87</f>
        <v>583209</v>
      </c>
      <c r="F81" s="262">
        <f t="shared" ref="F81:K81" si="11">+F82+F83+F84+F85+F86+F87</f>
        <v>695790</v>
      </c>
      <c r="G81" s="262">
        <f t="shared" si="11"/>
        <v>866550</v>
      </c>
      <c r="H81" s="262">
        <f t="shared" si="11"/>
        <v>1083187</v>
      </c>
      <c r="I81" s="262">
        <f t="shared" si="11"/>
        <v>1351456</v>
      </c>
      <c r="J81" s="262">
        <f t="shared" si="11"/>
        <v>200430</v>
      </c>
      <c r="K81" s="262">
        <f t="shared" si="11"/>
        <v>190945</v>
      </c>
      <c r="L81" s="260">
        <v>238681</v>
      </c>
      <c r="M81" s="260">
        <v>0</v>
      </c>
      <c r="N81" s="47">
        <v>0</v>
      </c>
    </row>
    <row r="82" spans="1:14" x14ac:dyDescent="0.2">
      <c r="A82" s="45" t="s">
        <v>142</v>
      </c>
      <c r="B82" s="46" t="s">
        <v>398</v>
      </c>
      <c r="C82" s="260">
        <v>626022</v>
      </c>
      <c r="D82" s="260">
        <v>194858</v>
      </c>
      <c r="E82" s="260">
        <v>583209</v>
      </c>
      <c r="F82" s="260">
        <v>695790</v>
      </c>
      <c r="G82" s="260">
        <v>866550</v>
      </c>
      <c r="H82" s="260">
        <v>1083187</v>
      </c>
      <c r="I82" s="260">
        <v>1351456</v>
      </c>
      <c r="J82" s="260">
        <v>200430</v>
      </c>
      <c r="K82" s="260">
        <v>190945</v>
      </c>
      <c r="L82" s="260">
        <v>238681</v>
      </c>
      <c r="M82" s="260">
        <v>0</v>
      </c>
      <c r="N82" s="47">
        <v>0</v>
      </c>
    </row>
    <row r="83" spans="1:14" x14ac:dyDescent="0.2">
      <c r="A83" s="45" t="s">
        <v>143</v>
      </c>
      <c r="B83" s="46" t="s">
        <v>399</v>
      </c>
      <c r="C83" s="261"/>
      <c r="D83" s="261"/>
      <c r="E83" s="261"/>
      <c r="F83" s="261"/>
      <c r="G83" s="261"/>
      <c r="H83" s="261"/>
      <c r="I83" s="261"/>
      <c r="J83" s="261"/>
      <c r="K83" s="261"/>
      <c r="L83" s="261"/>
      <c r="M83" s="261"/>
    </row>
    <row r="84" spans="1:14" x14ac:dyDescent="0.2">
      <c r="A84" s="45" t="s">
        <v>144</v>
      </c>
      <c r="B84" s="46" t="s">
        <v>400</v>
      </c>
      <c r="C84" s="261"/>
      <c r="D84" s="261"/>
      <c r="E84" s="261"/>
      <c r="F84" s="261"/>
      <c r="G84" s="261"/>
      <c r="H84" s="261"/>
      <c r="I84" s="261"/>
      <c r="J84" s="261"/>
      <c r="K84" s="261"/>
      <c r="L84" s="261"/>
      <c r="M84" s="261"/>
    </row>
    <row r="85" spans="1:14" x14ac:dyDescent="0.2">
      <c r="A85" s="45" t="s">
        <v>146</v>
      </c>
      <c r="B85" s="46" t="s">
        <v>136</v>
      </c>
      <c r="C85" s="261"/>
      <c r="D85" s="261"/>
      <c r="E85" s="261"/>
      <c r="F85" s="261"/>
      <c r="G85" s="261"/>
      <c r="H85" s="261"/>
      <c r="I85" s="261"/>
      <c r="J85" s="261"/>
      <c r="K85" s="261"/>
      <c r="L85" s="261"/>
      <c r="M85" s="261"/>
    </row>
    <row r="86" spans="1:14" x14ac:dyDescent="0.2">
      <c r="A86" s="45" t="s">
        <v>147</v>
      </c>
      <c r="B86" s="46" t="s">
        <v>401</v>
      </c>
      <c r="C86" s="261"/>
      <c r="D86" s="261"/>
      <c r="E86" s="261"/>
      <c r="F86" s="261"/>
      <c r="G86" s="261"/>
      <c r="H86" s="261"/>
      <c r="I86" s="261"/>
      <c r="J86" s="261"/>
      <c r="K86" s="261"/>
      <c r="L86" s="261"/>
      <c r="M86" s="261"/>
    </row>
    <row r="87" spans="1:14" x14ac:dyDescent="0.2">
      <c r="A87" s="45" t="s">
        <v>156</v>
      </c>
      <c r="B87" s="46" t="s">
        <v>110</v>
      </c>
      <c r="C87" s="261"/>
      <c r="D87" s="261"/>
      <c r="E87" s="261"/>
      <c r="F87" s="261"/>
      <c r="G87" s="261"/>
      <c r="H87" s="261"/>
      <c r="I87" s="261"/>
      <c r="J87" s="261"/>
      <c r="K87" s="261"/>
      <c r="L87" s="261"/>
      <c r="M87" s="261"/>
    </row>
    <row r="88" spans="1:14" x14ac:dyDescent="0.2">
      <c r="B88" s="46" t="s">
        <v>366</v>
      </c>
      <c r="C88" s="262">
        <f>+C64+C63</f>
        <v>398482469</v>
      </c>
      <c r="D88" s="262">
        <f>+D64+D63</f>
        <v>513968747</v>
      </c>
      <c r="E88" s="262">
        <f>+E64+E63</f>
        <v>536404622</v>
      </c>
      <c r="F88" s="262">
        <f t="shared" ref="F88:K88" si="12">+F64+F63</f>
        <v>458387858.63</v>
      </c>
      <c r="G88" s="262">
        <f t="shared" si="12"/>
        <v>24234946</v>
      </c>
      <c r="H88" s="262">
        <f t="shared" si="12"/>
        <v>12761637</v>
      </c>
      <c r="I88" s="262">
        <f t="shared" si="12"/>
        <v>150494073</v>
      </c>
      <c r="J88" s="262">
        <f t="shared" si="12"/>
        <v>106782332</v>
      </c>
      <c r="K88" s="262">
        <f t="shared" si="12"/>
        <v>46458707</v>
      </c>
      <c r="L88" s="260">
        <v>75908419</v>
      </c>
      <c r="M88" s="260">
        <v>59952268</v>
      </c>
      <c r="N88" s="47">
        <v>89122239</v>
      </c>
    </row>
    <row r="89" spans="1:14" x14ac:dyDescent="0.2">
      <c r="A89" s="45" t="s">
        <v>148</v>
      </c>
      <c r="B89" s="46" t="s">
        <v>402</v>
      </c>
      <c r="C89" s="262">
        <f>+C90+C91+C92+C93+C94+C95</f>
        <v>713211</v>
      </c>
      <c r="D89" s="262">
        <f>+D90+D91+D92+D93+D94+D95</f>
        <v>986581</v>
      </c>
      <c r="E89" s="262">
        <f>+E90+E91+E92+E93+E94+E95</f>
        <v>585787</v>
      </c>
      <c r="F89" s="262">
        <f t="shared" ref="F89:K89" si="13">+F90+F91+F92+F93+F94+F95</f>
        <v>941998</v>
      </c>
      <c r="G89" s="262">
        <f t="shared" si="13"/>
        <v>1057901</v>
      </c>
      <c r="H89" s="262">
        <f t="shared" si="13"/>
        <v>1341647</v>
      </c>
      <c r="I89" s="262">
        <f t="shared" si="13"/>
        <v>1262992</v>
      </c>
      <c r="J89" s="262">
        <f t="shared" si="13"/>
        <v>75546</v>
      </c>
      <c r="K89" s="262">
        <f t="shared" si="13"/>
        <v>0</v>
      </c>
      <c r="L89" s="262">
        <v>3800</v>
      </c>
      <c r="M89" s="262">
        <v>0</v>
      </c>
      <c r="N89" s="56">
        <v>342670</v>
      </c>
    </row>
    <row r="90" spans="1:14" x14ac:dyDescent="0.2">
      <c r="A90" s="45" t="s">
        <v>141</v>
      </c>
      <c r="B90" s="46" t="s">
        <v>403</v>
      </c>
      <c r="C90" s="260">
        <v>713211</v>
      </c>
      <c r="D90" s="260">
        <v>986581</v>
      </c>
      <c r="E90" s="260">
        <v>585787</v>
      </c>
      <c r="F90" s="260">
        <v>941998</v>
      </c>
      <c r="G90" s="260">
        <f>1057901</f>
        <v>1057901</v>
      </c>
      <c r="H90" s="260">
        <v>1341647</v>
      </c>
      <c r="I90" s="260">
        <v>1262992</v>
      </c>
      <c r="J90" s="260">
        <v>75546</v>
      </c>
      <c r="K90" s="260">
        <v>0</v>
      </c>
      <c r="L90" s="260">
        <v>3800</v>
      </c>
      <c r="M90" s="260">
        <v>0</v>
      </c>
      <c r="N90" s="47">
        <v>69142</v>
      </c>
    </row>
    <row r="91" spans="1:14" x14ac:dyDescent="0.2">
      <c r="A91" s="45" t="s">
        <v>145</v>
      </c>
      <c r="B91" s="46" t="s">
        <v>404</v>
      </c>
      <c r="C91" s="261"/>
      <c r="D91" s="261"/>
      <c r="E91" s="261"/>
      <c r="F91" s="261"/>
      <c r="G91" s="261"/>
      <c r="H91" s="261"/>
      <c r="I91" s="261"/>
      <c r="J91" s="261"/>
      <c r="K91" s="261"/>
      <c r="L91" s="261"/>
      <c r="M91" s="261"/>
    </row>
    <row r="92" spans="1:14" x14ac:dyDescent="0.2">
      <c r="A92" s="45" t="s">
        <v>149</v>
      </c>
      <c r="B92" s="46" t="s">
        <v>405</v>
      </c>
      <c r="C92" s="260"/>
      <c r="D92" s="260"/>
      <c r="E92" s="260"/>
      <c r="F92" s="260"/>
      <c r="G92" s="260"/>
      <c r="H92" s="260"/>
      <c r="I92" s="260"/>
      <c r="J92" s="260"/>
      <c r="K92" s="260"/>
      <c r="L92" s="260"/>
      <c r="M92" s="260"/>
      <c r="N92" s="47">
        <v>69142</v>
      </c>
    </row>
    <row r="93" spans="1:14" x14ac:dyDescent="0.2">
      <c r="A93" s="45" t="s">
        <v>150</v>
      </c>
      <c r="B93" s="46" t="s">
        <v>406</v>
      </c>
      <c r="C93" s="261"/>
      <c r="D93" s="261"/>
      <c r="E93" s="261"/>
      <c r="F93" s="261"/>
      <c r="G93" s="261"/>
      <c r="H93" s="261"/>
      <c r="I93" s="261"/>
      <c r="J93" s="261"/>
      <c r="K93" s="261"/>
      <c r="L93" s="261"/>
      <c r="M93" s="261"/>
    </row>
    <row r="94" spans="1:14" x14ac:dyDescent="0.2">
      <c r="A94" s="45" t="s">
        <v>151</v>
      </c>
      <c r="B94" s="46" t="s">
        <v>407</v>
      </c>
      <c r="C94" s="261"/>
      <c r="D94" s="261"/>
      <c r="E94" s="261"/>
      <c r="F94" s="261"/>
      <c r="G94" s="261"/>
      <c r="H94" s="261"/>
      <c r="I94" s="261"/>
      <c r="J94" s="261"/>
      <c r="K94" s="261"/>
      <c r="L94" s="261"/>
      <c r="M94" s="261"/>
      <c r="N94" s="47">
        <v>273528</v>
      </c>
    </row>
    <row r="95" spans="1:14" x14ac:dyDescent="0.2">
      <c r="A95" s="45" t="s">
        <v>152</v>
      </c>
      <c r="B95" s="46" t="s">
        <v>110</v>
      </c>
      <c r="C95" s="261"/>
      <c r="D95" s="261"/>
      <c r="E95" s="261"/>
      <c r="F95" s="261"/>
      <c r="G95" s="261"/>
      <c r="H95" s="261"/>
      <c r="I95" s="261"/>
      <c r="J95" s="261"/>
      <c r="K95" s="261"/>
      <c r="L95" s="261"/>
      <c r="M95" s="261"/>
    </row>
    <row r="96" spans="1:14" x14ac:dyDescent="0.2">
      <c r="B96" s="46" t="s">
        <v>408</v>
      </c>
      <c r="C96" s="262">
        <f>+C88+C89</f>
        <v>399195680</v>
      </c>
      <c r="D96" s="262">
        <f>+D88+D89</f>
        <v>514955328</v>
      </c>
      <c r="E96" s="262">
        <f>+E88+E89</f>
        <v>536990409</v>
      </c>
      <c r="F96" s="262">
        <f t="shared" ref="F96:K96" si="14">+F88+F89</f>
        <v>459329856.63</v>
      </c>
      <c r="G96" s="262">
        <f t="shared" si="14"/>
        <v>25292847</v>
      </c>
      <c r="H96" s="262">
        <f t="shared" si="14"/>
        <v>14103284</v>
      </c>
      <c r="I96" s="262">
        <f t="shared" si="14"/>
        <v>151757065</v>
      </c>
      <c r="J96" s="262">
        <f t="shared" si="14"/>
        <v>106857878</v>
      </c>
      <c r="K96" s="262">
        <f t="shared" si="14"/>
        <v>46458707</v>
      </c>
      <c r="L96" s="262">
        <v>75912219</v>
      </c>
      <c r="M96" s="262">
        <v>59952268</v>
      </c>
      <c r="N96" s="56">
        <v>89464909</v>
      </c>
    </row>
    <row r="97" spans="1:14" x14ac:dyDescent="0.2">
      <c r="B97" s="46" t="s">
        <v>409</v>
      </c>
      <c r="C97" s="260">
        <f>+C43-C96</f>
        <v>3336179</v>
      </c>
      <c r="D97" s="260">
        <f>+D43-D96</f>
        <v>4202462</v>
      </c>
      <c r="E97" s="260">
        <f>+E43-E96</f>
        <v>1369873</v>
      </c>
      <c r="F97" s="260">
        <f t="shared" ref="F97:K97" si="15">+F43-F96</f>
        <v>3552756.3700000048</v>
      </c>
      <c r="G97" s="260">
        <f t="shared" si="15"/>
        <v>1973029</v>
      </c>
      <c r="H97" s="260">
        <f t="shared" si="15"/>
        <v>1642875</v>
      </c>
      <c r="I97" s="260">
        <f t="shared" si="15"/>
        <v>1338854</v>
      </c>
      <c r="J97" s="260">
        <f t="shared" si="15"/>
        <v>2005779</v>
      </c>
      <c r="K97" s="260">
        <f t="shared" si="15"/>
        <v>595648</v>
      </c>
      <c r="L97" s="260">
        <v>947507</v>
      </c>
      <c r="M97" s="260">
        <v>1994762</v>
      </c>
      <c r="N97" s="47">
        <v>2556581</v>
      </c>
    </row>
    <row r="98" spans="1:14" x14ac:dyDescent="0.2">
      <c r="A98" s="45" t="s">
        <v>154</v>
      </c>
      <c r="B98" s="46" t="s">
        <v>410</v>
      </c>
      <c r="C98" s="261"/>
      <c r="D98" s="261"/>
      <c r="E98" s="261"/>
      <c r="F98" s="261"/>
      <c r="G98" s="261"/>
      <c r="H98" s="261"/>
      <c r="I98" s="261"/>
      <c r="J98" s="261"/>
      <c r="K98" s="261"/>
      <c r="L98" s="261"/>
      <c r="M98" s="261"/>
    </row>
    <row r="99" spans="1:14" x14ac:dyDescent="0.2">
      <c r="B99" s="46" t="s">
        <v>377</v>
      </c>
      <c r="C99" s="261"/>
      <c r="D99" s="261"/>
      <c r="E99" s="261"/>
      <c r="F99" s="261"/>
      <c r="G99" s="261"/>
      <c r="H99" s="261"/>
      <c r="I99" s="261"/>
      <c r="J99" s="261"/>
      <c r="K99" s="261"/>
      <c r="L99" s="261"/>
      <c r="M99" s="261"/>
    </row>
    <row r="100" spans="1:14" x14ac:dyDescent="0.2">
      <c r="A100" s="45" t="s">
        <v>155</v>
      </c>
      <c r="B100" s="46" t="s">
        <v>411</v>
      </c>
      <c r="C100" s="260">
        <f>+C97</f>
        <v>3336179</v>
      </c>
      <c r="D100" s="260">
        <f>+D97</f>
        <v>4202462</v>
      </c>
      <c r="E100" s="260">
        <f>+E97</f>
        <v>1369873</v>
      </c>
      <c r="F100" s="260">
        <f t="shared" ref="F100:K100" si="16">+F97</f>
        <v>3552756.3700000048</v>
      </c>
      <c r="G100" s="260">
        <f t="shared" si="16"/>
        <v>1973029</v>
      </c>
      <c r="H100" s="260">
        <f t="shared" si="16"/>
        <v>1642875</v>
      </c>
      <c r="I100" s="260">
        <f t="shared" si="16"/>
        <v>1338854</v>
      </c>
      <c r="J100" s="260">
        <f t="shared" si="16"/>
        <v>2005779</v>
      </c>
      <c r="K100" s="260">
        <f t="shared" si="16"/>
        <v>595648</v>
      </c>
      <c r="L100" s="260">
        <v>947507</v>
      </c>
      <c r="M100" s="260">
        <v>1994762</v>
      </c>
      <c r="N100" s="47">
        <v>2556581</v>
      </c>
    </row>
    <row r="101" spans="1:14" x14ac:dyDescent="0.2">
      <c r="A101" s="45" t="s">
        <v>412</v>
      </c>
      <c r="B101" s="46" t="s">
        <v>413</v>
      </c>
      <c r="C101" s="260">
        <f t="shared" ref="C101:H101" si="17">+(C100+C77)*15%</f>
        <v>652340.85</v>
      </c>
      <c r="D101" s="260">
        <f t="shared" si="17"/>
        <v>700163.1</v>
      </c>
      <c r="E101" s="260">
        <f t="shared" si="17"/>
        <v>491217.75</v>
      </c>
      <c r="F101" s="260">
        <f t="shared" si="17"/>
        <v>541668.50550000067</v>
      </c>
      <c r="G101" s="260">
        <f t="shared" si="17"/>
        <v>310570.8</v>
      </c>
      <c r="H101" s="260">
        <f t="shared" si="17"/>
        <v>248175.15</v>
      </c>
      <c r="I101" s="260">
        <f>+(I100+I77)*10%</f>
        <v>134144.4</v>
      </c>
      <c r="J101" s="260">
        <f>+(J100+J77)*10%+0.5</f>
        <v>250317</v>
      </c>
      <c r="K101" s="260">
        <f>+(K100+K77)*10%</f>
        <v>83499.400000000009</v>
      </c>
      <c r="L101" s="260">
        <v>106565</v>
      </c>
      <c r="M101" s="260">
        <v>199477</v>
      </c>
      <c r="N101" s="47">
        <v>-7053484</v>
      </c>
    </row>
    <row r="102" spans="1:14" x14ac:dyDescent="0.2">
      <c r="A102" s="45" t="s">
        <v>142</v>
      </c>
      <c r="B102" s="46" t="s">
        <v>414</v>
      </c>
      <c r="C102" s="262">
        <f>+C101</f>
        <v>652340.85</v>
      </c>
      <c r="D102" s="262">
        <f>+D101</f>
        <v>700163.1</v>
      </c>
      <c r="E102" s="262">
        <f>+E101</f>
        <v>491217.75</v>
      </c>
      <c r="F102" s="262">
        <f t="shared" ref="F102:K102" si="18">+F101</f>
        <v>541668.50550000067</v>
      </c>
      <c r="G102" s="262">
        <f t="shared" si="18"/>
        <v>310570.8</v>
      </c>
      <c r="H102" s="262">
        <f t="shared" si="18"/>
        <v>248175.15</v>
      </c>
      <c r="I102" s="262">
        <f t="shared" si="18"/>
        <v>134144.4</v>
      </c>
      <c r="J102" s="262">
        <f t="shared" si="18"/>
        <v>250317</v>
      </c>
      <c r="K102" s="262">
        <f t="shared" si="18"/>
        <v>83499.400000000009</v>
      </c>
      <c r="L102" s="262">
        <v>106565</v>
      </c>
      <c r="M102" s="262">
        <v>199476</v>
      </c>
      <c r="N102" s="56">
        <v>0</v>
      </c>
    </row>
    <row r="103" spans="1:14" x14ac:dyDescent="0.2">
      <c r="B103" s="46" t="s">
        <v>415</v>
      </c>
      <c r="C103" s="261"/>
      <c r="D103" s="261"/>
      <c r="E103" s="261"/>
      <c r="F103" s="261"/>
      <c r="G103" s="261"/>
      <c r="H103" s="261"/>
      <c r="I103" s="261"/>
      <c r="J103" s="261"/>
      <c r="K103" s="261"/>
      <c r="L103" s="261"/>
      <c r="M103" s="261"/>
    </row>
    <row r="104" spans="1:14" x14ac:dyDescent="0.2">
      <c r="A104" s="45" t="s">
        <v>143</v>
      </c>
      <c r="B104" s="46" t="s">
        <v>416</v>
      </c>
      <c r="C104" s="261"/>
      <c r="D104" s="261"/>
      <c r="E104" s="261"/>
      <c r="F104" s="261"/>
      <c r="G104" s="261"/>
      <c r="H104" s="261"/>
      <c r="I104" s="261"/>
      <c r="J104" s="261"/>
      <c r="K104" s="261"/>
      <c r="L104" s="261"/>
      <c r="M104" s="261"/>
    </row>
    <row r="105" spans="1:14" x14ac:dyDescent="0.2">
      <c r="A105" s="45" t="s">
        <v>417</v>
      </c>
      <c r="B105" s="46" t="s">
        <v>418</v>
      </c>
      <c r="C105" s="262">
        <f>+C100-C102</f>
        <v>2683838.15</v>
      </c>
      <c r="D105" s="262">
        <f>+D100-D102</f>
        <v>3502298.9</v>
      </c>
      <c r="E105" s="262">
        <f>+E100-E102</f>
        <v>878655.25</v>
      </c>
      <c r="F105" s="262">
        <f t="shared" ref="F105:K105" si="19">+F100-F102</f>
        <v>3011087.8645000039</v>
      </c>
      <c r="G105" s="262">
        <f t="shared" si="19"/>
        <v>1662458.2</v>
      </c>
      <c r="H105" s="262">
        <f t="shared" si="19"/>
        <v>1394699.85</v>
      </c>
      <c r="I105" s="262">
        <f t="shared" si="19"/>
        <v>1204709.6000000001</v>
      </c>
      <c r="J105" s="262">
        <f t="shared" si="19"/>
        <v>1755462</v>
      </c>
      <c r="K105" s="262">
        <f t="shared" si="19"/>
        <v>512148.6</v>
      </c>
      <c r="L105" s="262">
        <v>840942</v>
      </c>
      <c r="M105" s="262">
        <v>1994762</v>
      </c>
      <c r="N105" s="56">
        <v>0</v>
      </c>
    </row>
    <row r="107" spans="1:14" x14ac:dyDescent="0.2">
      <c r="C107" s="261"/>
      <c r="D107" s="261"/>
      <c r="E107" s="261"/>
      <c r="F107" s="261"/>
      <c r="G107" s="261"/>
      <c r="H107" s="261"/>
      <c r="I107" s="261"/>
      <c r="J107" s="261"/>
      <c r="K107" s="261"/>
      <c r="L107" s="261"/>
      <c r="M107" s="261"/>
      <c r="N107" s="261"/>
    </row>
    <row r="110" spans="1:14" ht="13.5" x14ac:dyDescent="0.2">
      <c r="A110" s="48"/>
    </row>
  </sheetData>
  <phoneticPr fontId="11" type="noConversion"/>
  <pageMargins left="0.16944444444444445" right="0.1" top="0.4" bottom="0.29930555555555555" header="0.5" footer="0.5"/>
  <pageSetup orientation="portrait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125"/>
  <sheetViews>
    <sheetView topLeftCell="A95" zoomScale="80" workbookViewId="0">
      <selection activeCell="Q108" sqref="Q108"/>
    </sheetView>
  </sheetViews>
  <sheetFormatPr defaultColWidth="19.42578125" defaultRowHeight="15" x14ac:dyDescent="0.25"/>
  <cols>
    <col min="1" max="1" width="3.85546875" style="16" customWidth="1"/>
    <col min="2" max="2" width="54.140625" style="16" customWidth="1"/>
    <col min="3" max="4" width="19.28515625" style="16" customWidth="1"/>
    <col min="5" max="13" width="19.28515625" style="16" hidden="1" customWidth="1"/>
    <col min="14" max="14" width="18.42578125" style="24" customWidth="1"/>
    <col min="15" max="15" width="16" style="24" customWidth="1"/>
    <col min="16" max="16384" width="19.42578125" style="16"/>
  </cols>
  <sheetData>
    <row r="3" spans="2:14" x14ac:dyDescent="0.25">
      <c r="B3" s="325" t="s">
        <v>98</v>
      </c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</row>
    <row r="4" spans="2:14" x14ac:dyDescent="0.25">
      <c r="C4" s="319"/>
      <c r="D4" s="319"/>
      <c r="E4" s="319"/>
      <c r="F4" s="319"/>
      <c r="G4" s="319"/>
      <c r="H4" s="319"/>
      <c r="I4" s="319"/>
      <c r="J4" s="319"/>
      <c r="K4" s="319"/>
      <c r="L4" s="319"/>
      <c r="M4" s="319"/>
    </row>
    <row r="5" spans="2:14" x14ac:dyDescent="0.25">
      <c r="B5" s="325" t="s">
        <v>495</v>
      </c>
      <c r="C5" s="320" t="s">
        <v>703</v>
      </c>
      <c r="D5" s="320" t="s">
        <v>688</v>
      </c>
      <c r="E5" s="320" t="s">
        <v>678</v>
      </c>
      <c r="F5" s="320" t="s">
        <v>672</v>
      </c>
      <c r="G5" s="320" t="s">
        <v>662</v>
      </c>
      <c r="H5" s="320" t="s">
        <v>650</v>
      </c>
      <c r="I5" s="320" t="s">
        <v>634</v>
      </c>
      <c r="J5" s="320" t="s">
        <v>597</v>
      </c>
      <c r="K5" s="320" t="s">
        <v>547</v>
      </c>
      <c r="L5" s="320" t="s">
        <v>523</v>
      </c>
      <c r="M5" s="320" t="s">
        <v>107</v>
      </c>
    </row>
    <row r="6" spans="2:14" x14ac:dyDescent="0.25">
      <c r="B6" s="326" t="s">
        <v>99</v>
      </c>
      <c r="C6" s="327">
        <f>+BA!E52</f>
        <v>98450</v>
      </c>
      <c r="D6" s="327">
        <f>+BA!F52</f>
        <v>59810</v>
      </c>
      <c r="E6" s="327">
        <f>+BA!G52</f>
        <v>129231</v>
      </c>
      <c r="F6" s="327">
        <f>+BA!H52</f>
        <v>284291</v>
      </c>
      <c r="G6" s="327">
        <f>+BA!I52</f>
        <v>484295</v>
      </c>
      <c r="H6" s="327">
        <f>+BA!J52</f>
        <v>100550</v>
      </c>
      <c r="I6" s="327">
        <f>+BA!K52</f>
        <v>83936</v>
      </c>
      <c r="J6" s="327">
        <f>+BA!L52</f>
        <v>315762</v>
      </c>
      <c r="K6" s="327">
        <f>+BA!M52</f>
        <v>800630</v>
      </c>
      <c r="L6" s="327">
        <f>+BA!N52</f>
        <v>363068</v>
      </c>
      <c r="M6" s="327">
        <f>+BA!O52</f>
        <v>51800</v>
      </c>
      <c r="N6" s="18"/>
    </row>
    <row r="7" spans="2:14" x14ac:dyDescent="0.25">
      <c r="B7" s="326" t="s">
        <v>100</v>
      </c>
      <c r="C7" s="327">
        <f>+BA!E51</f>
        <v>268901</v>
      </c>
      <c r="D7" s="327">
        <f>+BA!F51</f>
        <v>6032929</v>
      </c>
      <c r="E7" s="327">
        <f>+BA!G51</f>
        <v>3700279</v>
      </c>
      <c r="F7" s="327">
        <f>+BA!H51</f>
        <v>908101</v>
      </c>
      <c r="G7" s="327">
        <f>+BA!I51</f>
        <v>1085105</v>
      </c>
      <c r="H7" s="327">
        <f>+BA!J51</f>
        <v>630876</v>
      </c>
      <c r="I7" s="327">
        <f>+BA!K51</f>
        <v>430391</v>
      </c>
      <c r="J7" s="327">
        <f>+BA!L51</f>
        <v>1080391</v>
      </c>
      <c r="K7" s="327">
        <f>+BA!M51</f>
        <v>752436</v>
      </c>
      <c r="L7" s="327">
        <f>+BA!N51</f>
        <v>17423</v>
      </c>
      <c r="M7" s="327">
        <f>+BA!O51</f>
        <v>871117</v>
      </c>
      <c r="N7" s="18"/>
    </row>
    <row r="8" spans="2:14" x14ac:dyDescent="0.25">
      <c r="B8" s="326" t="s">
        <v>526</v>
      </c>
      <c r="C8" s="327">
        <f>+BA!E53</f>
        <v>0</v>
      </c>
      <c r="D8" s="327">
        <f>+BA!F53</f>
        <v>2791950</v>
      </c>
      <c r="E8" s="327">
        <f>+BA!G53</f>
        <v>0</v>
      </c>
      <c r="F8" s="327">
        <f>+BA!H53</f>
        <v>0</v>
      </c>
      <c r="G8" s="327">
        <f>+BA!I53</f>
        <v>0</v>
      </c>
      <c r="H8" s="327">
        <f>+BA!J53</f>
        <v>0</v>
      </c>
      <c r="I8" s="327">
        <f>+BA!K53</f>
        <v>5304040</v>
      </c>
      <c r="J8" s="327">
        <f>+BA!L53</f>
        <v>0</v>
      </c>
      <c r="K8" s="327">
        <f>+BA!M53</f>
        <v>0</v>
      </c>
      <c r="L8" s="327">
        <f>+BA!N53</f>
        <v>0</v>
      </c>
      <c r="M8" s="327"/>
    </row>
    <row r="9" spans="2:14" x14ac:dyDescent="0.25">
      <c r="B9" s="328" t="s">
        <v>2</v>
      </c>
      <c r="C9" s="327">
        <f>SUM(C6:C8)</f>
        <v>367351</v>
      </c>
      <c r="D9" s="327">
        <f>SUM(D6:D8)</f>
        <v>8884689</v>
      </c>
      <c r="E9" s="327">
        <f>SUM(E6:E8)</f>
        <v>3829510</v>
      </c>
      <c r="F9" s="327">
        <f>SUM(F6:F8)</f>
        <v>1192392</v>
      </c>
      <c r="G9" s="327">
        <f>SUM(G6:G8)</f>
        <v>1569400</v>
      </c>
      <c r="H9" s="327">
        <f t="shared" ref="H9:M9" si="0">SUM(H6:H8)</f>
        <v>731426</v>
      </c>
      <c r="I9" s="327">
        <f t="shared" si="0"/>
        <v>5818367</v>
      </c>
      <c r="J9" s="327">
        <f t="shared" si="0"/>
        <v>1396153</v>
      </c>
      <c r="K9" s="327">
        <f t="shared" si="0"/>
        <v>1553066</v>
      </c>
      <c r="L9" s="327">
        <f t="shared" si="0"/>
        <v>380491</v>
      </c>
      <c r="M9" s="327">
        <f t="shared" si="0"/>
        <v>922917</v>
      </c>
    </row>
    <row r="10" spans="2:14" x14ac:dyDescent="0.25">
      <c r="B10" s="329">
        <f>+M9-M10</f>
        <v>0</v>
      </c>
      <c r="C10" s="330">
        <f>+BK!E8</f>
        <v>367351</v>
      </c>
      <c r="D10" s="330">
        <f>+BK!F8</f>
        <v>8884689</v>
      </c>
      <c r="E10" s="330">
        <f>+BK!G8</f>
        <v>3829510</v>
      </c>
      <c r="F10" s="330">
        <f>+BK!H8</f>
        <v>1192392</v>
      </c>
      <c r="G10" s="330">
        <f>+BK!I8</f>
        <v>1569400</v>
      </c>
      <c r="H10" s="330">
        <f>+BK!J8</f>
        <v>731426</v>
      </c>
      <c r="I10" s="330">
        <f>+BK!K8</f>
        <v>5818367</v>
      </c>
      <c r="J10" s="330">
        <f>+BK!L8</f>
        <v>1396153</v>
      </c>
      <c r="K10" s="330">
        <f>+BK!M8</f>
        <v>1553066</v>
      </c>
      <c r="L10" s="330">
        <f>+BK!N8</f>
        <v>380491</v>
      </c>
      <c r="M10" s="330">
        <f>+BK!O8</f>
        <v>922917</v>
      </c>
    </row>
    <row r="11" spans="2:14" x14ac:dyDescent="0.25">
      <c r="B11" s="331" t="s">
        <v>101</v>
      </c>
      <c r="C11" s="326"/>
      <c r="D11" s="326"/>
      <c r="E11" s="326"/>
      <c r="F11" s="326"/>
      <c r="G11" s="326"/>
      <c r="H11" s="326"/>
      <c r="I11" s="326"/>
      <c r="J11" s="326"/>
      <c r="K11" s="326"/>
      <c r="L11" s="326"/>
      <c r="M11" s="326"/>
    </row>
    <row r="12" spans="2:14" x14ac:dyDescent="0.25">
      <c r="B12" s="326"/>
      <c r="C12" s="320" t="str">
        <f>+C5</f>
        <v>31 Dhjetor 2018</v>
      </c>
      <c r="D12" s="320" t="str">
        <f>+D5</f>
        <v>31 Dhjetor 2017</v>
      </c>
      <c r="E12" s="320" t="str">
        <f>+E5</f>
        <v>31 Dhjetor 2016</v>
      </c>
      <c r="F12" s="320" t="str">
        <f t="shared" ref="F12:K12" si="1">+F5</f>
        <v>31 Dhjetor 2015</v>
      </c>
      <c r="G12" s="320" t="str">
        <f t="shared" si="1"/>
        <v>31 Dhjetor 2014</v>
      </c>
      <c r="H12" s="320" t="str">
        <f t="shared" si="1"/>
        <v>31 Dhjetor 2013</v>
      </c>
      <c r="I12" s="320" t="str">
        <f t="shared" si="1"/>
        <v>31 Dhjetor 2012</v>
      </c>
      <c r="J12" s="320" t="str">
        <f t="shared" si="1"/>
        <v>31 Dhjetor 2011</v>
      </c>
      <c r="K12" s="320" t="str">
        <f t="shared" si="1"/>
        <v>31 Dhjetor 2010</v>
      </c>
      <c r="L12" s="320" t="s">
        <v>523</v>
      </c>
      <c r="M12" s="320" t="s">
        <v>107</v>
      </c>
    </row>
    <row r="13" spans="2:14" x14ac:dyDescent="0.25">
      <c r="B13" s="326" t="s">
        <v>134</v>
      </c>
      <c r="C13" s="319">
        <f>+BK!E20</f>
        <v>0</v>
      </c>
      <c r="D13" s="319">
        <f>+BK!F20</f>
        <v>0</v>
      </c>
      <c r="E13" s="319">
        <f>+BK!G20</f>
        <v>0</v>
      </c>
      <c r="F13" s="319">
        <f>+BK!H20</f>
        <v>0</v>
      </c>
      <c r="G13" s="319">
        <f>+BK!I20</f>
        <v>0</v>
      </c>
      <c r="H13" s="319">
        <f>+BK!J20</f>
        <v>0</v>
      </c>
      <c r="I13" s="319">
        <f>+BK!K20</f>
        <v>0</v>
      </c>
      <c r="J13" s="319">
        <f>+BK!L20</f>
        <v>0</v>
      </c>
      <c r="K13" s="319">
        <f>+BK!M20</f>
        <v>532550</v>
      </c>
      <c r="L13" s="319">
        <f>+BK!N20</f>
        <v>0</v>
      </c>
      <c r="M13" s="319">
        <f>+BK!O20</f>
        <v>163309</v>
      </c>
    </row>
    <row r="14" spans="2:14" x14ac:dyDescent="0.25">
      <c r="B14" s="326"/>
      <c r="C14" s="319"/>
      <c r="D14" s="319"/>
      <c r="E14" s="319"/>
      <c r="F14" s="319"/>
      <c r="G14" s="319"/>
      <c r="H14" s="319"/>
      <c r="I14" s="319"/>
      <c r="J14" s="319"/>
      <c r="K14" s="319"/>
      <c r="L14" s="319"/>
      <c r="M14" s="319"/>
    </row>
    <row r="15" spans="2:14" x14ac:dyDescent="0.25">
      <c r="B15" s="328" t="s">
        <v>2</v>
      </c>
      <c r="C15" s="327">
        <f>SUM(C13:C14)</f>
        <v>0</v>
      </c>
      <c r="D15" s="327">
        <f>SUM(D13:D14)</f>
        <v>0</v>
      </c>
      <c r="E15" s="327">
        <f>SUM(E13:E14)</f>
        <v>0</v>
      </c>
      <c r="F15" s="327">
        <f>SUM(F13:F14)</f>
        <v>0</v>
      </c>
      <c r="G15" s="327">
        <f>SUM(G13:G14)</f>
        <v>0</v>
      </c>
      <c r="H15" s="327">
        <f t="shared" ref="H15:M15" si="2">SUM(H13:H14)</f>
        <v>0</v>
      </c>
      <c r="I15" s="327">
        <f t="shared" si="2"/>
        <v>0</v>
      </c>
      <c r="J15" s="327">
        <f t="shared" si="2"/>
        <v>0</v>
      </c>
      <c r="K15" s="327">
        <f t="shared" si="2"/>
        <v>532550</v>
      </c>
      <c r="L15" s="327">
        <f t="shared" si="2"/>
        <v>0</v>
      </c>
      <c r="M15" s="327">
        <f t="shared" si="2"/>
        <v>163309</v>
      </c>
    </row>
    <row r="16" spans="2:14" x14ac:dyDescent="0.25">
      <c r="B16" s="329"/>
      <c r="C16" s="330">
        <f>+BK!E18</f>
        <v>0</v>
      </c>
      <c r="D16" s="330">
        <f>+BK!F18</f>
        <v>0</v>
      </c>
      <c r="E16" s="330">
        <f>+BK!G18</f>
        <v>0</v>
      </c>
      <c r="F16" s="330">
        <f>+BK!H18</f>
        <v>0</v>
      </c>
      <c r="G16" s="330">
        <f>+BK!I18</f>
        <v>0</v>
      </c>
      <c r="H16" s="330">
        <f>+BK!J18</f>
        <v>0</v>
      </c>
      <c r="I16" s="330">
        <f>+BK!K18</f>
        <v>0</v>
      </c>
      <c r="J16" s="330">
        <f>+BK!A18</f>
        <v>0</v>
      </c>
      <c r="K16" s="330" t="str">
        <f>+BK!B18</f>
        <v xml:space="preserve">Lendet e para </v>
      </c>
      <c r="L16" s="330">
        <f>+BK!C18</f>
        <v>0</v>
      </c>
      <c r="M16" s="330">
        <f>+BK!O18</f>
        <v>0</v>
      </c>
    </row>
    <row r="17" spans="2:19" x14ac:dyDescent="0.25">
      <c r="B17" s="326" t="s">
        <v>102</v>
      </c>
      <c r="C17" s="332"/>
      <c r="D17" s="332"/>
      <c r="E17" s="332"/>
      <c r="F17" s="332"/>
      <c r="G17" s="332"/>
      <c r="H17" s="332"/>
      <c r="I17" s="332"/>
      <c r="J17" s="332"/>
      <c r="K17" s="332"/>
      <c r="L17" s="332"/>
      <c r="M17" s="332"/>
    </row>
    <row r="18" spans="2:19" x14ac:dyDescent="0.25">
      <c r="B18" s="333" t="s">
        <v>459</v>
      </c>
      <c r="C18" s="320" t="str">
        <f>+C12</f>
        <v>31 Dhjetor 2018</v>
      </c>
      <c r="D18" s="320" t="str">
        <f>+D12</f>
        <v>31 Dhjetor 2017</v>
      </c>
      <c r="E18" s="320" t="str">
        <f>+E12</f>
        <v>31 Dhjetor 2016</v>
      </c>
      <c r="F18" s="320" t="str">
        <f t="shared" ref="F18:K18" si="3">+F12</f>
        <v>31 Dhjetor 2015</v>
      </c>
      <c r="G18" s="320" t="str">
        <f t="shared" si="3"/>
        <v>31 Dhjetor 2014</v>
      </c>
      <c r="H18" s="320" t="str">
        <f t="shared" si="3"/>
        <v>31 Dhjetor 2013</v>
      </c>
      <c r="I18" s="320" t="str">
        <f t="shared" si="3"/>
        <v>31 Dhjetor 2012</v>
      </c>
      <c r="J18" s="320" t="str">
        <f t="shared" si="3"/>
        <v>31 Dhjetor 2011</v>
      </c>
      <c r="K18" s="320" t="str">
        <f t="shared" si="3"/>
        <v>31 Dhjetor 2010</v>
      </c>
      <c r="L18" s="320" t="s">
        <v>523</v>
      </c>
      <c r="M18" s="320" t="s">
        <v>107</v>
      </c>
    </row>
    <row r="19" spans="2:19" x14ac:dyDescent="0.25">
      <c r="B19" s="334" t="s">
        <v>126</v>
      </c>
      <c r="C19" s="335">
        <f>+BK!E12</f>
        <v>32467587.66</v>
      </c>
      <c r="D19" s="335">
        <f>+BK!F12</f>
        <v>22661267.760000002</v>
      </c>
      <c r="E19" s="335">
        <f>+BK!G12</f>
        <v>27979041</v>
      </c>
      <c r="F19" s="335">
        <f>+BK!H12</f>
        <v>16585610.449999999</v>
      </c>
      <c r="G19" s="335">
        <f>+BK!I12</f>
        <v>13585910.449999999</v>
      </c>
      <c r="H19" s="335">
        <f>+BK!J12</f>
        <v>11566747.6</v>
      </c>
      <c r="I19" s="335">
        <f>+BK!K12</f>
        <v>3155785</v>
      </c>
      <c r="J19" s="335">
        <f>+BK!L12</f>
        <v>0</v>
      </c>
      <c r="K19" s="335">
        <f>+BK!M12</f>
        <v>0</v>
      </c>
      <c r="L19" s="335">
        <f>+BK!N12</f>
        <v>0</v>
      </c>
      <c r="M19" s="335">
        <f>+BK!O12</f>
        <v>0</v>
      </c>
      <c r="O19" s="143"/>
      <c r="P19" s="144"/>
    </row>
    <row r="20" spans="2:19" x14ac:dyDescent="0.25">
      <c r="B20" s="334" t="s">
        <v>644</v>
      </c>
      <c r="C20" s="335">
        <f>+BK!E13</f>
        <v>92447</v>
      </c>
      <c r="D20" s="335">
        <f>+BK!F13</f>
        <v>1199747</v>
      </c>
      <c r="E20" s="335">
        <f>+BK!G13</f>
        <v>1110343</v>
      </c>
      <c r="F20" s="335">
        <f>+BK!H13</f>
        <v>789930</v>
      </c>
      <c r="G20" s="335">
        <f>+BK!I13</f>
        <v>603793</v>
      </c>
      <c r="H20" s="335">
        <f>+BK!J13</f>
        <v>407902</v>
      </c>
      <c r="I20" s="335">
        <f>+BK!K13</f>
        <v>259028</v>
      </c>
      <c r="J20" s="335">
        <f>+BK!L13</f>
        <v>0</v>
      </c>
      <c r="K20" s="335">
        <f>+BK!M13</f>
        <v>64922</v>
      </c>
      <c r="L20" s="335">
        <f>+BK!N13</f>
        <v>2140931</v>
      </c>
      <c r="M20" s="335">
        <f>+BK!O13</f>
        <v>384361</v>
      </c>
      <c r="O20" s="143"/>
      <c r="P20" s="145"/>
    </row>
    <row r="21" spans="2:19" x14ac:dyDescent="0.25">
      <c r="B21" s="328" t="s">
        <v>2</v>
      </c>
      <c r="C21" s="336">
        <f>SUM(C19:C20)</f>
        <v>32560034.66</v>
      </c>
      <c r="D21" s="336">
        <f>SUM(D19:D20)</f>
        <v>23861014.760000002</v>
      </c>
      <c r="E21" s="336">
        <f>SUM(E19:E20)</f>
        <v>29089384</v>
      </c>
      <c r="F21" s="336">
        <f t="shared" ref="F21:M21" si="4">SUM(F19:F20)</f>
        <v>17375540.449999999</v>
      </c>
      <c r="G21" s="336">
        <f t="shared" si="4"/>
        <v>14189703.449999999</v>
      </c>
      <c r="H21" s="336">
        <f t="shared" si="4"/>
        <v>11974649.6</v>
      </c>
      <c r="I21" s="336">
        <f t="shared" si="4"/>
        <v>3414813</v>
      </c>
      <c r="J21" s="336">
        <f t="shared" si="4"/>
        <v>0</v>
      </c>
      <c r="K21" s="336">
        <f t="shared" si="4"/>
        <v>64922</v>
      </c>
      <c r="L21" s="336">
        <f t="shared" si="4"/>
        <v>2140931</v>
      </c>
      <c r="M21" s="336">
        <f t="shared" si="4"/>
        <v>384361</v>
      </c>
      <c r="O21" s="143"/>
      <c r="P21" s="145"/>
    </row>
    <row r="22" spans="2:19" x14ac:dyDescent="0.25">
      <c r="B22" s="326"/>
      <c r="C22" s="337">
        <f>+BK!E16</f>
        <v>32560034.66</v>
      </c>
      <c r="D22" s="337">
        <f>+BK!F16</f>
        <v>23861014.760000002</v>
      </c>
      <c r="E22" s="337">
        <f>+BK!G16</f>
        <v>29089384</v>
      </c>
      <c r="F22" s="337">
        <f>+BK!H16</f>
        <v>17375540.449999999</v>
      </c>
      <c r="G22" s="337">
        <f>+BK!I16</f>
        <v>14189703.449999999</v>
      </c>
      <c r="H22" s="337">
        <f>+BK!J16</f>
        <v>11974649.6</v>
      </c>
      <c r="I22" s="337">
        <f>+BK!K16</f>
        <v>3414813</v>
      </c>
      <c r="J22" s="337">
        <f>+BK!A16</f>
        <v>0</v>
      </c>
      <c r="K22" s="337">
        <f>+BK!B16</f>
        <v>0</v>
      </c>
      <c r="L22" s="337">
        <f>+BK!C16</f>
        <v>0</v>
      </c>
      <c r="M22" s="337">
        <f>+BK!O16</f>
        <v>384361</v>
      </c>
      <c r="O22" s="146"/>
      <c r="P22" s="145"/>
    </row>
    <row r="23" spans="2:19" x14ac:dyDescent="0.25">
      <c r="B23" s="323"/>
      <c r="C23" s="325"/>
      <c r="D23" s="325"/>
      <c r="E23" s="325"/>
      <c r="F23" s="325"/>
      <c r="G23" s="325"/>
      <c r="H23" s="325"/>
      <c r="I23" s="325"/>
      <c r="J23" s="325"/>
      <c r="K23" s="325"/>
      <c r="L23" s="325"/>
      <c r="M23" s="325"/>
      <c r="P23" s="24"/>
      <c r="Q23" s="24"/>
      <c r="R23" s="24"/>
      <c r="S23" s="24"/>
    </row>
    <row r="24" spans="2:19" x14ac:dyDescent="0.25">
      <c r="B24" s="331" t="s">
        <v>132</v>
      </c>
      <c r="C24" s="326"/>
      <c r="D24" s="326"/>
      <c r="E24" s="326"/>
      <c r="F24" s="326"/>
      <c r="G24" s="326"/>
      <c r="H24" s="326"/>
      <c r="I24" s="326"/>
      <c r="J24" s="326"/>
      <c r="K24" s="326"/>
      <c r="L24" s="326"/>
      <c r="M24" s="326"/>
      <c r="O24" s="28"/>
      <c r="P24" s="25"/>
      <c r="Q24" s="25"/>
      <c r="R24" s="25"/>
      <c r="S24" s="24"/>
    </row>
    <row r="25" spans="2:19" x14ac:dyDescent="0.25">
      <c r="B25" s="326" t="s">
        <v>459</v>
      </c>
      <c r="C25" s="320" t="str">
        <f>+C18</f>
        <v>31 Dhjetor 2018</v>
      </c>
      <c r="D25" s="320" t="str">
        <f t="shared" ref="D25:I25" si="5">+D18</f>
        <v>31 Dhjetor 2017</v>
      </c>
      <c r="E25" s="320" t="str">
        <f t="shared" si="5"/>
        <v>31 Dhjetor 2016</v>
      </c>
      <c r="F25" s="320" t="str">
        <f t="shared" si="5"/>
        <v>31 Dhjetor 2015</v>
      </c>
      <c r="G25" s="320" t="str">
        <f t="shared" si="5"/>
        <v>31 Dhjetor 2014</v>
      </c>
      <c r="H25" s="320" t="str">
        <f t="shared" si="5"/>
        <v>31 Dhjetor 2013</v>
      </c>
      <c r="I25" s="320" t="str">
        <f t="shared" si="5"/>
        <v>31 Dhjetor 2012</v>
      </c>
      <c r="J25" s="320" t="s">
        <v>597</v>
      </c>
      <c r="K25" s="320" t="s">
        <v>547</v>
      </c>
      <c r="L25" s="320" t="s">
        <v>523</v>
      </c>
      <c r="M25" s="320" t="s">
        <v>107</v>
      </c>
      <c r="O25" s="25"/>
      <c r="P25" s="25"/>
      <c r="Q25" s="25"/>
      <c r="R25" s="25"/>
      <c r="S25" s="24"/>
    </row>
    <row r="26" spans="2:19" x14ac:dyDescent="0.25">
      <c r="B26" s="326" t="s">
        <v>103</v>
      </c>
      <c r="C26" s="329">
        <f>+BK!E45</f>
        <v>1176355</v>
      </c>
      <c r="D26" s="329">
        <f>+BK!F45</f>
        <v>1245430</v>
      </c>
      <c r="E26" s="329">
        <f>+BK!G45</f>
        <v>3854386.49</v>
      </c>
      <c r="F26" s="329">
        <f>+BK!H45</f>
        <v>4231701.8</v>
      </c>
      <c r="G26" s="329">
        <f>+BK!I45</f>
        <v>3014566</v>
      </c>
      <c r="H26" s="329">
        <f>+BK!J45</f>
        <v>2400644</v>
      </c>
      <c r="I26" s="329">
        <f>+BK!K45</f>
        <v>4100951</v>
      </c>
      <c r="J26" s="329">
        <f>+BK!L45</f>
        <v>0</v>
      </c>
      <c r="K26" s="329">
        <f>+BK!M45</f>
        <v>0</v>
      </c>
      <c r="L26" s="329">
        <f>+BK!N45</f>
        <v>1205070</v>
      </c>
      <c r="M26" s="329">
        <f>+BK!O45</f>
        <v>1061093</v>
      </c>
      <c r="O26" s="25"/>
      <c r="P26" s="25"/>
      <c r="Q26" s="25"/>
      <c r="R26" s="25"/>
      <c r="S26" s="24"/>
    </row>
    <row r="27" spans="2:19" x14ac:dyDescent="0.25">
      <c r="B27" s="326" t="s">
        <v>125</v>
      </c>
      <c r="C27" s="319">
        <f>+BK!E43</f>
        <v>19366820</v>
      </c>
      <c r="D27" s="319">
        <f>+BK!F43</f>
        <v>24004532</v>
      </c>
      <c r="E27" s="319">
        <f>+BK!G43</f>
        <v>24013690</v>
      </c>
      <c r="F27" s="319">
        <f>+BK!H43</f>
        <v>12912864</v>
      </c>
      <c r="G27" s="319">
        <f>+BK!I43</f>
        <v>14399064</v>
      </c>
      <c r="H27" s="319">
        <f>+BK!J43</f>
        <v>15320110</v>
      </c>
      <c r="I27" s="319">
        <f>+BK!K43</f>
        <v>16603537</v>
      </c>
      <c r="J27" s="319">
        <f>+BK!L43</f>
        <v>0</v>
      </c>
      <c r="K27" s="319">
        <f>+BK!M43</f>
        <v>0</v>
      </c>
      <c r="L27" s="319">
        <f>+BK!N43</f>
        <v>0</v>
      </c>
      <c r="M27" s="319">
        <f>+BK!O43</f>
        <v>8142510</v>
      </c>
      <c r="O27" s="29"/>
      <c r="P27" s="464"/>
      <c r="Q27" s="25"/>
      <c r="R27" s="30"/>
      <c r="S27" s="24"/>
    </row>
    <row r="28" spans="2:19" x14ac:dyDescent="0.25">
      <c r="B28" s="326" t="s">
        <v>120</v>
      </c>
      <c r="C28" s="319">
        <f>+BK!E46</f>
        <v>337000</v>
      </c>
      <c r="D28" s="319">
        <f>+BK!F46</f>
        <v>198280</v>
      </c>
      <c r="E28" s="319">
        <f>+BK!G46</f>
        <v>212176</v>
      </c>
      <c r="F28" s="319">
        <f>+BK!H46</f>
        <v>409825</v>
      </c>
      <c r="G28" s="319">
        <f>+BK!I46</f>
        <v>384841</v>
      </c>
      <c r="H28" s="319">
        <f>+BK!J46</f>
        <v>0</v>
      </c>
      <c r="I28" s="319">
        <f>+BK!K46</f>
        <v>0</v>
      </c>
      <c r="J28" s="319">
        <f>+BK!C46</f>
        <v>0</v>
      </c>
      <c r="K28" s="319">
        <f>+BK!M46</f>
        <v>0</v>
      </c>
      <c r="L28" s="319">
        <f>+BK!N46</f>
        <v>0</v>
      </c>
      <c r="M28" s="319">
        <f>+BK!O46</f>
        <v>0</v>
      </c>
      <c r="O28" s="25"/>
      <c r="P28" s="25"/>
      <c r="Q28" s="25"/>
      <c r="R28" s="25"/>
      <c r="S28" s="24"/>
    </row>
    <row r="29" spans="2:19" x14ac:dyDescent="0.25">
      <c r="B29" s="326" t="s">
        <v>8</v>
      </c>
      <c r="C29" s="327">
        <f>+BK!E47</f>
        <v>282795</v>
      </c>
      <c r="D29" s="327">
        <f>+BK!F47</f>
        <v>80199</v>
      </c>
      <c r="E29" s="327">
        <f>+BK!G47</f>
        <v>69422</v>
      </c>
      <c r="F29" s="327">
        <f>+BK!H47</f>
        <v>168229</v>
      </c>
      <c r="G29" s="327">
        <f>+BK!I47</f>
        <v>106753</v>
      </c>
      <c r="H29" s="327">
        <f>+BK!J47</f>
        <v>177713</v>
      </c>
      <c r="I29" s="327">
        <f>+BK!K47</f>
        <v>99717</v>
      </c>
      <c r="J29" s="327">
        <f>+BK!L47</f>
        <v>201104</v>
      </c>
      <c r="K29" s="327">
        <f>+BK!M47</f>
        <v>169557</v>
      </c>
      <c r="L29" s="327">
        <f>+BK!N47</f>
        <v>47786</v>
      </c>
      <c r="M29" s="327">
        <f>+BK!O47</f>
        <v>81218</v>
      </c>
      <c r="O29" s="25"/>
      <c r="P29" s="25"/>
      <c r="Q29" s="25"/>
      <c r="R29" s="25"/>
      <c r="S29" s="24"/>
    </row>
    <row r="30" spans="2:19" hidden="1" x14ac:dyDescent="0.25">
      <c r="B30" s="326" t="s">
        <v>118</v>
      </c>
      <c r="C30" s="319">
        <f>+BK!E48</f>
        <v>0</v>
      </c>
      <c r="D30" s="319">
        <f>+BK!F48</f>
        <v>0</v>
      </c>
      <c r="E30" s="319">
        <f>+BK!G48</f>
        <v>0</v>
      </c>
      <c r="F30" s="319">
        <f>+BK!H48</f>
        <v>0</v>
      </c>
      <c r="G30" s="319">
        <f>+BK!I48</f>
        <v>0</v>
      </c>
      <c r="H30" s="319">
        <f>+BK!J48</f>
        <v>0</v>
      </c>
      <c r="I30" s="319">
        <f>+BK!K48</f>
        <v>0</v>
      </c>
      <c r="J30" s="319">
        <f>+BK!L48</f>
        <v>0</v>
      </c>
      <c r="K30" s="319">
        <f>+BK!M48</f>
        <v>0</v>
      </c>
      <c r="L30" s="319">
        <f>+BK!N48</f>
        <v>367208</v>
      </c>
      <c r="M30" s="319">
        <f>+BK!O48</f>
        <v>4300483</v>
      </c>
      <c r="O30" s="25"/>
      <c r="P30" s="25"/>
      <c r="Q30" s="25"/>
      <c r="R30" s="31"/>
      <c r="S30" s="24"/>
    </row>
    <row r="31" spans="2:19" hidden="1" x14ac:dyDescent="0.25">
      <c r="B31" s="326" t="s">
        <v>63</v>
      </c>
      <c r="C31" s="319">
        <f>+BK!E50</f>
        <v>0</v>
      </c>
      <c r="D31" s="319">
        <f>+BK!F50</f>
        <v>0</v>
      </c>
      <c r="E31" s="319">
        <f>+BK!G50</f>
        <v>0</v>
      </c>
      <c r="F31" s="319">
        <f>+BK!H50</f>
        <v>0</v>
      </c>
      <c r="G31" s="319">
        <f>+BK!I50</f>
        <v>0</v>
      </c>
      <c r="H31" s="319">
        <f>+BK!J50</f>
        <v>0</v>
      </c>
      <c r="I31" s="319">
        <f>+BK!K50</f>
        <v>0</v>
      </c>
      <c r="J31" s="319">
        <f>+BK!L50</f>
        <v>0</v>
      </c>
      <c r="K31" s="319">
        <f>+BK!M50</f>
        <v>0</v>
      </c>
      <c r="L31" s="319">
        <f>+BK!N50</f>
        <v>0</v>
      </c>
      <c r="M31" s="319">
        <f>+BK!O50</f>
        <v>0</v>
      </c>
      <c r="O31" s="25"/>
      <c r="P31" s="25"/>
      <c r="Q31" s="25"/>
      <c r="R31" s="31"/>
      <c r="S31" s="24"/>
    </row>
    <row r="32" spans="2:19" hidden="1" x14ac:dyDescent="0.25">
      <c r="B32" s="326" t="s">
        <v>421</v>
      </c>
      <c r="C32" s="319">
        <f>+BK!E49</f>
        <v>0</v>
      </c>
      <c r="D32" s="319">
        <f>+BK!F49</f>
        <v>0</v>
      </c>
      <c r="E32" s="319">
        <f>+BK!G49</f>
        <v>0</v>
      </c>
      <c r="F32" s="319">
        <f>+BK!H49</f>
        <v>0</v>
      </c>
      <c r="G32" s="319">
        <f>+BK!I49</f>
        <v>0</v>
      </c>
      <c r="H32" s="319">
        <f>+BK!J49</f>
        <v>0</v>
      </c>
      <c r="I32" s="319">
        <f>+BK!C49</f>
        <v>0</v>
      </c>
      <c r="J32" s="319">
        <f>+BK!L49</f>
        <v>0</v>
      </c>
      <c r="K32" s="319">
        <f>+BK!M49</f>
        <v>0</v>
      </c>
      <c r="L32" s="319">
        <f>+BK!N49</f>
        <v>0</v>
      </c>
      <c r="M32" s="319">
        <f>+BK!O49</f>
        <v>0</v>
      </c>
      <c r="P32" s="24"/>
      <c r="Q32" s="24"/>
      <c r="R32" s="24"/>
      <c r="S32" s="24"/>
    </row>
    <row r="33" spans="2:14" hidden="1" x14ac:dyDescent="0.25">
      <c r="B33" s="326"/>
      <c r="C33" s="319"/>
      <c r="D33" s="319"/>
      <c r="E33" s="319"/>
      <c r="F33" s="319"/>
      <c r="G33" s="319"/>
      <c r="H33" s="319"/>
      <c r="I33" s="319"/>
      <c r="J33" s="319"/>
      <c r="K33" s="319"/>
      <c r="L33" s="319"/>
      <c r="M33" s="319"/>
    </row>
    <row r="34" spans="2:14" x14ac:dyDescent="0.25">
      <c r="B34" s="328" t="s">
        <v>2</v>
      </c>
      <c r="C34" s="327">
        <f>SUM(C26:C32)</f>
        <v>21162970</v>
      </c>
      <c r="D34" s="327">
        <f>SUM(D26:D32)</f>
        <v>25528441</v>
      </c>
      <c r="E34" s="327">
        <f>SUM(E26:E32)</f>
        <v>28149674.490000002</v>
      </c>
      <c r="F34" s="327">
        <f t="shared" ref="F34:M34" si="6">SUM(F26:F32)</f>
        <v>17722619.800000001</v>
      </c>
      <c r="G34" s="327">
        <f t="shared" si="6"/>
        <v>17905224</v>
      </c>
      <c r="H34" s="327">
        <f t="shared" si="6"/>
        <v>17898467</v>
      </c>
      <c r="I34" s="327">
        <f t="shared" si="6"/>
        <v>20804205</v>
      </c>
      <c r="J34" s="327">
        <f t="shared" si="6"/>
        <v>201104</v>
      </c>
      <c r="K34" s="327">
        <f t="shared" si="6"/>
        <v>169557</v>
      </c>
      <c r="L34" s="327">
        <f t="shared" si="6"/>
        <v>1620064</v>
      </c>
      <c r="M34" s="327">
        <f t="shared" si="6"/>
        <v>13585304</v>
      </c>
    </row>
    <row r="35" spans="2:14" x14ac:dyDescent="0.25">
      <c r="B35" s="326"/>
      <c r="C35" s="319">
        <f>+BA!E88</f>
        <v>21162970</v>
      </c>
      <c r="D35" s="319">
        <f>+BA!F88</f>
        <v>25528441</v>
      </c>
      <c r="E35" s="319">
        <f>+BA!G88</f>
        <v>28149674.490000002</v>
      </c>
      <c r="F35" s="319">
        <f>+BA!H88</f>
        <v>17722619.800000001</v>
      </c>
      <c r="G35" s="319">
        <f>+BA!I88</f>
        <v>17905224</v>
      </c>
      <c r="H35" s="319">
        <f>+BA!J88</f>
        <v>17898467</v>
      </c>
      <c r="I35" s="319">
        <f>+BA!K88</f>
        <v>20804205</v>
      </c>
      <c r="J35" s="319">
        <f>+BA!L88</f>
        <v>201104</v>
      </c>
      <c r="K35" s="319">
        <f>+BA!M88</f>
        <v>169557</v>
      </c>
      <c r="L35" s="319">
        <f>+L34-BK!C55</f>
        <v>1620064</v>
      </c>
      <c r="M35" s="319">
        <f>+M34-BK!O55</f>
        <v>0</v>
      </c>
    </row>
    <row r="36" spans="2:14" x14ac:dyDescent="0.25">
      <c r="B36" s="331" t="s">
        <v>103</v>
      </c>
      <c r="C36" s="327"/>
      <c r="D36" s="327"/>
      <c r="E36" s="327"/>
      <c r="F36" s="327"/>
      <c r="G36" s="327"/>
      <c r="H36" s="327"/>
      <c r="I36" s="327"/>
      <c r="J36" s="327"/>
      <c r="K36" s="327"/>
      <c r="L36" s="327"/>
      <c r="M36" s="327"/>
    </row>
    <row r="37" spans="2:14" x14ac:dyDescent="0.25">
      <c r="B37" s="338" t="s">
        <v>529</v>
      </c>
      <c r="C37" s="320" t="str">
        <f>+C25</f>
        <v>31 Dhjetor 2018</v>
      </c>
      <c r="D37" s="320" t="str">
        <f t="shared" ref="D37:I37" si="7">+D25</f>
        <v>31 Dhjetor 2017</v>
      </c>
      <c r="E37" s="320" t="str">
        <f t="shared" si="7"/>
        <v>31 Dhjetor 2016</v>
      </c>
      <c r="F37" s="320" t="str">
        <f t="shared" si="7"/>
        <v>31 Dhjetor 2015</v>
      </c>
      <c r="G37" s="320" t="str">
        <f t="shared" si="7"/>
        <v>31 Dhjetor 2014</v>
      </c>
      <c r="H37" s="320" t="str">
        <f t="shared" si="7"/>
        <v>31 Dhjetor 2013</v>
      </c>
      <c r="I37" s="320" t="str">
        <f t="shared" si="7"/>
        <v>31 Dhjetor 2012</v>
      </c>
      <c r="J37" s="320" t="s">
        <v>597</v>
      </c>
      <c r="K37" s="320" t="s">
        <v>547</v>
      </c>
      <c r="L37" s="320" t="s">
        <v>523</v>
      </c>
      <c r="M37" s="320" t="s">
        <v>107</v>
      </c>
    </row>
    <row r="38" spans="2:14" x14ac:dyDescent="0.25">
      <c r="B38" s="329" t="s">
        <v>103</v>
      </c>
      <c r="C38" s="337">
        <f>+BK!E45</f>
        <v>1176355</v>
      </c>
      <c r="D38" s="337">
        <f>+BK!F45</f>
        <v>1245430</v>
      </c>
      <c r="E38" s="337">
        <f>+BK!G45</f>
        <v>3854386.49</v>
      </c>
      <c r="F38" s="337">
        <f>+BK!H45</f>
        <v>4231701.8</v>
      </c>
      <c r="G38" s="337">
        <f>+BK!I45</f>
        <v>3014566</v>
      </c>
      <c r="H38" s="337">
        <f>+BK!J45</f>
        <v>2400644</v>
      </c>
      <c r="I38" s="337">
        <f>+BK!K45</f>
        <v>4100951</v>
      </c>
      <c r="J38" s="337">
        <f>+BK!L45</f>
        <v>0</v>
      </c>
      <c r="K38" s="337">
        <f>+BK!M45</f>
        <v>0</v>
      </c>
      <c r="L38" s="337">
        <f>+BK!N45</f>
        <v>1205070</v>
      </c>
      <c r="M38" s="337">
        <f>+BK!O45</f>
        <v>1061093</v>
      </c>
    </row>
    <row r="39" spans="2:14" x14ac:dyDescent="0.25">
      <c r="B39" s="326"/>
      <c r="C39" s="327"/>
      <c r="D39" s="327"/>
      <c r="E39" s="327"/>
      <c r="F39" s="327"/>
      <c r="G39" s="327"/>
      <c r="H39" s="327"/>
      <c r="I39" s="327"/>
      <c r="J39" s="327"/>
      <c r="K39" s="327"/>
      <c r="L39" s="327"/>
      <c r="M39" s="327"/>
    </row>
    <row r="40" spans="2:14" x14ac:dyDescent="0.25">
      <c r="B40" s="331" t="s">
        <v>422</v>
      </c>
      <c r="C40" s="327"/>
      <c r="D40" s="327"/>
      <c r="E40" s="327"/>
      <c r="F40" s="327"/>
      <c r="G40" s="327"/>
      <c r="H40" s="327"/>
      <c r="I40" s="327"/>
      <c r="J40" s="327"/>
      <c r="K40" s="327"/>
      <c r="L40" s="327"/>
      <c r="M40" s="327"/>
    </row>
    <row r="41" spans="2:14" x14ac:dyDescent="0.25">
      <c r="B41" s="326" t="s">
        <v>459</v>
      </c>
      <c r="C41" s="320" t="str">
        <f>+C37</f>
        <v>31 Dhjetor 2018</v>
      </c>
      <c r="D41" s="320" t="str">
        <f t="shared" ref="D41:I41" si="8">+D37</f>
        <v>31 Dhjetor 2017</v>
      </c>
      <c r="E41" s="320" t="str">
        <f t="shared" si="8"/>
        <v>31 Dhjetor 2016</v>
      </c>
      <c r="F41" s="320" t="str">
        <f t="shared" si="8"/>
        <v>31 Dhjetor 2015</v>
      </c>
      <c r="G41" s="320" t="str">
        <f t="shared" si="8"/>
        <v>31 Dhjetor 2014</v>
      </c>
      <c r="H41" s="320" t="str">
        <f t="shared" si="8"/>
        <v>31 Dhjetor 2013</v>
      </c>
      <c r="I41" s="320" t="str">
        <f t="shared" si="8"/>
        <v>31 Dhjetor 2012</v>
      </c>
      <c r="J41" s="320" t="s">
        <v>597</v>
      </c>
      <c r="K41" s="320" t="s">
        <v>547</v>
      </c>
      <c r="L41" s="320" t="s">
        <v>523</v>
      </c>
      <c r="M41" s="320" t="s">
        <v>107</v>
      </c>
    </row>
    <row r="42" spans="2:14" x14ac:dyDescent="0.25">
      <c r="B42" s="326" t="s">
        <v>105</v>
      </c>
      <c r="C42" s="319">
        <v>0</v>
      </c>
      <c r="D42" s="319">
        <v>0</v>
      </c>
      <c r="E42" s="319">
        <v>0</v>
      </c>
      <c r="F42" s="319">
        <v>0</v>
      </c>
      <c r="G42" s="319">
        <v>0</v>
      </c>
      <c r="H42" s="319">
        <v>0</v>
      </c>
      <c r="I42" s="319">
        <v>0</v>
      </c>
      <c r="J42" s="319">
        <v>0</v>
      </c>
      <c r="K42" s="319">
        <v>0</v>
      </c>
      <c r="L42" s="319">
        <v>0</v>
      </c>
      <c r="M42" s="319"/>
      <c r="N42" s="8"/>
    </row>
    <row r="43" spans="2:14" x14ac:dyDescent="0.25">
      <c r="B43" s="326" t="s">
        <v>106</v>
      </c>
      <c r="C43" s="319">
        <f>+BA!E103</f>
        <v>119346</v>
      </c>
      <c r="D43" s="319">
        <f>+BA!F103</f>
        <v>74949</v>
      </c>
      <c r="E43" s="319">
        <f>+BA!G103</f>
        <v>64172</v>
      </c>
      <c r="F43" s="319">
        <f>+BA!H103</f>
        <v>85097</v>
      </c>
      <c r="G43" s="319">
        <f>+BA!I103</f>
        <v>71147</v>
      </c>
      <c r="H43" s="319">
        <f>+BA!J103</f>
        <v>60859</v>
      </c>
      <c r="I43" s="319">
        <f>+BA!K103</f>
        <v>66255</v>
      </c>
      <c r="J43" s="319">
        <f>+BA!L103</f>
        <v>52905</v>
      </c>
      <c r="K43" s="319">
        <f>+BA!M103</f>
        <v>49782</v>
      </c>
      <c r="L43" s="319">
        <f>+BA!N103</f>
        <v>37386</v>
      </c>
      <c r="M43" s="319">
        <f>+BA!O103</f>
        <v>65672</v>
      </c>
      <c r="N43" s="8"/>
    </row>
    <row r="44" spans="2:14" x14ac:dyDescent="0.25">
      <c r="B44" s="326" t="s">
        <v>691</v>
      </c>
      <c r="C44" s="319">
        <f>+BA!E104</f>
        <v>163449</v>
      </c>
      <c r="D44" s="319">
        <f>+BA!F104</f>
        <v>5250</v>
      </c>
      <c r="E44" s="319">
        <f>+BA!G104</f>
        <v>5250</v>
      </c>
      <c r="F44" s="319">
        <f>+BA!H104</f>
        <v>83132</v>
      </c>
      <c r="G44" s="319">
        <f>+BA!I104</f>
        <v>35606</v>
      </c>
      <c r="H44" s="319">
        <f>+BA!J104</f>
        <v>116854</v>
      </c>
      <c r="I44" s="319">
        <f>+BA!K104</f>
        <v>33462</v>
      </c>
      <c r="J44" s="319">
        <f>+BA!L104</f>
        <v>148199</v>
      </c>
      <c r="K44" s="319">
        <f>+BA!M104</f>
        <v>119775</v>
      </c>
      <c r="L44" s="319">
        <f>+BA!N104</f>
        <v>10400</v>
      </c>
      <c r="M44" s="319">
        <f>+BA!O104</f>
        <v>15546</v>
      </c>
    </row>
    <row r="45" spans="2:14" x14ac:dyDescent="0.25">
      <c r="B45" s="326" t="s">
        <v>496</v>
      </c>
      <c r="C45" s="319">
        <f>+BA!E102</f>
        <v>337000</v>
      </c>
      <c r="D45" s="319">
        <f>+BA!F102</f>
        <v>198280</v>
      </c>
      <c r="E45" s="319">
        <f>+BA!G102</f>
        <v>212176</v>
      </c>
      <c r="F45" s="319">
        <f>+BA!H102</f>
        <v>409825</v>
      </c>
      <c r="G45" s="319">
        <f>+BA!I102</f>
        <v>384841</v>
      </c>
      <c r="H45" s="319">
        <f>+BA!J102</f>
        <v>0</v>
      </c>
      <c r="I45" s="319">
        <f>+BA!K102</f>
        <v>0</v>
      </c>
      <c r="J45" s="319">
        <f>+BA!L102</f>
        <v>0</v>
      </c>
      <c r="K45" s="319">
        <f>+BA!M102</f>
        <v>0</v>
      </c>
      <c r="L45" s="319">
        <f>+BA!N102</f>
        <v>0</v>
      </c>
      <c r="M45" s="319">
        <f>+BA!O102</f>
        <v>0</v>
      </c>
    </row>
    <row r="46" spans="2:14" x14ac:dyDescent="0.25">
      <c r="B46" s="328" t="s">
        <v>2</v>
      </c>
      <c r="C46" s="327">
        <f>SUM(C42:C45)</f>
        <v>619795</v>
      </c>
      <c r="D46" s="327">
        <f>SUM(D42:D45)</f>
        <v>278479</v>
      </c>
      <c r="E46" s="327">
        <f>SUM(E42:E45)</f>
        <v>281598</v>
      </c>
      <c r="F46" s="327">
        <f t="shared" ref="F46:M46" si="9">SUM(F42:F45)</f>
        <v>578054</v>
      </c>
      <c r="G46" s="327">
        <f t="shared" si="9"/>
        <v>491594</v>
      </c>
      <c r="H46" s="327">
        <f t="shared" si="9"/>
        <v>177713</v>
      </c>
      <c r="I46" s="327">
        <f t="shared" si="9"/>
        <v>99717</v>
      </c>
      <c r="J46" s="327">
        <f t="shared" si="9"/>
        <v>201104</v>
      </c>
      <c r="K46" s="327">
        <f t="shared" si="9"/>
        <v>169557</v>
      </c>
      <c r="L46" s="327">
        <f t="shared" si="9"/>
        <v>47786</v>
      </c>
      <c r="M46" s="327">
        <f t="shared" si="9"/>
        <v>81218</v>
      </c>
    </row>
    <row r="47" spans="2:14" x14ac:dyDescent="0.25">
      <c r="B47" s="326"/>
      <c r="C47" s="337"/>
      <c r="D47" s="337"/>
      <c r="E47" s="337"/>
      <c r="F47" s="337"/>
      <c r="G47" s="337"/>
      <c r="H47" s="337"/>
      <c r="I47" s="337"/>
      <c r="J47" s="337"/>
      <c r="K47" s="337"/>
      <c r="L47" s="337"/>
      <c r="M47" s="337">
        <f>+BK!O47</f>
        <v>81218</v>
      </c>
    </row>
    <row r="48" spans="2:14" x14ac:dyDescent="0.25">
      <c r="B48" s="329"/>
      <c r="C48" s="337">
        <f>+C31</f>
        <v>0</v>
      </c>
      <c r="D48" s="337">
        <f>+D31</f>
        <v>0</v>
      </c>
      <c r="E48" s="337">
        <f>+E31</f>
        <v>0</v>
      </c>
      <c r="F48" s="337">
        <f t="shared" ref="F48:M48" si="10">+F31</f>
        <v>0</v>
      </c>
      <c r="G48" s="337">
        <f t="shared" si="10"/>
        <v>0</v>
      </c>
      <c r="H48" s="337">
        <f t="shared" si="10"/>
        <v>0</v>
      </c>
      <c r="I48" s="337">
        <f t="shared" si="10"/>
        <v>0</v>
      </c>
      <c r="J48" s="337">
        <f t="shared" si="10"/>
        <v>0</v>
      </c>
      <c r="K48" s="337">
        <f t="shared" si="10"/>
        <v>0</v>
      </c>
      <c r="L48" s="337">
        <f t="shared" si="10"/>
        <v>0</v>
      </c>
      <c r="M48" s="337">
        <f t="shared" si="10"/>
        <v>0</v>
      </c>
    </row>
    <row r="49" spans="2:13" x14ac:dyDescent="0.25">
      <c r="B49" s="326"/>
      <c r="C49" s="329"/>
      <c r="D49" s="329"/>
      <c r="E49" s="329"/>
      <c r="F49" s="329"/>
      <c r="G49" s="329"/>
      <c r="H49" s="329"/>
      <c r="I49" s="329"/>
      <c r="J49" s="329"/>
      <c r="K49" s="329"/>
      <c r="L49" s="329"/>
      <c r="M49" s="329"/>
    </row>
    <row r="50" spans="2:13" x14ac:dyDescent="0.25">
      <c r="B50" s="326"/>
      <c r="C50" s="320" t="str">
        <f>+C41</f>
        <v>31 Dhjetor 2018</v>
      </c>
      <c r="D50" s="320" t="str">
        <f t="shared" ref="D50:I50" si="11">+D41</f>
        <v>31 Dhjetor 2017</v>
      </c>
      <c r="E50" s="320" t="str">
        <f t="shared" si="11"/>
        <v>31 Dhjetor 2016</v>
      </c>
      <c r="F50" s="320" t="str">
        <f t="shared" si="11"/>
        <v>31 Dhjetor 2015</v>
      </c>
      <c r="G50" s="320" t="str">
        <f t="shared" si="11"/>
        <v>31 Dhjetor 2014</v>
      </c>
      <c r="H50" s="320" t="str">
        <f t="shared" si="11"/>
        <v>31 Dhjetor 2013</v>
      </c>
      <c r="I50" s="320" t="str">
        <f t="shared" si="11"/>
        <v>31 Dhjetor 2012</v>
      </c>
      <c r="J50" s="320" t="s">
        <v>597</v>
      </c>
      <c r="K50" s="320" t="s">
        <v>547</v>
      </c>
      <c r="L50" s="320" t="s">
        <v>523</v>
      </c>
      <c r="M50" s="320" t="s">
        <v>107</v>
      </c>
    </row>
    <row r="51" spans="2:13" x14ac:dyDescent="0.25">
      <c r="B51" s="326" t="s">
        <v>118</v>
      </c>
      <c r="C51" s="319">
        <f>+BK!E48</f>
        <v>0</v>
      </c>
      <c r="D51" s="319">
        <f>+BK!F48</f>
        <v>0</v>
      </c>
      <c r="E51" s="319">
        <f>+BK!G48</f>
        <v>0</v>
      </c>
      <c r="F51" s="319">
        <f>+BK!H48</f>
        <v>0</v>
      </c>
      <c r="G51" s="319">
        <f>+BK!I48</f>
        <v>0</v>
      </c>
      <c r="H51" s="319">
        <f>+BK!J48</f>
        <v>0</v>
      </c>
      <c r="I51" s="319">
        <f>+BK!K48</f>
        <v>0</v>
      </c>
      <c r="J51" s="319">
        <f>+BK!L48</f>
        <v>0</v>
      </c>
      <c r="K51" s="319">
        <f>+BK!M48</f>
        <v>0</v>
      </c>
      <c r="L51" s="319">
        <f>+BK!N48</f>
        <v>367208</v>
      </c>
      <c r="M51" s="319">
        <f>+BK!O48</f>
        <v>4300483</v>
      </c>
    </row>
    <row r="52" spans="2:13" x14ac:dyDescent="0.25">
      <c r="B52" s="326"/>
      <c r="C52" s="319"/>
      <c r="D52" s="319"/>
      <c r="E52" s="319"/>
      <c r="F52" s="319"/>
      <c r="G52" s="319"/>
      <c r="H52" s="319"/>
      <c r="I52" s="319"/>
      <c r="J52" s="319"/>
      <c r="K52" s="319"/>
      <c r="L52" s="319"/>
      <c r="M52" s="319"/>
    </row>
    <row r="53" spans="2:13" x14ac:dyDescent="0.25">
      <c r="B53" s="328" t="s">
        <v>2</v>
      </c>
      <c r="C53" s="327">
        <f>SUM(C51:C51)</f>
        <v>0</v>
      </c>
      <c r="D53" s="327">
        <f>SUM(D51:D51)</f>
        <v>0</v>
      </c>
      <c r="E53" s="327">
        <f>SUM(E51:E51)</f>
        <v>0</v>
      </c>
      <c r="F53" s="327">
        <f>SUM(F51:F51)</f>
        <v>0</v>
      </c>
      <c r="G53" s="327">
        <f>SUM(G51:G51)</f>
        <v>0</v>
      </c>
      <c r="H53" s="327">
        <f t="shared" ref="H53:M53" si="12">SUM(H51:H51)</f>
        <v>0</v>
      </c>
      <c r="I53" s="327">
        <f t="shared" si="12"/>
        <v>0</v>
      </c>
      <c r="J53" s="327">
        <f t="shared" si="12"/>
        <v>0</v>
      </c>
      <c r="K53" s="327">
        <f t="shared" si="12"/>
        <v>0</v>
      </c>
      <c r="L53" s="327">
        <f t="shared" si="12"/>
        <v>367208</v>
      </c>
      <c r="M53" s="327">
        <f t="shared" si="12"/>
        <v>4300483</v>
      </c>
    </row>
    <row r="54" spans="2:13" x14ac:dyDescent="0.25">
      <c r="B54" s="326"/>
      <c r="C54" s="330">
        <f>+BK!E48</f>
        <v>0</v>
      </c>
      <c r="D54" s="330">
        <f>+BK!F48</f>
        <v>0</v>
      </c>
      <c r="E54" s="330">
        <f>+BK!G48</f>
        <v>0</v>
      </c>
      <c r="F54" s="330">
        <f>+BK!H48</f>
        <v>0</v>
      </c>
      <c r="G54" s="330">
        <f>+BK!I48</f>
        <v>0</v>
      </c>
      <c r="H54" s="330">
        <f>+BK!J48</f>
        <v>0</v>
      </c>
      <c r="I54" s="330">
        <f>+BK!K48</f>
        <v>0</v>
      </c>
      <c r="J54" s="330">
        <f>+BK!L48</f>
        <v>0</v>
      </c>
      <c r="K54" s="330">
        <f>+BK!M48</f>
        <v>0</v>
      </c>
      <c r="L54" s="330">
        <f>+BK!N48</f>
        <v>367208</v>
      </c>
      <c r="M54" s="330">
        <f>+BK!O48</f>
        <v>4300483</v>
      </c>
    </row>
    <row r="55" spans="2:13" x14ac:dyDescent="0.25">
      <c r="B55" s="326"/>
      <c r="C55" s="329"/>
      <c r="D55" s="329"/>
      <c r="E55" s="329"/>
      <c r="F55" s="329"/>
      <c r="G55" s="329"/>
      <c r="H55" s="329"/>
      <c r="I55" s="329"/>
      <c r="J55" s="329"/>
      <c r="K55" s="329"/>
      <c r="L55" s="329"/>
      <c r="M55" s="329"/>
    </row>
    <row r="56" spans="2:13" x14ac:dyDescent="0.25">
      <c r="B56" s="326" t="s">
        <v>497</v>
      </c>
      <c r="C56" s="326"/>
      <c r="D56" s="326"/>
      <c r="E56" s="326"/>
      <c r="F56" s="326"/>
      <c r="G56" s="326"/>
      <c r="H56" s="326"/>
      <c r="I56" s="326"/>
      <c r="J56" s="326"/>
      <c r="K56" s="326"/>
      <c r="L56" s="326"/>
      <c r="M56" s="326"/>
    </row>
    <row r="57" spans="2:13" x14ac:dyDescent="0.25">
      <c r="B57" s="326" t="s">
        <v>459</v>
      </c>
      <c r="C57" s="320" t="str">
        <f>+C50</f>
        <v>31 Dhjetor 2018</v>
      </c>
      <c r="D57" s="320" t="str">
        <f t="shared" ref="D57:I57" si="13">+D50</f>
        <v>31 Dhjetor 2017</v>
      </c>
      <c r="E57" s="320" t="str">
        <f t="shared" si="13"/>
        <v>31 Dhjetor 2016</v>
      </c>
      <c r="F57" s="320" t="str">
        <f t="shared" si="13"/>
        <v>31 Dhjetor 2015</v>
      </c>
      <c r="G57" s="320" t="str">
        <f t="shared" si="13"/>
        <v>31 Dhjetor 2014</v>
      </c>
      <c r="H57" s="320" t="str">
        <f t="shared" si="13"/>
        <v>31 Dhjetor 2013</v>
      </c>
      <c r="I57" s="320" t="str">
        <f t="shared" si="13"/>
        <v>31 Dhjetor 2012</v>
      </c>
      <c r="J57" s="320" t="s">
        <v>597</v>
      </c>
      <c r="K57" s="320" t="s">
        <v>547</v>
      </c>
      <c r="L57" s="320" t="s">
        <v>523</v>
      </c>
      <c r="M57" s="320" t="s">
        <v>107</v>
      </c>
    </row>
    <row r="58" spans="2:13" x14ac:dyDescent="0.25">
      <c r="B58" s="319" t="s">
        <v>689</v>
      </c>
      <c r="C58" s="319">
        <f>+BA!E45</f>
        <v>92447</v>
      </c>
      <c r="D58" s="319">
        <f>+BA!F45</f>
        <v>1199747</v>
      </c>
      <c r="E58" s="319">
        <f>+BA!G45</f>
        <v>1110343</v>
      </c>
      <c r="F58" s="319">
        <f>+BA!H45</f>
        <v>789930</v>
      </c>
      <c r="G58" s="319">
        <f>+BA!I45</f>
        <v>603793</v>
      </c>
      <c r="H58" s="319">
        <f>+BA!J45</f>
        <v>407902</v>
      </c>
      <c r="I58" s="319">
        <f>+BA!K45</f>
        <v>259028</v>
      </c>
      <c r="J58" s="319">
        <f>+BA!L45</f>
        <v>0</v>
      </c>
      <c r="K58" s="319">
        <f>+BA!M45</f>
        <v>64922</v>
      </c>
      <c r="L58" s="319">
        <f>+BA!N45</f>
        <v>46169</v>
      </c>
      <c r="M58" s="319">
        <f>+BA!O45</f>
        <v>384361</v>
      </c>
    </row>
    <row r="59" spans="2:13" x14ac:dyDescent="0.25">
      <c r="B59" s="323" t="s">
        <v>2</v>
      </c>
      <c r="C59" s="325">
        <f>SUM(C58:C58)</f>
        <v>92447</v>
      </c>
      <c r="D59" s="325">
        <f>SUM(D58:D58)</f>
        <v>1199747</v>
      </c>
      <c r="E59" s="325">
        <f>SUM(E58:E58)</f>
        <v>1110343</v>
      </c>
      <c r="F59" s="325">
        <f>SUM(F58:F58)</f>
        <v>789930</v>
      </c>
      <c r="G59" s="325">
        <f>SUM(G58:G58)</f>
        <v>603793</v>
      </c>
      <c r="H59" s="325">
        <f t="shared" ref="H59:M59" si="14">SUM(H58:H58)</f>
        <v>407902</v>
      </c>
      <c r="I59" s="325">
        <f t="shared" si="14"/>
        <v>259028</v>
      </c>
      <c r="J59" s="325">
        <f t="shared" si="14"/>
        <v>0</v>
      </c>
      <c r="K59" s="325">
        <f t="shared" si="14"/>
        <v>64922</v>
      </c>
      <c r="L59" s="325">
        <f t="shared" si="14"/>
        <v>46169</v>
      </c>
      <c r="M59" s="325">
        <f t="shared" si="14"/>
        <v>384361</v>
      </c>
    </row>
    <row r="60" spans="2:13" x14ac:dyDescent="0.25">
      <c r="B60" s="319"/>
      <c r="C60" s="339">
        <f>+C20</f>
        <v>92447</v>
      </c>
      <c r="D60" s="339">
        <f>+D20</f>
        <v>1199747</v>
      </c>
      <c r="E60" s="339">
        <f>+E20</f>
        <v>1110343</v>
      </c>
      <c r="F60" s="339">
        <f t="shared" ref="F60:M60" si="15">+F20</f>
        <v>789930</v>
      </c>
      <c r="G60" s="339">
        <f t="shared" si="15"/>
        <v>603793</v>
      </c>
      <c r="H60" s="339">
        <f t="shared" si="15"/>
        <v>407902</v>
      </c>
      <c r="I60" s="339">
        <f t="shared" si="15"/>
        <v>259028</v>
      </c>
      <c r="J60" s="339">
        <f t="shared" si="15"/>
        <v>0</v>
      </c>
      <c r="K60" s="339">
        <f t="shared" si="15"/>
        <v>64922</v>
      </c>
      <c r="L60" s="339">
        <f t="shared" si="15"/>
        <v>2140931</v>
      </c>
      <c r="M60" s="339">
        <f t="shared" si="15"/>
        <v>384361</v>
      </c>
    </row>
    <row r="61" spans="2:13" x14ac:dyDescent="0.25">
      <c r="B61" s="340" t="s">
        <v>498</v>
      </c>
      <c r="C61" s="319"/>
      <c r="D61" s="319"/>
      <c r="E61" s="319"/>
      <c r="F61" s="319"/>
      <c r="G61" s="319"/>
      <c r="H61" s="319"/>
      <c r="I61" s="319"/>
      <c r="J61" s="319"/>
      <c r="K61" s="319"/>
      <c r="L61" s="319"/>
      <c r="M61" s="319"/>
    </row>
    <row r="62" spans="2:13" x14ac:dyDescent="0.25">
      <c r="B62" s="319" t="s">
        <v>459</v>
      </c>
      <c r="C62" s="320" t="str">
        <f>+C57</f>
        <v>31 Dhjetor 2018</v>
      </c>
      <c r="D62" s="320" t="str">
        <f t="shared" ref="D62:I62" si="16">+D57</f>
        <v>31 Dhjetor 2017</v>
      </c>
      <c r="E62" s="320" t="str">
        <f t="shared" si="16"/>
        <v>31 Dhjetor 2016</v>
      </c>
      <c r="F62" s="320" t="str">
        <f t="shared" si="16"/>
        <v>31 Dhjetor 2015</v>
      </c>
      <c r="G62" s="320" t="str">
        <f t="shared" si="16"/>
        <v>31 Dhjetor 2014</v>
      </c>
      <c r="H62" s="320" t="str">
        <f t="shared" si="16"/>
        <v>31 Dhjetor 2013</v>
      </c>
      <c r="I62" s="320" t="str">
        <f t="shared" si="16"/>
        <v>31 Dhjetor 2012</v>
      </c>
      <c r="J62" s="320" t="s">
        <v>597</v>
      </c>
      <c r="K62" s="320" t="s">
        <v>547</v>
      </c>
      <c r="L62" s="320" t="s">
        <v>523</v>
      </c>
      <c r="M62" s="320" t="s">
        <v>107</v>
      </c>
    </row>
    <row r="63" spans="2:13" ht="15.75" customHeight="1" x14ac:dyDescent="0.25">
      <c r="B63" s="319" t="s">
        <v>692</v>
      </c>
      <c r="C63" s="341">
        <f>+'A-Sh BA'!D14</f>
        <v>503263866</v>
      </c>
      <c r="D63" s="341">
        <f>+'A-Sh BA'!E14</f>
        <v>537776947</v>
      </c>
      <c r="E63" s="341">
        <f>+'A-Sh BA'!F14</f>
        <v>462882613</v>
      </c>
      <c r="F63" s="341">
        <f>+'A-Sh BA'!G14</f>
        <v>27265876</v>
      </c>
      <c r="G63" s="341">
        <f>+'A-Sh BA'!H14</f>
        <v>15746159</v>
      </c>
      <c r="H63" s="341">
        <f>+'A-Sh BA'!I14</f>
        <v>153095919</v>
      </c>
      <c r="I63" s="341">
        <f>+'A-Sh BA'!J14</f>
        <v>108863657</v>
      </c>
      <c r="J63" s="341">
        <f>+'A-Sh BA'!K14</f>
        <v>46521805</v>
      </c>
      <c r="K63" s="341">
        <f>+'A-Sh BA'!L14</f>
        <v>73566876</v>
      </c>
      <c r="L63" s="341">
        <f>+'A-Sh BA'!M14</f>
        <v>58608271</v>
      </c>
      <c r="M63" s="341">
        <f>+'A-Sh BA'!N14</f>
        <v>74117107</v>
      </c>
    </row>
    <row r="64" spans="2:13" ht="15.75" customHeight="1" x14ac:dyDescent="0.25">
      <c r="B64" s="319" t="s">
        <v>704</v>
      </c>
      <c r="C64" s="341">
        <f>+'A-Sh BA'!D15</f>
        <v>15893924</v>
      </c>
      <c r="D64" s="341">
        <f>+'A-Sh BA'!E24</f>
        <v>583335</v>
      </c>
      <c r="E64" s="341"/>
      <c r="F64" s="341"/>
      <c r="G64" s="341"/>
      <c r="H64" s="341"/>
      <c r="I64" s="341"/>
      <c r="J64" s="341"/>
      <c r="K64" s="341"/>
      <c r="L64" s="341"/>
      <c r="M64" s="341"/>
    </row>
    <row r="65" spans="2:13" x14ac:dyDescent="0.25">
      <c r="B65" s="323" t="s">
        <v>2</v>
      </c>
      <c r="C65" s="325">
        <f>SUM(C63:C64)</f>
        <v>519157790</v>
      </c>
      <c r="D65" s="325">
        <f>SUM(D63:D64)</f>
        <v>538360282</v>
      </c>
      <c r="E65" s="325">
        <f>SUM(E63:E63)</f>
        <v>462882613</v>
      </c>
      <c r="F65" s="325">
        <f t="shared" ref="F65:M65" si="17">SUM(F63:F63)</f>
        <v>27265876</v>
      </c>
      <c r="G65" s="325">
        <f t="shared" si="17"/>
        <v>15746159</v>
      </c>
      <c r="H65" s="325">
        <f t="shared" si="17"/>
        <v>153095919</v>
      </c>
      <c r="I65" s="325">
        <f t="shared" si="17"/>
        <v>108863657</v>
      </c>
      <c r="J65" s="325">
        <f t="shared" si="17"/>
        <v>46521805</v>
      </c>
      <c r="K65" s="325">
        <f t="shared" si="17"/>
        <v>73566876</v>
      </c>
      <c r="L65" s="325">
        <f t="shared" si="17"/>
        <v>58608271</v>
      </c>
      <c r="M65" s="325">
        <f t="shared" si="17"/>
        <v>74117107</v>
      </c>
    </row>
    <row r="66" spans="2:13" x14ac:dyDescent="0.25">
      <c r="B66" s="319"/>
      <c r="C66" s="339">
        <f>+'A-Sh BA'!D34</f>
        <v>519157790</v>
      </c>
      <c r="D66" s="339">
        <f>+'A-Sh BA'!E34</f>
        <v>538360282</v>
      </c>
      <c r="E66" s="339">
        <f>'ardh-shpenz'!G8</f>
        <v>462882613</v>
      </c>
      <c r="F66" s="339">
        <f>'ardh-shpenz'!H8</f>
        <v>27265876</v>
      </c>
      <c r="G66" s="339">
        <f>'ardh-shpenz'!I8</f>
        <v>15746159</v>
      </c>
      <c r="H66" s="339">
        <f>'ardh-shpenz'!J8</f>
        <v>153095919</v>
      </c>
      <c r="I66" s="339">
        <f>'ardh-shpenz'!K8</f>
        <v>108863657</v>
      </c>
      <c r="J66" s="339">
        <f>'ardh-shpenz'!L8</f>
        <v>47054355</v>
      </c>
      <c r="K66" s="339">
        <f>'ardh-shpenz'!M8</f>
        <v>76859726</v>
      </c>
      <c r="L66" s="339">
        <f>'ardh-shpenz'!N8</f>
        <v>61947030</v>
      </c>
      <c r="M66" s="339">
        <f>'ardh-shpenz'!O8</f>
        <v>78482619</v>
      </c>
    </row>
    <row r="67" spans="2:13" x14ac:dyDescent="0.25">
      <c r="B67" s="319"/>
      <c r="C67" s="339"/>
      <c r="D67" s="339"/>
      <c r="E67" s="339"/>
      <c r="F67" s="339"/>
      <c r="G67" s="339"/>
      <c r="H67" s="339"/>
      <c r="I67" s="339"/>
      <c r="J67" s="339"/>
      <c r="K67" s="339"/>
      <c r="L67" s="339"/>
      <c r="M67" s="339"/>
    </row>
    <row r="68" spans="2:13" x14ac:dyDescent="0.25">
      <c r="B68" s="319"/>
      <c r="C68" s="320" t="str">
        <f>+C62</f>
        <v>31 Dhjetor 2018</v>
      </c>
      <c r="D68" s="320" t="str">
        <f t="shared" ref="D68:I68" si="18">+D62</f>
        <v>31 Dhjetor 2017</v>
      </c>
      <c r="E68" s="320" t="str">
        <f t="shared" si="18"/>
        <v>31 Dhjetor 2016</v>
      </c>
      <c r="F68" s="320" t="str">
        <f t="shared" si="18"/>
        <v>31 Dhjetor 2015</v>
      </c>
      <c r="G68" s="320" t="str">
        <f t="shared" si="18"/>
        <v>31 Dhjetor 2014</v>
      </c>
      <c r="H68" s="320" t="str">
        <f t="shared" si="18"/>
        <v>31 Dhjetor 2013</v>
      </c>
      <c r="I68" s="320" t="str">
        <f t="shared" si="18"/>
        <v>31 Dhjetor 2012</v>
      </c>
      <c r="J68" s="320" t="s">
        <v>597</v>
      </c>
      <c r="K68" s="320" t="s">
        <v>547</v>
      </c>
      <c r="L68" s="320" t="s">
        <v>523</v>
      </c>
      <c r="M68" s="320" t="s">
        <v>107</v>
      </c>
    </row>
    <row r="69" spans="2:13" x14ac:dyDescent="0.25">
      <c r="B69" s="319" t="s">
        <v>423</v>
      </c>
      <c r="C69" s="319">
        <v>0</v>
      </c>
      <c r="D69" s="319">
        <v>0</v>
      </c>
      <c r="E69" s="319">
        <v>0</v>
      </c>
      <c r="F69" s="319">
        <v>0</v>
      </c>
      <c r="G69" s="319">
        <v>0</v>
      </c>
      <c r="H69" s="319">
        <v>0</v>
      </c>
      <c r="I69" s="319">
        <v>0</v>
      </c>
      <c r="J69" s="319">
        <v>0</v>
      </c>
      <c r="K69" s="319">
        <v>0</v>
      </c>
      <c r="L69" s="319">
        <v>0</v>
      </c>
      <c r="M69" s="319">
        <v>0</v>
      </c>
    </row>
    <row r="70" spans="2:13" x14ac:dyDescent="0.25">
      <c r="B70" s="319" t="s">
        <v>133</v>
      </c>
      <c r="C70" s="319">
        <v>0</v>
      </c>
      <c r="D70" s="319">
        <v>0</v>
      </c>
      <c r="E70" s="319">
        <v>0</v>
      </c>
      <c r="F70" s="319">
        <v>0</v>
      </c>
      <c r="G70" s="319">
        <v>0</v>
      </c>
      <c r="H70" s="319">
        <v>0</v>
      </c>
      <c r="I70" s="319">
        <v>0</v>
      </c>
      <c r="J70" s="319">
        <v>0</v>
      </c>
      <c r="K70" s="319">
        <v>0</v>
      </c>
      <c r="L70" s="319">
        <v>0</v>
      </c>
      <c r="M70" s="319">
        <v>0</v>
      </c>
    </row>
    <row r="71" spans="2:13" x14ac:dyDescent="0.25">
      <c r="B71" s="319"/>
      <c r="C71" s="327"/>
      <c r="D71" s="327"/>
      <c r="E71" s="327"/>
      <c r="F71" s="327"/>
      <c r="G71" s="327"/>
      <c r="H71" s="327"/>
      <c r="I71" s="327"/>
      <c r="J71" s="327"/>
      <c r="K71" s="327"/>
      <c r="L71" s="327"/>
      <c r="M71" s="327"/>
    </row>
    <row r="72" spans="2:13" x14ac:dyDescent="0.25">
      <c r="B72" s="323" t="s">
        <v>2</v>
      </c>
      <c r="C72" s="325">
        <f>SUM(C69:C71)</f>
        <v>0</v>
      </c>
      <c r="D72" s="325">
        <f>SUM(D69:D71)</f>
        <v>0</v>
      </c>
      <c r="E72" s="325">
        <f>SUM(E69:E71)</f>
        <v>0</v>
      </c>
      <c r="F72" s="325">
        <f>SUM(F69:F71)</f>
        <v>0</v>
      </c>
      <c r="G72" s="325">
        <f>SUM(G69:G71)</f>
        <v>0</v>
      </c>
      <c r="H72" s="325">
        <f t="shared" ref="H72:M72" si="19">SUM(H69:H71)</f>
        <v>0</v>
      </c>
      <c r="I72" s="325">
        <f t="shared" si="19"/>
        <v>0</v>
      </c>
      <c r="J72" s="325">
        <f t="shared" si="19"/>
        <v>0</v>
      </c>
      <c r="K72" s="325">
        <f t="shared" si="19"/>
        <v>0</v>
      </c>
      <c r="L72" s="325">
        <f t="shared" si="19"/>
        <v>0</v>
      </c>
      <c r="M72" s="325">
        <f t="shared" si="19"/>
        <v>0</v>
      </c>
    </row>
    <row r="73" spans="2:13" x14ac:dyDescent="0.25">
      <c r="B73" s="319"/>
      <c r="C73" s="339"/>
      <c r="D73" s="339"/>
      <c r="E73" s="339"/>
      <c r="F73" s="339"/>
      <c r="G73" s="339">
        <f>+'ardh-shpenz'!A9</f>
        <v>0</v>
      </c>
      <c r="H73" s="339" t="str">
        <f>+'ardh-shpenz'!B9</f>
        <v>Te ardhura te tjera nga veprimtarite e shfrytezimit</v>
      </c>
      <c r="I73" s="339">
        <f>+'ardh-shpenz'!C9</f>
        <v>9</v>
      </c>
      <c r="J73" s="339">
        <f>+'ardh-shpenz'!L9</f>
        <v>0</v>
      </c>
      <c r="K73" s="339">
        <f>+'ardh-shpenz'!M9</f>
        <v>0</v>
      </c>
      <c r="L73" s="339">
        <f>+'ardh-shpenz'!N9</f>
        <v>0</v>
      </c>
      <c r="M73" s="339">
        <f>+'ardh-shpenz'!O9</f>
        <v>0</v>
      </c>
    </row>
    <row r="74" spans="2:13" x14ac:dyDescent="0.25">
      <c r="B74" s="342"/>
      <c r="C74" s="319"/>
      <c r="D74" s="319"/>
      <c r="E74" s="319"/>
      <c r="F74" s="319"/>
      <c r="G74" s="319"/>
      <c r="H74" s="319"/>
      <c r="I74" s="319"/>
      <c r="J74" s="319"/>
      <c r="K74" s="319"/>
      <c r="L74" s="319"/>
      <c r="M74" s="319"/>
    </row>
    <row r="75" spans="2:13" x14ac:dyDescent="0.25">
      <c r="B75" s="319" t="s">
        <v>459</v>
      </c>
      <c r="C75" s="320" t="str">
        <f>+C68</f>
        <v>31 Dhjetor 2018</v>
      </c>
      <c r="D75" s="320" t="str">
        <f t="shared" ref="D75:I75" si="20">+D68</f>
        <v>31 Dhjetor 2017</v>
      </c>
      <c r="E75" s="320" t="str">
        <f t="shared" si="20"/>
        <v>31 Dhjetor 2016</v>
      </c>
      <c r="F75" s="320" t="str">
        <f t="shared" si="20"/>
        <v>31 Dhjetor 2015</v>
      </c>
      <c r="G75" s="320" t="str">
        <f t="shared" si="20"/>
        <v>31 Dhjetor 2014</v>
      </c>
      <c r="H75" s="320" t="str">
        <f t="shared" si="20"/>
        <v>31 Dhjetor 2013</v>
      </c>
      <c r="I75" s="320" t="str">
        <f t="shared" si="20"/>
        <v>31 Dhjetor 2012</v>
      </c>
      <c r="J75" s="320" t="s">
        <v>597</v>
      </c>
      <c r="K75" s="320" t="s">
        <v>547</v>
      </c>
      <c r="L75" s="320" t="s">
        <v>523</v>
      </c>
      <c r="M75" s="320" t="s">
        <v>107</v>
      </c>
    </row>
    <row r="76" spans="2:13" hidden="1" x14ac:dyDescent="0.25">
      <c r="B76" s="319" t="s">
        <v>424</v>
      </c>
      <c r="C76" s="319">
        <f>+'A-Sh BA'!D69</f>
        <v>14833288</v>
      </c>
      <c r="D76" s="319">
        <f>+'A-Sh BA'!E69</f>
        <v>0</v>
      </c>
      <c r="E76" s="319">
        <f>+'A-Sh BA'!F69</f>
        <v>0</v>
      </c>
      <c r="F76" s="319">
        <f>+'A-Sh BA'!G69</f>
        <v>0</v>
      </c>
      <c r="G76" s="319">
        <f>+'A-Sh BA'!H69</f>
        <v>0</v>
      </c>
      <c r="H76" s="319">
        <f>+'A-Sh BA'!I69</f>
        <v>0</v>
      </c>
      <c r="I76" s="319">
        <f>+'A-Sh BA'!J69</f>
        <v>0</v>
      </c>
      <c r="J76" s="319">
        <f>+'A-Sh BA'!K69</f>
        <v>532550</v>
      </c>
      <c r="K76" s="319">
        <f>-'ardh-shpenz'!M12</f>
        <v>2404665</v>
      </c>
      <c r="L76" s="319">
        <f>-'ardh-shpenz'!N12</f>
        <v>1349918</v>
      </c>
      <c r="M76" s="319">
        <f>-'ardh-shpenz'!O12</f>
        <v>1023300</v>
      </c>
    </row>
    <row r="77" spans="2:13" x14ac:dyDescent="0.25">
      <c r="B77" s="319" t="s">
        <v>604</v>
      </c>
      <c r="C77" s="319">
        <f>+'A-Sh BA'!D66</f>
        <v>487436454</v>
      </c>
      <c r="D77" s="319">
        <f>+'A-Sh BA'!E66</f>
        <v>528805100</v>
      </c>
      <c r="E77" s="319">
        <f>+'A-Sh BA'!F66</f>
        <v>450900558</v>
      </c>
      <c r="F77" s="319">
        <f>+'A-Sh BA'!G66</f>
        <v>0</v>
      </c>
      <c r="G77" s="319">
        <f>+'A-Sh BA'!H66</f>
        <v>0</v>
      </c>
      <c r="H77" s="319">
        <f>+'A-Sh BA'!I66</f>
        <v>142702565</v>
      </c>
      <c r="I77" s="319">
        <f>+'A-Sh BA'!J66</f>
        <v>101943489</v>
      </c>
      <c r="J77" s="319">
        <f>+'A-Sh BA'!K66</f>
        <v>41828078</v>
      </c>
      <c r="K77" s="319"/>
      <c r="L77" s="319"/>
      <c r="M77" s="319"/>
    </row>
    <row r="78" spans="2:13" x14ac:dyDescent="0.25">
      <c r="B78" s="319" t="s">
        <v>424</v>
      </c>
      <c r="C78" s="319">
        <f>+'A-Sh BA'!D69</f>
        <v>14833288</v>
      </c>
      <c r="D78" s="319"/>
      <c r="E78" s="319"/>
      <c r="F78" s="319"/>
      <c r="G78" s="319"/>
      <c r="H78" s="319"/>
      <c r="I78" s="319"/>
      <c r="J78" s="319"/>
      <c r="K78" s="319"/>
      <c r="L78" s="319"/>
      <c r="M78" s="319"/>
    </row>
    <row r="79" spans="2:13" x14ac:dyDescent="0.25">
      <c r="B79" s="323" t="s">
        <v>2</v>
      </c>
      <c r="C79" s="325">
        <f>SUM(C76:C77)</f>
        <v>502269742</v>
      </c>
      <c r="D79" s="325">
        <f>SUM(D76:D77)</f>
        <v>528805100</v>
      </c>
      <c r="E79" s="325">
        <f>SUM(E76:E77)</f>
        <v>450900558</v>
      </c>
      <c r="F79" s="325">
        <f>SUM(F76:F77)</f>
        <v>0</v>
      </c>
      <c r="G79" s="325">
        <f>SUM(G76:G77)</f>
        <v>0</v>
      </c>
      <c r="H79" s="325">
        <f t="shared" ref="H79:M79" si="21">SUM(H76:H77)</f>
        <v>142702565</v>
      </c>
      <c r="I79" s="325">
        <f t="shared" si="21"/>
        <v>101943489</v>
      </c>
      <c r="J79" s="325">
        <f t="shared" si="21"/>
        <v>42360628</v>
      </c>
      <c r="K79" s="325">
        <f t="shared" si="21"/>
        <v>2404665</v>
      </c>
      <c r="L79" s="325">
        <f t="shared" si="21"/>
        <v>1349918</v>
      </c>
      <c r="M79" s="325">
        <f t="shared" si="21"/>
        <v>1023300</v>
      </c>
    </row>
    <row r="80" spans="2:13" x14ac:dyDescent="0.25">
      <c r="B80" s="319"/>
      <c r="C80" s="319">
        <f>+'ardh-shpenz'!E12</f>
        <v>-502269742</v>
      </c>
      <c r="D80" s="319">
        <f>+'ardh-shpenz'!F12</f>
        <v>-528805100</v>
      </c>
      <c r="E80" s="319">
        <f>+'ardh-shpenz'!G12</f>
        <v>-450900558</v>
      </c>
      <c r="F80" s="319">
        <f>+'ardh-shpenz'!H12</f>
        <v>0</v>
      </c>
      <c r="G80" s="319">
        <f>+'ardh-shpenz'!I12</f>
        <v>0</v>
      </c>
      <c r="H80" s="319">
        <f>+'ardh-shpenz'!J12</f>
        <v>-142702565</v>
      </c>
      <c r="I80" s="319">
        <f>+'ardh-shpenz'!K12</f>
        <v>-101943489</v>
      </c>
      <c r="J80" s="319">
        <f>+'ardh-shpenz'!L12</f>
        <v>-42360628</v>
      </c>
      <c r="K80" s="319">
        <f>+'ardh-shpenz'!M12</f>
        <v>-2404665</v>
      </c>
      <c r="L80" s="319">
        <f>+'ardh-shpenz'!N12</f>
        <v>-1349918</v>
      </c>
      <c r="M80" s="319">
        <f>+'ardh-shpenz'!O12</f>
        <v>-1023300</v>
      </c>
    </row>
    <row r="81" spans="2:20" x14ac:dyDescent="0.25">
      <c r="B81" s="319"/>
      <c r="C81" s="319"/>
      <c r="D81" s="319"/>
      <c r="E81" s="319"/>
      <c r="F81" s="319"/>
      <c r="G81" s="319"/>
      <c r="H81" s="319"/>
      <c r="I81" s="319"/>
      <c r="J81" s="319"/>
      <c r="K81" s="319"/>
      <c r="L81" s="319"/>
      <c r="M81" s="319"/>
    </row>
    <row r="82" spans="2:20" x14ac:dyDescent="0.25">
      <c r="B82" s="319" t="s">
        <v>316</v>
      </c>
      <c r="C82" s="319"/>
      <c r="D82" s="319"/>
      <c r="E82" s="319"/>
      <c r="F82" s="319"/>
      <c r="G82" s="319"/>
      <c r="H82" s="319"/>
      <c r="I82" s="319"/>
      <c r="J82" s="319"/>
      <c r="K82" s="319"/>
      <c r="L82" s="319"/>
      <c r="M82" s="319"/>
    </row>
    <row r="83" spans="2:20" x14ac:dyDescent="0.25">
      <c r="B83" s="319" t="s">
        <v>459</v>
      </c>
      <c r="C83" s="320" t="str">
        <f>+C75</f>
        <v>31 Dhjetor 2018</v>
      </c>
      <c r="D83" s="320" t="str">
        <f t="shared" ref="D83:I83" si="22">+D75</f>
        <v>31 Dhjetor 2017</v>
      </c>
      <c r="E83" s="320" t="str">
        <f t="shared" si="22"/>
        <v>31 Dhjetor 2016</v>
      </c>
      <c r="F83" s="320" t="str">
        <f t="shared" si="22"/>
        <v>31 Dhjetor 2015</v>
      </c>
      <c r="G83" s="320" t="str">
        <f t="shared" si="22"/>
        <v>31 Dhjetor 2014</v>
      </c>
      <c r="H83" s="320" t="str">
        <f t="shared" si="22"/>
        <v>31 Dhjetor 2013</v>
      </c>
      <c r="I83" s="320" t="str">
        <f t="shared" si="22"/>
        <v>31 Dhjetor 2012</v>
      </c>
      <c r="J83" s="320" t="s">
        <v>597</v>
      </c>
      <c r="K83" s="320" t="s">
        <v>547</v>
      </c>
      <c r="L83" s="320" t="s">
        <v>523</v>
      </c>
      <c r="M83" s="320" t="s">
        <v>107</v>
      </c>
    </row>
    <row r="84" spans="2:20" x14ac:dyDescent="0.25">
      <c r="B84" s="326" t="s">
        <v>109</v>
      </c>
      <c r="C84" s="319">
        <f>+'A-Sh BA'!D73</f>
        <v>4821550</v>
      </c>
      <c r="D84" s="319">
        <f>+'A-Sh BA'!E73</f>
        <v>2636100</v>
      </c>
      <c r="E84" s="319">
        <f>+'A-Sh BA'!F73</f>
        <v>2711900</v>
      </c>
      <c r="F84" s="319">
        <f>+'A-Sh BA'!G73</f>
        <v>2850000</v>
      </c>
      <c r="G84" s="319">
        <f>+'A-Sh BA'!H73</f>
        <v>2296100</v>
      </c>
      <c r="H84" s="319">
        <f>+'A-Sh BA'!I73</f>
        <v>2547000</v>
      </c>
      <c r="I84" s="319">
        <f>+'A-Sh BA'!J73</f>
        <v>2488000</v>
      </c>
      <c r="J84" s="319">
        <f>+'A-Sh BA'!K73</f>
        <v>2386600</v>
      </c>
      <c r="K84" s="319">
        <f>+'A-Sh BA'!L73</f>
        <v>2445400</v>
      </c>
      <c r="L84" s="319">
        <f>+'A-Sh BA'!M73</f>
        <v>2158126</v>
      </c>
      <c r="M84" s="319">
        <f>+'A-Sh BA'!N73</f>
        <v>2894740</v>
      </c>
    </row>
    <row r="85" spans="2:20" x14ac:dyDescent="0.25">
      <c r="B85" s="319" t="s">
        <v>106</v>
      </c>
      <c r="C85" s="319">
        <f>+'A-Sh BA'!D75</f>
        <v>799659</v>
      </c>
      <c r="D85" s="319">
        <f>+'A-Sh BA'!E75</f>
        <v>433645</v>
      </c>
      <c r="E85" s="319">
        <f>+'A-Sh BA'!F75</f>
        <v>447535</v>
      </c>
      <c r="F85" s="319">
        <f>+'A-Sh BA'!G75</f>
        <v>470598</v>
      </c>
      <c r="G85" s="319">
        <f>+'A-Sh BA'!H75</f>
        <v>413688</v>
      </c>
      <c r="H85" s="319">
        <f>+'A-Sh BA'!I75</f>
        <v>421393</v>
      </c>
      <c r="I85" s="319">
        <f>+'A-Sh BA'!J75</f>
        <v>412664</v>
      </c>
      <c r="J85" s="319">
        <f>+'A-Sh BA'!K75</f>
        <v>535898</v>
      </c>
      <c r="K85" s="319">
        <f>+'A-Sh BA'!L75</f>
        <v>532774</v>
      </c>
      <c r="L85" s="319">
        <f>+'A-Sh BA'!M75</f>
        <v>400704</v>
      </c>
      <c r="M85" s="319">
        <f>+'A-Sh BA'!N75</f>
        <v>599830</v>
      </c>
    </row>
    <row r="86" spans="2:20" x14ac:dyDescent="0.25">
      <c r="B86" s="323" t="s">
        <v>2</v>
      </c>
      <c r="C86" s="325">
        <f>SUM(C84:C85)</f>
        <v>5621209</v>
      </c>
      <c r="D86" s="325">
        <f>SUM(D84:D85)</f>
        <v>3069745</v>
      </c>
      <c r="E86" s="325">
        <f>SUM(E84:E85)</f>
        <v>3159435</v>
      </c>
      <c r="F86" s="325">
        <f>SUM(F84:F85)</f>
        <v>3320598</v>
      </c>
      <c r="G86" s="325">
        <f>SUM(G84:G85)</f>
        <v>2709788</v>
      </c>
      <c r="H86" s="325">
        <f t="shared" ref="H86:M86" si="23">SUM(H84:H85)</f>
        <v>2968393</v>
      </c>
      <c r="I86" s="325">
        <f t="shared" si="23"/>
        <v>2900664</v>
      </c>
      <c r="J86" s="325">
        <f t="shared" si="23"/>
        <v>2922498</v>
      </c>
      <c r="K86" s="325">
        <f t="shared" si="23"/>
        <v>2978174</v>
      </c>
      <c r="L86" s="325">
        <f t="shared" si="23"/>
        <v>2558830</v>
      </c>
      <c r="M86" s="325">
        <f t="shared" si="23"/>
        <v>3494570</v>
      </c>
    </row>
    <row r="87" spans="2:20" x14ac:dyDescent="0.25">
      <c r="B87" s="319"/>
      <c r="C87" s="339">
        <f>+'ardh-shpenz'!E14</f>
        <v>-5621209</v>
      </c>
      <c r="D87" s="339">
        <f>+'ardh-shpenz'!F14</f>
        <v>-3069745</v>
      </c>
      <c r="E87" s="339">
        <f>+'ardh-shpenz'!G14</f>
        <v>-3159435</v>
      </c>
      <c r="F87" s="339">
        <f>+'ardh-shpenz'!H14</f>
        <v>-3320598</v>
      </c>
      <c r="G87" s="339">
        <f>+'ardh-shpenz'!I14</f>
        <v>-2709788</v>
      </c>
      <c r="H87" s="339">
        <f>+'ardh-shpenz'!J14</f>
        <v>-2968393</v>
      </c>
      <c r="I87" s="339">
        <f>+'ardh-shpenz'!K14</f>
        <v>-2900664</v>
      </c>
      <c r="J87" s="339">
        <f>+'ardh-shpenz'!L14</f>
        <v>-2922498</v>
      </c>
      <c r="K87" s="339">
        <f>+'ardh-shpenz'!M14</f>
        <v>-2978174</v>
      </c>
      <c r="L87" s="339">
        <f>+'ardh-shpenz'!N14</f>
        <v>-2558830</v>
      </c>
      <c r="M87" s="339">
        <f>+'ardh-shpenz'!O14</f>
        <v>-3494674</v>
      </c>
    </row>
    <row r="88" spans="2:20" x14ac:dyDescent="0.25">
      <c r="B88" s="319"/>
      <c r="C88" s="319"/>
      <c r="D88" s="319"/>
      <c r="E88" s="319"/>
      <c r="F88" s="319"/>
      <c r="G88" s="319"/>
      <c r="H88" s="319"/>
      <c r="I88" s="319"/>
      <c r="J88" s="319"/>
      <c r="K88" s="319"/>
      <c r="L88" s="319"/>
      <c r="M88" s="319"/>
    </row>
    <row r="89" spans="2:20" x14ac:dyDescent="0.25">
      <c r="B89" s="319" t="s">
        <v>83</v>
      </c>
      <c r="C89" s="319"/>
      <c r="D89" s="319"/>
      <c r="E89" s="319"/>
      <c r="F89" s="319"/>
      <c r="G89" s="319"/>
      <c r="H89" s="319"/>
      <c r="I89" s="319"/>
      <c r="J89" s="319"/>
      <c r="K89" s="319"/>
      <c r="L89" s="319"/>
      <c r="M89" s="319"/>
    </row>
    <row r="90" spans="2:20" x14ac:dyDescent="0.25">
      <c r="B90" s="319" t="s">
        <v>459</v>
      </c>
      <c r="C90" s="320" t="str">
        <f>+C83</f>
        <v>31 Dhjetor 2018</v>
      </c>
      <c r="D90" s="320" t="str">
        <f t="shared" ref="D90:I90" si="24">+D83</f>
        <v>31 Dhjetor 2017</v>
      </c>
      <c r="E90" s="320" t="str">
        <f t="shared" si="24"/>
        <v>31 Dhjetor 2016</v>
      </c>
      <c r="F90" s="320" t="str">
        <f t="shared" si="24"/>
        <v>31 Dhjetor 2015</v>
      </c>
      <c r="G90" s="320" t="str">
        <f t="shared" si="24"/>
        <v>31 Dhjetor 2014</v>
      </c>
      <c r="H90" s="320" t="str">
        <f t="shared" si="24"/>
        <v>31 Dhjetor 2013</v>
      </c>
      <c r="I90" s="320" t="str">
        <f t="shared" si="24"/>
        <v>31 Dhjetor 2012</v>
      </c>
      <c r="J90" s="320" t="s">
        <v>597</v>
      </c>
      <c r="K90" s="320" t="s">
        <v>547</v>
      </c>
      <c r="L90" s="320" t="s">
        <v>523</v>
      </c>
      <c r="M90" s="320" t="s">
        <v>107</v>
      </c>
    </row>
    <row r="91" spans="2:20" hidden="1" x14ac:dyDescent="0.25">
      <c r="B91" s="319" t="s">
        <v>681</v>
      </c>
      <c r="C91" s="454"/>
      <c r="D91" s="454"/>
      <c r="E91" s="454"/>
      <c r="F91" s="454">
        <v>18613118</v>
      </c>
      <c r="G91" s="454">
        <v>7581600</v>
      </c>
      <c r="H91" s="320">
        <v>0</v>
      </c>
      <c r="I91" s="320"/>
      <c r="J91" s="320"/>
      <c r="K91" s="320"/>
      <c r="L91" s="320"/>
      <c r="M91" s="320"/>
    </row>
    <row r="92" spans="2:20" x14ac:dyDescent="0.25">
      <c r="B92" s="321" t="s">
        <v>499</v>
      </c>
      <c r="C92" s="454">
        <v>1468000</v>
      </c>
      <c r="D92" s="454">
        <v>420000</v>
      </c>
      <c r="E92" s="454">
        <v>501000</v>
      </c>
      <c r="F92" s="454">
        <v>383000</v>
      </c>
      <c r="G92" s="454">
        <v>504000</v>
      </c>
      <c r="H92" s="454" t="e">
        <f>+#REF!*1000</f>
        <v>#REF!</v>
      </c>
      <c r="I92" s="322" t="e">
        <f>+#REF!*1000</f>
        <v>#REF!</v>
      </c>
      <c r="J92" s="322" t="e">
        <f>+#REF!*1000</f>
        <v>#REF!</v>
      </c>
      <c r="K92" s="322" t="e">
        <f>+#REF!*1000</f>
        <v>#REF!</v>
      </c>
      <c r="L92" s="322"/>
      <c r="M92" s="322"/>
      <c r="Q92"/>
      <c r="R92"/>
      <c r="S92" s="452"/>
      <c r="T92"/>
    </row>
    <row r="93" spans="2:20" x14ac:dyDescent="0.25">
      <c r="B93" s="321" t="s">
        <v>656</v>
      </c>
      <c r="C93" s="454">
        <f>438517+112339</f>
        <v>550856</v>
      </c>
      <c r="D93" s="454">
        <f>270148+104287+85833</f>
        <v>460268</v>
      </c>
      <c r="E93" s="454">
        <f>59493+5400</f>
        <v>64893</v>
      </c>
      <c r="F93" s="454">
        <v>0</v>
      </c>
      <c r="G93" s="454">
        <v>7000</v>
      </c>
      <c r="H93" s="454">
        <v>35080</v>
      </c>
      <c r="I93" s="322">
        <v>21940</v>
      </c>
      <c r="J93" s="322" t="e">
        <f>+#REF!*1000</f>
        <v>#REF!</v>
      </c>
      <c r="K93" s="322" t="e">
        <f>+#REF!*1000</f>
        <v>#REF!</v>
      </c>
      <c r="L93" s="322"/>
      <c r="M93" s="322"/>
      <c r="Q93"/>
      <c r="R93"/>
      <c r="S93" s="452"/>
      <c r="T93"/>
    </row>
    <row r="94" spans="2:20" x14ac:dyDescent="0.25">
      <c r="B94" s="321" t="s">
        <v>645</v>
      </c>
      <c r="C94" s="454">
        <v>2684</v>
      </c>
      <c r="D94" s="454">
        <v>6685</v>
      </c>
      <c r="E94" s="454">
        <v>0</v>
      </c>
      <c r="F94" s="454">
        <v>0</v>
      </c>
      <c r="G94" s="454">
        <v>58426</v>
      </c>
      <c r="H94" s="454">
        <v>7800</v>
      </c>
      <c r="I94" s="322">
        <v>118889</v>
      </c>
      <c r="J94" s="322"/>
      <c r="K94" s="322">
        <v>68458885</v>
      </c>
      <c r="L94" s="322" t="e">
        <f>+#REF!*1000</f>
        <v>#REF!</v>
      </c>
      <c r="M94" s="322"/>
      <c r="Q94"/>
      <c r="R94"/>
      <c r="S94" s="452"/>
      <c r="T94"/>
    </row>
    <row r="95" spans="2:20" x14ac:dyDescent="0.25">
      <c r="B95" s="321" t="s">
        <v>655</v>
      </c>
      <c r="C95" s="454">
        <v>1497286</v>
      </c>
      <c r="D95" s="454">
        <v>832812</v>
      </c>
      <c r="E95" s="454">
        <v>582517</v>
      </c>
      <c r="F95" s="454">
        <v>492084</v>
      </c>
      <c r="G95" s="454">
        <v>319054</v>
      </c>
      <c r="H95" s="454">
        <v>540358</v>
      </c>
      <c r="I95" s="322">
        <v>0</v>
      </c>
      <c r="J95" s="322"/>
      <c r="K95" s="322"/>
      <c r="L95" s="322"/>
      <c r="M95" s="322"/>
      <c r="Q95"/>
      <c r="R95"/>
      <c r="S95" s="452"/>
      <c r="T95"/>
    </row>
    <row r="96" spans="2:20" x14ac:dyDescent="0.25">
      <c r="B96" s="321" t="s">
        <v>646</v>
      </c>
      <c r="C96" s="454">
        <f>68667+901460</f>
        <v>970127</v>
      </c>
      <c r="D96" s="454">
        <v>87671</v>
      </c>
      <c r="E96" s="454">
        <v>231146</v>
      </c>
      <c r="F96" s="454">
        <v>58488</v>
      </c>
      <c r="G96" s="454">
        <v>35953</v>
      </c>
      <c r="H96" s="454">
        <v>35620</v>
      </c>
      <c r="I96" s="322">
        <v>27324</v>
      </c>
      <c r="J96" s="322"/>
      <c r="K96" s="322" t="e">
        <f>+#REF!*1000</f>
        <v>#REF!</v>
      </c>
      <c r="L96" s="322"/>
      <c r="M96" s="322"/>
      <c r="Q96"/>
      <c r="R96"/>
      <c r="S96" s="452"/>
      <c r="T96"/>
    </row>
    <row r="97" spans="2:20" x14ac:dyDescent="0.25">
      <c r="B97" s="321" t="s">
        <v>135</v>
      </c>
      <c r="C97" s="454">
        <v>311215</v>
      </c>
      <c r="D97" s="454">
        <v>234220</v>
      </c>
      <c r="E97" s="454">
        <v>439753</v>
      </c>
      <c r="F97" s="454">
        <v>403665</v>
      </c>
      <c r="G97" s="454">
        <v>451003</v>
      </c>
      <c r="H97" s="454">
        <v>163821</v>
      </c>
      <c r="I97" s="322" t="e">
        <f>+#REF!*1000</f>
        <v>#REF!</v>
      </c>
      <c r="J97" s="322" t="e">
        <f>+#REF!*1000</f>
        <v>#REF!</v>
      </c>
      <c r="K97" s="322" t="e">
        <f>+#REF!*1000</f>
        <v>#REF!</v>
      </c>
      <c r="L97" s="322"/>
      <c r="M97" s="322"/>
      <c r="Q97"/>
      <c r="R97"/>
      <c r="S97" s="452"/>
      <c r="T97"/>
    </row>
    <row r="98" spans="2:20" x14ac:dyDescent="0.25">
      <c r="B98" s="321" t="s">
        <v>705</v>
      </c>
      <c r="C98" s="454">
        <v>617478</v>
      </c>
      <c r="D98" s="454">
        <v>0</v>
      </c>
      <c r="E98" s="454">
        <v>1754400</v>
      </c>
      <c r="F98" s="454">
        <v>0</v>
      </c>
      <c r="G98" s="454">
        <v>0</v>
      </c>
      <c r="H98" s="454">
        <v>2182390</v>
      </c>
      <c r="I98" s="322" t="e">
        <f>+#REF!*1000</f>
        <v>#REF!</v>
      </c>
      <c r="J98" s="322" t="e">
        <f>+#REF!*1000</f>
        <v>#REF!</v>
      </c>
      <c r="K98" s="322"/>
      <c r="L98" s="322" t="e">
        <f>+#REF!*1000</f>
        <v>#REF!</v>
      </c>
      <c r="M98" s="322"/>
      <c r="N98" s="27"/>
      <c r="Q98"/>
      <c r="R98"/>
      <c r="S98" s="452"/>
      <c r="T98"/>
    </row>
    <row r="99" spans="2:20" x14ac:dyDescent="0.25">
      <c r="B99" s="487" t="s">
        <v>690</v>
      </c>
      <c r="C99" s="322">
        <v>465292</v>
      </c>
      <c r="D99" s="322">
        <f>1904686+226</f>
        <v>1904912</v>
      </c>
      <c r="E99" s="322">
        <v>58367</v>
      </c>
      <c r="F99" s="322">
        <v>97443</v>
      </c>
      <c r="G99" s="322">
        <v>11626</v>
      </c>
      <c r="H99" s="322">
        <v>2590</v>
      </c>
      <c r="I99" s="322">
        <f>+'A-Sh BA'!J77</f>
        <v>497386</v>
      </c>
      <c r="J99" s="322" t="e">
        <f>+#REF!*1000</f>
        <v>#REF!</v>
      </c>
      <c r="K99" s="322">
        <v>118145</v>
      </c>
      <c r="L99" s="322"/>
      <c r="M99" s="322"/>
      <c r="N99" s="27"/>
      <c r="Q99"/>
      <c r="R99"/>
      <c r="S99" s="452"/>
      <c r="T99"/>
    </row>
    <row r="100" spans="2:20" x14ac:dyDescent="0.25">
      <c r="B100" s="323" t="s">
        <v>2</v>
      </c>
      <c r="C100" s="324">
        <f>SUM(C91:C99)</f>
        <v>5882938</v>
      </c>
      <c r="D100" s="324">
        <f>SUM(D91:D99)</f>
        <v>3946568</v>
      </c>
      <c r="E100" s="324">
        <f>SUM(E91:E99)</f>
        <v>3632076</v>
      </c>
      <c r="F100" s="324">
        <f>SUM(F91:F99)</f>
        <v>20047798</v>
      </c>
      <c r="G100" s="324">
        <f>SUM(G91:G99)</f>
        <v>8968662</v>
      </c>
      <c r="H100" s="324" t="e">
        <f t="shared" ref="H100:M100" si="25">SUM(H92:H99)</f>
        <v>#REF!</v>
      </c>
      <c r="I100" s="324" t="e">
        <f t="shared" si="25"/>
        <v>#REF!</v>
      </c>
      <c r="J100" s="324" t="e">
        <f t="shared" si="25"/>
        <v>#REF!</v>
      </c>
      <c r="K100" s="324" t="e">
        <f t="shared" si="25"/>
        <v>#REF!</v>
      </c>
      <c r="L100" s="324" t="e">
        <f t="shared" si="25"/>
        <v>#REF!</v>
      </c>
      <c r="M100" s="324">
        <f t="shared" si="25"/>
        <v>0</v>
      </c>
      <c r="Q100"/>
      <c r="R100"/>
      <c r="S100" s="452"/>
      <c r="T100"/>
    </row>
    <row r="101" spans="2:20" x14ac:dyDescent="0.25">
      <c r="B101" s="319"/>
      <c r="C101" s="339">
        <f>+'ardh-shpenz'!E13</f>
        <v>-5882938</v>
      </c>
      <c r="D101" s="339">
        <f>+'ardh-shpenz'!F13</f>
        <v>-3946568</v>
      </c>
      <c r="E101" s="339">
        <f>+'ardh-shpenz'!G13</f>
        <v>-3632075.63</v>
      </c>
      <c r="F101" s="339">
        <f>+'ardh-shpenz'!H13</f>
        <v>-20047798</v>
      </c>
      <c r="G101" s="339">
        <f>+'ardh-shpenz'!I13</f>
        <v>-8968662</v>
      </c>
      <c r="H101" s="339"/>
      <c r="I101" s="339"/>
      <c r="J101" s="339"/>
      <c r="K101" s="339"/>
      <c r="L101" s="339"/>
      <c r="M101" s="339"/>
      <c r="Q101"/>
      <c r="R101"/>
      <c r="S101" s="452"/>
      <c r="T101"/>
    </row>
    <row r="102" spans="2:20" x14ac:dyDescent="0.25">
      <c r="B102" s="319"/>
      <c r="C102" s="339"/>
      <c r="D102" s="339"/>
      <c r="E102" s="339"/>
      <c r="F102" s="339"/>
      <c r="G102" s="339"/>
      <c r="H102" s="339"/>
      <c r="I102" s="339"/>
      <c r="J102" s="339"/>
      <c r="K102" s="339"/>
      <c r="L102" s="339"/>
      <c r="M102" s="339"/>
      <c r="Q102"/>
      <c r="R102"/>
      <c r="S102" s="452"/>
      <c r="T102"/>
    </row>
    <row r="103" spans="2:20" x14ac:dyDescent="0.25">
      <c r="B103" s="319" t="s">
        <v>500</v>
      </c>
      <c r="C103" s="319"/>
      <c r="D103" s="319"/>
      <c r="E103" s="319"/>
      <c r="F103" s="319"/>
      <c r="G103" s="319"/>
      <c r="H103" s="319"/>
      <c r="I103" s="319"/>
      <c r="J103" s="319"/>
      <c r="K103" s="319"/>
      <c r="L103" s="319"/>
      <c r="M103" s="319"/>
      <c r="Q103"/>
      <c r="R103"/>
      <c r="S103" s="452"/>
      <c r="T103"/>
    </row>
    <row r="104" spans="2:20" x14ac:dyDescent="0.25">
      <c r="B104" s="319" t="s">
        <v>459</v>
      </c>
      <c r="C104" s="320" t="str">
        <f>+C90</f>
        <v>31 Dhjetor 2018</v>
      </c>
      <c r="D104" s="320" t="str">
        <f t="shared" ref="D104:I104" si="26">+D90</f>
        <v>31 Dhjetor 2017</v>
      </c>
      <c r="E104" s="320" t="str">
        <f t="shared" si="26"/>
        <v>31 Dhjetor 2016</v>
      </c>
      <c r="F104" s="320" t="str">
        <f t="shared" si="26"/>
        <v>31 Dhjetor 2015</v>
      </c>
      <c r="G104" s="320" t="str">
        <f t="shared" si="26"/>
        <v>31 Dhjetor 2014</v>
      </c>
      <c r="H104" s="320" t="str">
        <f t="shared" si="26"/>
        <v>31 Dhjetor 2013</v>
      </c>
      <c r="I104" s="320" t="str">
        <f t="shared" si="26"/>
        <v>31 Dhjetor 2012</v>
      </c>
      <c r="J104" s="320" t="s">
        <v>597</v>
      </c>
      <c r="K104" s="320" t="s">
        <v>547</v>
      </c>
      <c r="L104" s="320" t="s">
        <v>523</v>
      </c>
      <c r="M104" s="320" t="s">
        <v>107</v>
      </c>
      <c r="Q104"/>
      <c r="R104"/>
      <c r="S104" s="452"/>
      <c r="T104"/>
    </row>
    <row r="105" spans="2:20" x14ac:dyDescent="0.25">
      <c r="B105" s="326" t="s">
        <v>501</v>
      </c>
      <c r="C105" s="321">
        <f>+'A-Sh BA'!D82</f>
        <v>194858</v>
      </c>
      <c r="D105" s="321">
        <f>+'A-Sh BA'!E82</f>
        <v>583209</v>
      </c>
      <c r="E105" s="321">
        <f>+'A-Sh BA'!F82</f>
        <v>695790</v>
      </c>
      <c r="F105" s="321">
        <f>+'A-Sh BA'!G82</f>
        <v>866550</v>
      </c>
      <c r="G105" s="321">
        <f>+'A-Sh BA'!H82</f>
        <v>1083187</v>
      </c>
      <c r="H105" s="321">
        <f>+'A-Sh BA'!I82</f>
        <v>1351456</v>
      </c>
      <c r="I105" s="321">
        <f>+'A-Sh BA'!J82</f>
        <v>200430</v>
      </c>
      <c r="J105" s="321">
        <f>+'A-Sh BA'!K82</f>
        <v>190945</v>
      </c>
      <c r="K105" s="321">
        <f>+'A-Sh BA'!L82</f>
        <v>238681</v>
      </c>
      <c r="L105" s="321">
        <f>+'A-Sh BA'!M82</f>
        <v>0</v>
      </c>
      <c r="M105" s="321">
        <f>+'A-Sh BA'!N82</f>
        <v>0</v>
      </c>
      <c r="Q105"/>
      <c r="R105"/>
      <c r="S105" s="452"/>
      <c r="T105"/>
    </row>
    <row r="106" spans="2:20" x14ac:dyDescent="0.25">
      <c r="B106" s="323" t="s">
        <v>2</v>
      </c>
      <c r="C106" s="325">
        <f>SUM(C105:C105)</f>
        <v>194858</v>
      </c>
      <c r="D106" s="325">
        <f>SUM(D105:D105)</f>
        <v>583209</v>
      </c>
      <c r="E106" s="325">
        <f>SUM(E105:E105)</f>
        <v>695790</v>
      </c>
      <c r="F106" s="325">
        <f>SUM(F105:F105)</f>
        <v>866550</v>
      </c>
      <c r="G106" s="325">
        <f>SUM(G105:G105)</f>
        <v>1083187</v>
      </c>
      <c r="H106" s="325">
        <f t="shared" ref="H106:M106" si="27">SUM(H105:H105)</f>
        <v>1351456</v>
      </c>
      <c r="I106" s="325">
        <f t="shared" si="27"/>
        <v>200430</v>
      </c>
      <c r="J106" s="325">
        <f t="shared" si="27"/>
        <v>190945</v>
      </c>
      <c r="K106" s="325">
        <f t="shared" si="27"/>
        <v>238681</v>
      </c>
      <c r="L106" s="325">
        <f t="shared" si="27"/>
        <v>0</v>
      </c>
      <c r="M106" s="325">
        <f t="shared" si="27"/>
        <v>0</v>
      </c>
      <c r="Q106"/>
      <c r="R106"/>
      <c r="S106"/>
      <c r="T106" s="453"/>
    </row>
    <row r="107" spans="2:20" x14ac:dyDescent="0.25">
      <c r="B107" s="319"/>
      <c r="C107" s="339">
        <f>-C105</f>
        <v>-194858</v>
      </c>
      <c r="D107" s="339">
        <f>-D105</f>
        <v>-583209</v>
      </c>
      <c r="E107" s="339">
        <f>-E105</f>
        <v>-695790</v>
      </c>
      <c r="F107" s="339">
        <f>-F105</f>
        <v>-866550</v>
      </c>
      <c r="G107" s="339">
        <f>-G105</f>
        <v>-1083187</v>
      </c>
      <c r="H107" s="339">
        <f t="shared" ref="H107:M107" si="28">-H105</f>
        <v>-1351456</v>
      </c>
      <c r="I107" s="339">
        <f t="shared" si="28"/>
        <v>-200430</v>
      </c>
      <c r="J107" s="339">
        <f t="shared" si="28"/>
        <v>-190945</v>
      </c>
      <c r="K107" s="339">
        <f t="shared" si="28"/>
        <v>-238681</v>
      </c>
      <c r="L107" s="339">
        <f t="shared" si="28"/>
        <v>0</v>
      </c>
      <c r="M107" s="339">
        <f t="shared" si="28"/>
        <v>0</v>
      </c>
    </row>
    <row r="108" spans="2:20" x14ac:dyDescent="0.25">
      <c r="B108" s="319"/>
      <c r="C108" s="319"/>
      <c r="D108" s="319"/>
      <c r="E108" s="319"/>
      <c r="F108" s="319"/>
      <c r="G108" s="319"/>
      <c r="H108" s="319"/>
      <c r="I108" s="319"/>
      <c r="J108" s="319"/>
      <c r="K108" s="319"/>
      <c r="L108" s="319"/>
      <c r="M108" s="319"/>
    </row>
    <row r="109" spans="2:20" x14ac:dyDescent="0.25">
      <c r="B109" s="319" t="s">
        <v>459</v>
      </c>
      <c r="C109" s="320" t="str">
        <f>+C104</f>
        <v>31 Dhjetor 2018</v>
      </c>
      <c r="D109" s="320" t="str">
        <f t="shared" ref="D109:I109" si="29">+D104</f>
        <v>31 Dhjetor 2017</v>
      </c>
      <c r="E109" s="320" t="str">
        <f t="shared" si="29"/>
        <v>31 Dhjetor 2016</v>
      </c>
      <c r="F109" s="320" t="str">
        <f t="shared" si="29"/>
        <v>31 Dhjetor 2015</v>
      </c>
      <c r="G109" s="320" t="str">
        <f t="shared" si="29"/>
        <v>31 Dhjetor 2014</v>
      </c>
      <c r="H109" s="320" t="str">
        <f t="shared" si="29"/>
        <v>31 Dhjetor 2013</v>
      </c>
      <c r="I109" s="320" t="str">
        <f t="shared" si="29"/>
        <v>31 Dhjetor 2012</v>
      </c>
      <c r="J109" s="320" t="s">
        <v>597</v>
      </c>
      <c r="K109" s="320" t="s">
        <v>547</v>
      </c>
      <c r="L109" s="320" t="s">
        <v>523</v>
      </c>
      <c r="M109" s="320" t="s">
        <v>107</v>
      </c>
    </row>
    <row r="110" spans="2:20" hidden="1" x14ac:dyDescent="0.25">
      <c r="B110" s="319" t="s">
        <v>111</v>
      </c>
      <c r="C110" s="319">
        <f>+'A-Sh BA'!D39</f>
        <v>0</v>
      </c>
      <c r="D110" s="319">
        <f>+'A-Sh BA'!E39</f>
        <v>0</v>
      </c>
      <c r="E110" s="319">
        <f>+'A-Sh BA'!F39</f>
        <v>0</v>
      </c>
      <c r="F110" s="319">
        <f>+'A-Sh BA'!G39</f>
        <v>0</v>
      </c>
      <c r="G110" s="319">
        <f>+'A-Sh BA'!H39</f>
        <v>0</v>
      </c>
      <c r="H110" s="319">
        <f>+'A-Sh BA'!I39</f>
        <v>0</v>
      </c>
      <c r="I110" s="319">
        <f>+'A-Sh BA'!J39</f>
        <v>0</v>
      </c>
      <c r="J110" s="319">
        <f>+'A-Sh BA'!K39</f>
        <v>0</v>
      </c>
      <c r="K110" s="319">
        <f>+'A-Sh BA'!L39</f>
        <v>0</v>
      </c>
      <c r="L110" s="319">
        <f>+'A-Sh BA'!M39</f>
        <v>0</v>
      </c>
      <c r="M110" s="319">
        <f>+'A-Sh BA'!N39</f>
        <v>3928784</v>
      </c>
    </row>
    <row r="111" spans="2:20" hidden="1" x14ac:dyDescent="0.25">
      <c r="B111" s="319" t="s">
        <v>121</v>
      </c>
      <c r="C111" s="319">
        <f>+'A-Sh BA'!D37</f>
        <v>0</v>
      </c>
      <c r="D111" s="319">
        <f>+'A-Sh BA'!E37</f>
        <v>0</v>
      </c>
      <c r="E111" s="319">
        <f>+'A-Sh BA'!F37</f>
        <v>0</v>
      </c>
      <c r="F111" s="319">
        <f>+'A-Sh BA'!G37</f>
        <v>0</v>
      </c>
      <c r="G111" s="319">
        <f>+'A-Sh BA'!H37</f>
        <v>0</v>
      </c>
      <c r="H111" s="319">
        <f>+'A-Sh BA'!I37</f>
        <v>0</v>
      </c>
      <c r="I111" s="319">
        <f>+'A-Sh BA'!J37</f>
        <v>0</v>
      </c>
      <c r="J111" s="319">
        <f>+'A-Sh BA'!K37</f>
        <v>0</v>
      </c>
      <c r="K111" s="319">
        <f>+'A-Sh BA'!L37</f>
        <v>0</v>
      </c>
      <c r="L111" s="319">
        <f>+'A-Sh BA'!M37</f>
        <v>0</v>
      </c>
      <c r="M111" s="319">
        <f>+'A-Sh BA'!N37</f>
        <v>22</v>
      </c>
    </row>
    <row r="112" spans="2:20" hidden="1" x14ac:dyDescent="0.25">
      <c r="B112" s="319" t="s">
        <v>112</v>
      </c>
      <c r="C112" s="319">
        <v>0</v>
      </c>
      <c r="D112" s="319">
        <v>0</v>
      </c>
      <c r="E112" s="319">
        <v>0</v>
      </c>
      <c r="F112" s="319">
        <v>0</v>
      </c>
      <c r="G112" s="319">
        <v>0</v>
      </c>
      <c r="H112" s="319">
        <v>0</v>
      </c>
      <c r="I112" s="319">
        <v>0</v>
      </c>
      <c r="J112" s="319">
        <v>0</v>
      </c>
      <c r="K112" s="319">
        <v>0</v>
      </c>
      <c r="L112" s="319">
        <v>0</v>
      </c>
      <c r="M112" s="319">
        <v>0</v>
      </c>
    </row>
    <row r="113" spans="2:13" x14ac:dyDescent="0.25">
      <c r="B113" s="319" t="s">
        <v>657</v>
      </c>
      <c r="C113" s="319">
        <f>'A-Sh BA'!D90</f>
        <v>986581</v>
      </c>
      <c r="D113" s="319">
        <f>'A-Sh BA'!E90</f>
        <v>585787</v>
      </c>
      <c r="E113" s="319">
        <f>'A-Sh BA'!F90</f>
        <v>941998</v>
      </c>
      <c r="F113" s="319">
        <f>'A-Sh BA'!G90</f>
        <v>1057901</v>
      </c>
      <c r="G113" s="319">
        <f>'A-Sh BA'!H90</f>
        <v>1341647</v>
      </c>
      <c r="H113" s="319">
        <f>'A-Sh BA'!I90</f>
        <v>1262992</v>
      </c>
      <c r="I113" s="319">
        <f>'A-Sh BA'!J90</f>
        <v>75546</v>
      </c>
      <c r="J113" s="319">
        <f>-'A-Sh BA'!K90</f>
        <v>0</v>
      </c>
      <c r="K113" s="319">
        <f>-'A-Sh BA'!L90</f>
        <v>-3800</v>
      </c>
      <c r="L113" s="319">
        <f>-'A-Sh BA'!M90</f>
        <v>0</v>
      </c>
      <c r="M113" s="319">
        <f>-'A-Sh BA'!N90</f>
        <v>-69142</v>
      </c>
    </row>
    <row r="114" spans="2:13" x14ac:dyDescent="0.25">
      <c r="B114" s="323" t="s">
        <v>2</v>
      </c>
      <c r="C114" s="325">
        <f>SUM(C110:C113)</f>
        <v>986581</v>
      </c>
      <c r="D114" s="325">
        <f>SUM(D110:D113)</f>
        <v>585787</v>
      </c>
      <c r="E114" s="325">
        <f>SUM(E110:E113)</f>
        <v>941998</v>
      </c>
      <c r="F114" s="325">
        <f>SUM(F110:F113)</f>
        <v>1057901</v>
      </c>
      <c r="G114" s="325">
        <f>SUM(G110:G113)</f>
        <v>1341647</v>
      </c>
      <c r="H114" s="325">
        <f t="shared" ref="H114:M114" si="30">SUM(H110:H113)</f>
        <v>1262992</v>
      </c>
      <c r="I114" s="325">
        <f t="shared" si="30"/>
        <v>75546</v>
      </c>
      <c r="J114" s="325">
        <f t="shared" si="30"/>
        <v>0</v>
      </c>
      <c r="K114" s="325">
        <f t="shared" si="30"/>
        <v>-3800</v>
      </c>
      <c r="L114" s="325">
        <f t="shared" si="30"/>
        <v>0</v>
      </c>
      <c r="M114" s="325">
        <f t="shared" si="30"/>
        <v>3859664</v>
      </c>
    </row>
    <row r="115" spans="2:13" x14ac:dyDescent="0.25">
      <c r="B115" s="319"/>
      <c r="C115" s="339">
        <f>-'ardh-shpenz'!E21</f>
        <v>986581.00000000023</v>
      </c>
      <c r="D115" s="339">
        <f>-'ardh-shpenz'!F21</f>
        <v>585787.00000000023</v>
      </c>
      <c r="E115" s="339">
        <f>-'ardh-shpenz'!G21</f>
        <v>941998.00000000023</v>
      </c>
      <c r="F115" s="339">
        <f>-'ardh-shpenz'!H21</f>
        <v>1057901.0000000002</v>
      </c>
      <c r="G115" s="339">
        <f>-'ardh-shpenz'!I21</f>
        <v>1341647.0000000002</v>
      </c>
      <c r="H115" s="339">
        <f>-'ardh-shpenz'!J21</f>
        <v>1262992.0000000002</v>
      </c>
      <c r="I115" s="339">
        <f>-'ardh-shpenz'!K21</f>
        <v>75546.000000000175</v>
      </c>
      <c r="J115" s="339">
        <f>-'ardh-shpenz'!L21</f>
        <v>1.7462298274040222E-10</v>
      </c>
      <c r="K115" s="339">
        <f>-'ardh-shpenz'!M21</f>
        <v>3800.0000000001746</v>
      </c>
      <c r="L115" s="339">
        <f>-'ardh-shpenz'!N21</f>
        <v>0</v>
      </c>
      <c r="M115" s="339">
        <f>-'ardh-shpenz'!O21</f>
        <v>-3586136</v>
      </c>
    </row>
    <row r="116" spans="2:13" ht="15.75" thickBot="1" x14ac:dyDescent="0.3">
      <c r="B116" s="508"/>
      <c r="C116" s="509"/>
      <c r="D116" s="509"/>
      <c r="E116" s="343"/>
      <c r="F116" s="343"/>
      <c r="G116" s="343"/>
      <c r="H116" s="343"/>
      <c r="I116" s="343"/>
      <c r="J116" s="343"/>
      <c r="K116" s="343"/>
      <c r="L116" s="343"/>
      <c r="M116" s="343"/>
    </row>
    <row r="117" spans="2:13" ht="15.75" thickBot="1" x14ac:dyDescent="0.3">
      <c r="B117" s="511" t="s">
        <v>459</v>
      </c>
      <c r="C117" s="512" t="s">
        <v>696</v>
      </c>
      <c r="D117" s="513" t="s">
        <v>684</v>
      </c>
      <c r="E117" s="503" t="s">
        <v>675</v>
      </c>
      <c r="F117" s="320" t="s">
        <v>670</v>
      </c>
      <c r="G117" s="320" t="s">
        <v>663</v>
      </c>
      <c r="H117" s="320" t="s">
        <v>648</v>
      </c>
      <c r="I117" s="320" t="s">
        <v>635</v>
      </c>
      <c r="J117" s="320" t="s">
        <v>598</v>
      </c>
      <c r="K117" s="320" t="s">
        <v>536</v>
      </c>
      <c r="L117" s="320" t="s">
        <v>521</v>
      </c>
      <c r="M117" s="320" t="s">
        <v>88</v>
      </c>
    </row>
    <row r="118" spans="2:13" x14ac:dyDescent="0.25">
      <c r="B118" s="510" t="s">
        <v>498</v>
      </c>
      <c r="C118" s="514">
        <f>+C65</f>
        <v>519157790</v>
      </c>
      <c r="D118" s="514">
        <f>+D65</f>
        <v>538360282</v>
      </c>
      <c r="E118" s="503"/>
      <c r="F118" s="320"/>
      <c r="G118" s="320"/>
      <c r="H118" s="320"/>
      <c r="I118" s="320"/>
      <c r="J118" s="320"/>
      <c r="K118" s="320"/>
      <c r="L118" s="320"/>
      <c r="M118" s="320"/>
    </row>
    <row r="119" spans="2:13" x14ac:dyDescent="0.25">
      <c r="B119" s="507" t="s">
        <v>706</v>
      </c>
      <c r="C119" s="515">
        <f>+'A-Sh BA'!D96</f>
        <v>514955328</v>
      </c>
      <c r="D119" s="515">
        <f>+'A-Sh BA'!E96</f>
        <v>536990409</v>
      </c>
      <c r="E119" s="503"/>
      <c r="F119" s="320"/>
      <c r="G119" s="320"/>
      <c r="H119" s="320"/>
      <c r="I119" s="320"/>
      <c r="J119" s="320"/>
      <c r="K119" s="320"/>
      <c r="L119" s="320"/>
      <c r="M119" s="320"/>
    </row>
    <row r="120" spans="2:13" x14ac:dyDescent="0.25">
      <c r="B120" s="319" t="s">
        <v>113</v>
      </c>
      <c r="C120" s="516">
        <f>+'ardh-shpenz'!E23</f>
        <v>4202462</v>
      </c>
      <c r="D120" s="516">
        <f>+'ardh-shpenz'!F23</f>
        <v>1369872.9999999998</v>
      </c>
      <c r="E120" s="504">
        <f>+'ardh-shpenz'!G23</f>
        <v>3552756.37</v>
      </c>
      <c r="F120" s="319">
        <f>+'ardh-shpenz'!H23</f>
        <v>1973028.9999999998</v>
      </c>
      <c r="G120" s="319">
        <f>+'ardh-shpenz'!I23</f>
        <v>1642874.9999999998</v>
      </c>
      <c r="H120" s="319">
        <f>+'ardh-shpenz'!J23</f>
        <v>1338853.9999999998</v>
      </c>
      <c r="I120" s="319">
        <f>+'ardh-shpenz'!K23</f>
        <v>2005778.9999999998</v>
      </c>
      <c r="J120" s="319">
        <f>+'ardh-shpenz'!L23</f>
        <v>595647.99999999977</v>
      </c>
      <c r="K120" s="319">
        <f>+'ardh-shpenz'!M23</f>
        <v>947506.99999999977</v>
      </c>
      <c r="L120" s="319">
        <f>+'ardh-shpenz'!N23</f>
        <v>1994761</v>
      </c>
      <c r="M120" s="319">
        <f>+'ardh-shpenz'!O23</f>
        <v>-7053484</v>
      </c>
    </row>
    <row r="121" spans="2:13" x14ac:dyDescent="0.25">
      <c r="B121" s="319" t="s">
        <v>114</v>
      </c>
      <c r="C121" s="516">
        <f t="shared" ref="C121:K121" si="31">+C99</f>
        <v>465292</v>
      </c>
      <c r="D121" s="516">
        <f t="shared" si="31"/>
        <v>1904912</v>
      </c>
      <c r="E121" s="504">
        <f t="shared" si="31"/>
        <v>58367</v>
      </c>
      <c r="F121" s="319">
        <f t="shared" si="31"/>
        <v>97443</v>
      </c>
      <c r="G121" s="319">
        <f t="shared" si="31"/>
        <v>11626</v>
      </c>
      <c r="H121" s="319">
        <f t="shared" si="31"/>
        <v>2590</v>
      </c>
      <c r="I121" s="319">
        <f t="shared" si="31"/>
        <v>497386</v>
      </c>
      <c r="J121" s="319" t="e">
        <f t="shared" si="31"/>
        <v>#REF!</v>
      </c>
      <c r="K121" s="319">
        <f t="shared" si="31"/>
        <v>118145</v>
      </c>
      <c r="L121" s="319"/>
      <c r="M121" s="319">
        <v>0</v>
      </c>
    </row>
    <row r="122" spans="2:13" x14ac:dyDescent="0.25">
      <c r="B122" s="319" t="s">
        <v>115</v>
      </c>
      <c r="C122" s="516">
        <f t="shared" ref="C122:M122" si="32">SUM(C120:C121)</f>
        <v>4667754</v>
      </c>
      <c r="D122" s="516">
        <f t="shared" si="32"/>
        <v>3274785</v>
      </c>
      <c r="E122" s="504">
        <f t="shared" si="32"/>
        <v>3611123.37</v>
      </c>
      <c r="F122" s="319">
        <f t="shared" si="32"/>
        <v>2070471.9999999998</v>
      </c>
      <c r="G122" s="319">
        <f t="shared" si="32"/>
        <v>1654500.9999999998</v>
      </c>
      <c r="H122" s="319">
        <f t="shared" si="32"/>
        <v>1341443.9999999998</v>
      </c>
      <c r="I122" s="319">
        <f t="shared" si="32"/>
        <v>2503165</v>
      </c>
      <c r="J122" s="319" t="e">
        <f t="shared" si="32"/>
        <v>#REF!</v>
      </c>
      <c r="K122" s="319">
        <f t="shared" si="32"/>
        <v>1065651.9999999998</v>
      </c>
      <c r="L122" s="319">
        <f t="shared" si="32"/>
        <v>1994761</v>
      </c>
      <c r="M122" s="319">
        <f t="shared" si="32"/>
        <v>-7053484</v>
      </c>
    </row>
    <row r="123" spans="2:13" x14ac:dyDescent="0.25">
      <c r="B123" s="319" t="s">
        <v>116</v>
      </c>
      <c r="C123" s="517">
        <v>15</v>
      </c>
      <c r="D123" s="517">
        <v>15</v>
      </c>
      <c r="E123" s="505">
        <v>15</v>
      </c>
      <c r="F123" s="344">
        <v>15</v>
      </c>
      <c r="G123" s="344">
        <v>15</v>
      </c>
      <c r="H123" s="344">
        <v>10</v>
      </c>
      <c r="I123" s="344">
        <v>10</v>
      </c>
      <c r="J123" s="344">
        <v>10</v>
      </c>
      <c r="K123" s="344">
        <v>10</v>
      </c>
      <c r="L123" s="344">
        <v>10</v>
      </c>
      <c r="M123" s="344">
        <v>10</v>
      </c>
    </row>
    <row r="124" spans="2:13" x14ac:dyDescent="0.25">
      <c r="B124" s="325" t="s">
        <v>104</v>
      </c>
      <c r="C124" s="518">
        <f>+C122*0.15</f>
        <v>700163.1</v>
      </c>
      <c r="D124" s="518">
        <f>+D122*0.15</f>
        <v>491217.75</v>
      </c>
      <c r="E124" s="506">
        <f>+E122*0.15</f>
        <v>541668.50549999997</v>
      </c>
      <c r="F124" s="345">
        <f>+F122*0.15</f>
        <v>310570.79999999993</v>
      </c>
      <c r="G124" s="345">
        <f>+G122*0.15</f>
        <v>248175.14999999997</v>
      </c>
      <c r="H124" s="345">
        <f>+H122*0.1+0.5</f>
        <v>134144.9</v>
      </c>
      <c r="I124" s="345">
        <f>+I122*0.1+0.5</f>
        <v>250317</v>
      </c>
      <c r="J124" s="345" t="e">
        <f>+J122*0.1</f>
        <v>#REF!</v>
      </c>
      <c r="K124" s="345">
        <f>+K122*0.1</f>
        <v>106565.19999999998</v>
      </c>
      <c r="L124" s="345">
        <f>+L122*0.1</f>
        <v>199476.1</v>
      </c>
      <c r="M124" s="345"/>
    </row>
    <row r="125" spans="2:13" x14ac:dyDescent="0.25">
      <c r="B125" s="325" t="s">
        <v>117</v>
      </c>
      <c r="C125" s="518">
        <f t="shared" ref="C125:M125" si="33">+C120-C124</f>
        <v>3502298.9</v>
      </c>
      <c r="D125" s="518">
        <f t="shared" si="33"/>
        <v>878655.24999999977</v>
      </c>
      <c r="E125" s="506">
        <f t="shared" si="33"/>
        <v>3011087.8645000001</v>
      </c>
      <c r="F125" s="345">
        <f t="shared" si="33"/>
        <v>1662458.1999999997</v>
      </c>
      <c r="G125" s="345">
        <f t="shared" si="33"/>
        <v>1394699.8499999999</v>
      </c>
      <c r="H125" s="345">
        <f t="shared" si="33"/>
        <v>1204709.0999999999</v>
      </c>
      <c r="I125" s="345">
        <f t="shared" si="33"/>
        <v>1755461.9999999998</v>
      </c>
      <c r="J125" s="345" t="e">
        <f t="shared" si="33"/>
        <v>#REF!</v>
      </c>
      <c r="K125" s="345">
        <f t="shared" si="33"/>
        <v>840941.79999999981</v>
      </c>
      <c r="L125" s="345">
        <f t="shared" si="33"/>
        <v>1795284.9</v>
      </c>
      <c r="M125" s="345">
        <f t="shared" si="33"/>
        <v>-7053484</v>
      </c>
    </row>
  </sheetData>
  <phoneticPr fontId="3" type="noConversion"/>
  <pageMargins left="0.23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7"/>
  <sheetViews>
    <sheetView topLeftCell="A137" workbookViewId="0">
      <selection activeCell="O140" sqref="O140:O150"/>
    </sheetView>
  </sheetViews>
  <sheetFormatPr defaultRowHeight="15" x14ac:dyDescent="0.2"/>
  <cols>
    <col min="1" max="1" width="12.42578125" style="380" customWidth="1"/>
    <col min="2" max="2" width="8" style="380" customWidth="1"/>
    <col min="3" max="3" width="20.42578125" style="380" customWidth="1"/>
    <col min="4" max="4" width="14.85546875" style="380" customWidth="1"/>
    <col min="5" max="5" width="12.85546875" style="380" customWidth="1"/>
    <col min="6" max="6" width="14.85546875" style="380" hidden="1" customWidth="1"/>
    <col min="7" max="7" width="13.7109375" style="380" hidden="1" customWidth="1"/>
    <col min="8" max="8" width="3.140625" style="380" customWidth="1"/>
    <col min="9" max="9" width="17" style="380" customWidth="1"/>
    <col min="10" max="10" width="14.140625" style="380" customWidth="1"/>
    <col min="11" max="11" width="13.140625" style="380" customWidth="1"/>
    <col min="12" max="12" width="15.5703125" style="380" customWidth="1"/>
    <col min="13" max="13" width="15.140625" style="380" customWidth="1"/>
    <col min="14" max="14" width="3.85546875" style="380" customWidth="1"/>
    <col min="15" max="15" width="17.5703125" style="380" customWidth="1"/>
    <col min="16" max="16384" width="9.140625" style="380"/>
  </cols>
  <sheetData>
    <row r="1" spans="1:16" ht="15.75" hidden="1" x14ac:dyDescent="0.25">
      <c r="A1" s="379" t="s">
        <v>653</v>
      </c>
      <c r="B1" s="379"/>
    </row>
    <row r="2" spans="1:16" ht="16.5" hidden="1" thickBot="1" x14ac:dyDescent="0.3">
      <c r="A2" s="379" t="s">
        <v>609</v>
      </c>
      <c r="B2" s="379"/>
      <c r="J2" s="380" t="s">
        <v>610</v>
      </c>
      <c r="L2" s="380" t="s">
        <v>611</v>
      </c>
    </row>
    <row r="3" spans="1:16" ht="16.5" hidden="1" thickBot="1" x14ac:dyDescent="0.3">
      <c r="A3" s="381"/>
      <c r="B3" s="412"/>
      <c r="C3" s="382" t="s">
        <v>631</v>
      </c>
      <c r="D3" s="383" t="s">
        <v>612</v>
      </c>
      <c r="E3" s="383" t="s">
        <v>613</v>
      </c>
      <c r="F3" s="383" t="s">
        <v>612</v>
      </c>
      <c r="G3" s="383" t="s">
        <v>613</v>
      </c>
      <c r="H3" s="384"/>
      <c r="I3" s="412" t="s">
        <v>614</v>
      </c>
      <c r="J3" s="383" t="s">
        <v>615</v>
      </c>
      <c r="K3" s="383" t="s">
        <v>613</v>
      </c>
      <c r="L3" s="383" t="s">
        <v>615</v>
      </c>
      <c r="M3" s="383" t="s">
        <v>613</v>
      </c>
      <c r="N3" s="385"/>
      <c r="O3" s="386" t="s">
        <v>616</v>
      </c>
    </row>
    <row r="4" spans="1:16" hidden="1" x14ac:dyDescent="0.2">
      <c r="A4" s="418" t="s">
        <v>617</v>
      </c>
      <c r="B4" s="418"/>
      <c r="C4" s="419">
        <v>16242291</v>
      </c>
      <c r="D4" s="387">
        <v>0</v>
      </c>
      <c r="E4" s="389">
        <f>+D4*0.2</f>
        <v>0</v>
      </c>
      <c r="F4" s="387">
        <v>0</v>
      </c>
      <c r="G4" s="389">
        <f>+F4*0.2</f>
        <v>0</v>
      </c>
      <c r="H4" s="409"/>
      <c r="I4" s="415">
        <v>15487971</v>
      </c>
      <c r="J4" s="411"/>
      <c r="K4" s="392"/>
      <c r="L4" s="391">
        <v>62030</v>
      </c>
      <c r="M4" s="392">
        <f t="shared" ref="M4:M15" si="0">+L4*0.2</f>
        <v>12406</v>
      </c>
      <c r="N4" s="393"/>
      <c r="O4" s="396">
        <f>-G4+M4+K4</f>
        <v>12406</v>
      </c>
    </row>
    <row r="5" spans="1:16" hidden="1" x14ac:dyDescent="0.2">
      <c r="A5" s="416" t="s">
        <v>618</v>
      </c>
      <c r="B5" s="416"/>
      <c r="C5" s="420">
        <v>8772504</v>
      </c>
      <c r="D5" s="387">
        <v>0</v>
      </c>
      <c r="E5" s="389">
        <f>+D5*0.2</f>
        <v>0</v>
      </c>
      <c r="F5" s="387">
        <v>0</v>
      </c>
      <c r="G5" s="389">
        <f>+F5*0.2</f>
        <v>0</v>
      </c>
      <c r="H5" s="409"/>
      <c r="I5" s="414">
        <v>8446526</v>
      </c>
      <c r="J5" s="387"/>
      <c r="K5" s="395"/>
      <c r="L5" s="394">
        <v>62710</v>
      </c>
      <c r="M5" s="395">
        <f t="shared" si="0"/>
        <v>12542</v>
      </c>
      <c r="N5" s="393"/>
      <c r="O5" s="396">
        <f t="shared" ref="O5:O15" si="1">-G5+M5+K5</f>
        <v>12542</v>
      </c>
      <c r="P5" s="397"/>
    </row>
    <row r="6" spans="1:16" hidden="1" x14ac:dyDescent="0.2">
      <c r="A6" s="416" t="s">
        <v>619</v>
      </c>
      <c r="B6" s="416"/>
      <c r="C6" s="420">
        <v>9430919</v>
      </c>
      <c r="D6" s="387">
        <v>0</v>
      </c>
      <c r="E6" s="388">
        <f t="shared" ref="E6:E15" si="2">+D6*0.2</f>
        <v>0</v>
      </c>
      <c r="F6" s="387">
        <v>0</v>
      </c>
      <c r="G6" s="388">
        <f t="shared" ref="G6:G15" si="3">+F6*0.2</f>
        <v>0</v>
      </c>
      <c r="H6" s="410"/>
      <c r="I6" s="414">
        <v>8815893</v>
      </c>
      <c r="J6" s="387"/>
      <c r="K6" s="399"/>
      <c r="L6" s="394">
        <v>63250</v>
      </c>
      <c r="M6" s="399">
        <f t="shared" si="0"/>
        <v>12650</v>
      </c>
      <c r="N6" s="400"/>
      <c r="O6" s="396">
        <f t="shared" si="1"/>
        <v>12650</v>
      </c>
      <c r="P6" s="397"/>
    </row>
    <row r="7" spans="1:16" hidden="1" x14ac:dyDescent="0.2">
      <c r="A7" s="416" t="s">
        <v>620</v>
      </c>
      <c r="B7" s="416"/>
      <c r="C7" s="421">
        <v>7783006</v>
      </c>
      <c r="D7" s="387">
        <v>0</v>
      </c>
      <c r="E7" s="388">
        <f t="shared" si="2"/>
        <v>0</v>
      </c>
      <c r="F7" s="387">
        <v>0</v>
      </c>
      <c r="G7" s="388">
        <f t="shared" si="3"/>
        <v>0</v>
      </c>
      <c r="H7" s="410"/>
      <c r="I7" s="414">
        <v>7106348</v>
      </c>
      <c r="J7" s="387"/>
      <c r="K7" s="399"/>
      <c r="L7" s="394">
        <v>94315</v>
      </c>
      <c r="M7" s="399">
        <f t="shared" si="0"/>
        <v>18863</v>
      </c>
      <c r="N7" s="400"/>
      <c r="O7" s="396">
        <f t="shared" si="1"/>
        <v>18863</v>
      </c>
      <c r="P7" s="397"/>
    </row>
    <row r="8" spans="1:16" hidden="1" x14ac:dyDescent="0.2">
      <c r="A8" s="416" t="s">
        <v>621</v>
      </c>
      <c r="B8" s="416"/>
      <c r="C8" s="420">
        <v>7495280</v>
      </c>
      <c r="D8" s="387">
        <v>0</v>
      </c>
      <c r="E8" s="388">
        <f t="shared" si="2"/>
        <v>0</v>
      </c>
      <c r="F8" s="387">
        <v>0</v>
      </c>
      <c r="G8" s="388">
        <f t="shared" si="3"/>
        <v>0</v>
      </c>
      <c r="H8" s="410"/>
      <c r="I8" s="414">
        <v>6862203</v>
      </c>
      <c r="J8" s="387"/>
      <c r="K8" s="399"/>
      <c r="L8" s="394">
        <v>64750</v>
      </c>
      <c r="M8" s="399">
        <f t="shared" si="0"/>
        <v>12950</v>
      </c>
      <c r="N8" s="400"/>
      <c r="O8" s="396">
        <f t="shared" si="1"/>
        <v>12950</v>
      </c>
      <c r="P8" s="397"/>
    </row>
    <row r="9" spans="1:16" hidden="1" x14ac:dyDescent="0.2">
      <c r="A9" s="416" t="s">
        <v>622</v>
      </c>
      <c r="B9" s="416"/>
      <c r="C9" s="420">
        <v>9849526</v>
      </c>
      <c r="D9" s="387">
        <v>0</v>
      </c>
      <c r="E9" s="388">
        <f t="shared" si="2"/>
        <v>0</v>
      </c>
      <c r="F9" s="387">
        <v>0</v>
      </c>
      <c r="G9" s="388">
        <f t="shared" si="3"/>
        <v>0</v>
      </c>
      <c r="H9" s="410"/>
      <c r="I9" s="414">
        <v>10245802</v>
      </c>
      <c r="J9" s="387"/>
      <c r="K9" s="399"/>
      <c r="L9" s="394">
        <v>65280</v>
      </c>
      <c r="M9" s="399">
        <f t="shared" si="0"/>
        <v>13056</v>
      </c>
      <c r="N9" s="400"/>
      <c r="O9" s="396">
        <f t="shared" si="1"/>
        <v>13056</v>
      </c>
      <c r="P9" s="397"/>
    </row>
    <row r="10" spans="1:16" hidden="1" x14ac:dyDescent="0.2">
      <c r="A10" s="416" t="s">
        <v>623</v>
      </c>
      <c r="B10" s="416"/>
      <c r="C10" s="420">
        <v>19290623</v>
      </c>
      <c r="D10" s="387">
        <v>0</v>
      </c>
      <c r="E10" s="388">
        <f t="shared" si="2"/>
        <v>0</v>
      </c>
      <c r="F10" s="387">
        <v>0</v>
      </c>
      <c r="G10" s="388">
        <f t="shared" si="3"/>
        <v>0</v>
      </c>
      <c r="H10" s="410"/>
      <c r="I10" s="414">
        <v>18015291</v>
      </c>
      <c r="J10" s="387"/>
      <c r="K10" s="399"/>
      <c r="L10" s="394">
        <v>65375</v>
      </c>
      <c r="M10" s="399">
        <f t="shared" si="0"/>
        <v>13075</v>
      </c>
      <c r="N10" s="400"/>
      <c r="O10" s="396">
        <f t="shared" si="1"/>
        <v>13075</v>
      </c>
      <c r="P10" s="397"/>
    </row>
    <row r="11" spans="1:16" hidden="1" x14ac:dyDescent="0.2">
      <c r="A11" s="416" t="s">
        <v>624</v>
      </c>
      <c r="B11" s="416"/>
      <c r="C11" s="420">
        <v>7919753</v>
      </c>
      <c r="D11" s="387">
        <v>0</v>
      </c>
      <c r="E11" s="388">
        <f t="shared" si="2"/>
        <v>0</v>
      </c>
      <c r="F11" s="387">
        <v>0</v>
      </c>
      <c r="G11" s="388">
        <f t="shared" si="3"/>
        <v>0</v>
      </c>
      <c r="H11" s="410"/>
      <c r="I11" s="414">
        <v>5965823</v>
      </c>
      <c r="J11" s="387"/>
      <c r="K11" s="399"/>
      <c r="L11" s="394">
        <v>65750</v>
      </c>
      <c r="M11" s="399">
        <f t="shared" si="0"/>
        <v>13150</v>
      </c>
      <c r="N11" s="400"/>
      <c r="O11" s="396">
        <f t="shared" si="1"/>
        <v>13150</v>
      </c>
      <c r="P11" s="397"/>
    </row>
    <row r="12" spans="1:16" hidden="1" x14ac:dyDescent="0.2">
      <c r="A12" s="416" t="s">
        <v>625</v>
      </c>
      <c r="B12" s="416"/>
      <c r="C12" s="420">
        <v>11977605</v>
      </c>
      <c r="D12" s="387">
        <v>0</v>
      </c>
      <c r="E12" s="388">
        <f t="shared" si="2"/>
        <v>0</v>
      </c>
      <c r="F12" s="387">
        <v>0</v>
      </c>
      <c r="G12" s="388">
        <f t="shared" si="3"/>
        <v>0</v>
      </c>
      <c r="H12" s="410"/>
      <c r="I12" s="414">
        <v>10305223</v>
      </c>
      <c r="J12" s="387"/>
      <c r="K12" s="399"/>
      <c r="L12" s="394">
        <v>66625</v>
      </c>
      <c r="M12" s="399">
        <f t="shared" si="0"/>
        <v>13325</v>
      </c>
      <c r="N12" s="400"/>
      <c r="O12" s="396">
        <f t="shared" si="1"/>
        <v>13325</v>
      </c>
      <c r="P12" s="397"/>
    </row>
    <row r="13" spans="1:16" hidden="1" x14ac:dyDescent="0.2">
      <c r="A13" s="416" t="s">
        <v>626</v>
      </c>
      <c r="B13" s="416"/>
      <c r="C13" s="420">
        <v>25654006</v>
      </c>
      <c r="D13" s="387">
        <v>0</v>
      </c>
      <c r="E13" s="388">
        <f t="shared" si="2"/>
        <v>0</v>
      </c>
      <c r="F13" s="387">
        <v>0</v>
      </c>
      <c r="G13" s="388">
        <f t="shared" si="3"/>
        <v>0</v>
      </c>
      <c r="H13" s="410"/>
      <c r="I13" s="414">
        <v>25779939</v>
      </c>
      <c r="J13" s="387"/>
      <c r="K13" s="399"/>
      <c r="L13" s="394">
        <v>66980</v>
      </c>
      <c r="M13" s="399">
        <f t="shared" si="0"/>
        <v>13396</v>
      </c>
      <c r="N13" s="400"/>
      <c r="O13" s="396">
        <f t="shared" si="1"/>
        <v>13396</v>
      </c>
      <c r="P13" s="397"/>
    </row>
    <row r="14" spans="1:16" hidden="1" x14ac:dyDescent="0.2">
      <c r="A14" s="416" t="s">
        <v>627</v>
      </c>
      <c r="B14" s="416"/>
      <c r="C14" s="420">
        <v>13766900</v>
      </c>
      <c r="D14" s="387">
        <v>0</v>
      </c>
      <c r="E14" s="388">
        <f t="shared" si="2"/>
        <v>0</v>
      </c>
      <c r="F14" s="387">
        <v>0</v>
      </c>
      <c r="G14" s="388">
        <f t="shared" si="3"/>
        <v>0</v>
      </c>
      <c r="H14" s="410"/>
      <c r="I14" s="414">
        <v>12045186</v>
      </c>
      <c r="J14" s="387"/>
      <c r="K14" s="399"/>
      <c r="L14" s="394">
        <v>67305</v>
      </c>
      <c r="M14" s="399">
        <f t="shared" si="0"/>
        <v>13461</v>
      </c>
      <c r="N14" s="400"/>
      <c r="O14" s="396">
        <f t="shared" si="1"/>
        <v>13461</v>
      </c>
      <c r="P14" s="397"/>
    </row>
    <row r="15" spans="1:16" ht="15.75" hidden="1" thickBot="1" x14ac:dyDescent="0.25">
      <c r="A15" s="417" t="s">
        <v>628</v>
      </c>
      <c r="B15" s="417"/>
      <c r="C15" s="422">
        <v>14913506</v>
      </c>
      <c r="D15" s="401">
        <v>0</v>
      </c>
      <c r="E15" s="402">
        <f t="shared" si="2"/>
        <v>0</v>
      </c>
      <c r="F15" s="401">
        <v>0</v>
      </c>
      <c r="G15" s="402">
        <f t="shared" si="3"/>
        <v>0</v>
      </c>
      <c r="H15" s="413"/>
      <c r="I15" s="388">
        <v>13537732</v>
      </c>
      <c r="J15" s="401"/>
      <c r="K15" s="404"/>
      <c r="L15" s="403">
        <v>0</v>
      </c>
      <c r="M15" s="404">
        <f t="shared" si="0"/>
        <v>0</v>
      </c>
      <c r="N15" s="405"/>
      <c r="O15" s="396">
        <f t="shared" si="1"/>
        <v>0</v>
      </c>
      <c r="P15" s="397"/>
    </row>
    <row r="16" spans="1:16" hidden="1" x14ac:dyDescent="0.2">
      <c r="A16" s="406"/>
      <c r="B16" s="406"/>
      <c r="C16" s="389"/>
      <c r="D16" s="389"/>
      <c r="E16" s="389"/>
      <c r="F16" s="389"/>
      <c r="G16" s="389"/>
      <c r="H16" s="390"/>
      <c r="I16" s="389"/>
      <c r="J16" s="389"/>
      <c r="K16" s="389"/>
      <c r="L16" s="389"/>
      <c r="M16" s="389"/>
      <c r="N16" s="390"/>
      <c r="O16" s="389"/>
      <c r="P16" s="397"/>
    </row>
    <row r="17" spans="1:16" hidden="1" x14ac:dyDescent="0.2">
      <c r="A17" s="407" t="s">
        <v>629</v>
      </c>
      <c r="B17" s="407"/>
      <c r="C17" s="408">
        <f>SUM(C4:C16)</f>
        <v>153095919</v>
      </c>
      <c r="D17" s="408">
        <f>SUM(D4:D16)</f>
        <v>0</v>
      </c>
      <c r="E17" s="408">
        <f>SUM(E4:E16)</f>
        <v>0</v>
      </c>
      <c r="F17" s="408">
        <f>SUM(F4:F16)</f>
        <v>0</v>
      </c>
      <c r="G17" s="408">
        <f>SUM(G4:G16)</f>
        <v>0</v>
      </c>
      <c r="H17" s="398"/>
      <c r="I17" s="408">
        <f>SUM(I4:I16)</f>
        <v>142613937</v>
      </c>
      <c r="J17" s="408">
        <f>SUM(J4:J16)</f>
        <v>0</v>
      </c>
      <c r="K17" s="408">
        <f>SUM(K4:K16)</f>
        <v>0</v>
      </c>
      <c r="L17" s="408">
        <f>SUM(L4:L16)</f>
        <v>744370</v>
      </c>
      <c r="M17" s="408">
        <f>SUM(M4:M16)</f>
        <v>148874</v>
      </c>
      <c r="N17" s="398"/>
      <c r="O17" s="398">
        <f>SUM(O4:O15)+259028</f>
        <v>407902</v>
      </c>
      <c r="P17" s="397"/>
    </row>
    <row r="18" spans="1:16" hidden="1" x14ac:dyDescent="0.2"/>
    <row r="19" spans="1:16" hidden="1" x14ac:dyDescent="0.2">
      <c r="A19" s="380" t="s">
        <v>630</v>
      </c>
      <c r="C19" s="397">
        <f>SUM(C17:F17)</f>
        <v>153095919</v>
      </c>
      <c r="I19" s="397">
        <f>+I17+J17+L17</f>
        <v>143358307</v>
      </c>
      <c r="J19" s="397"/>
      <c r="K19" s="397"/>
    </row>
    <row r="20" spans="1:16" hidden="1" x14ac:dyDescent="0.2"/>
    <row r="21" spans="1:16" hidden="1" x14ac:dyDescent="0.2"/>
    <row r="22" spans="1:16" hidden="1" x14ac:dyDescent="0.2"/>
    <row r="23" spans="1:16" hidden="1" x14ac:dyDescent="0.2"/>
    <row r="24" spans="1:16" ht="15.75" hidden="1" x14ac:dyDescent="0.25">
      <c r="A24" s="379" t="s">
        <v>658</v>
      </c>
      <c r="B24" s="379"/>
    </row>
    <row r="25" spans="1:16" ht="16.5" hidden="1" thickBot="1" x14ac:dyDescent="0.3">
      <c r="A25" s="379" t="s">
        <v>609</v>
      </c>
      <c r="B25" s="379"/>
      <c r="J25" s="380" t="s">
        <v>610</v>
      </c>
      <c r="L25" s="380" t="s">
        <v>611</v>
      </c>
    </row>
    <row r="26" spans="1:16" ht="16.5" hidden="1" thickBot="1" x14ac:dyDescent="0.3">
      <c r="A26" s="381"/>
      <c r="B26" s="412"/>
      <c r="C26" s="382" t="s">
        <v>631</v>
      </c>
      <c r="D26" s="383" t="s">
        <v>612</v>
      </c>
      <c r="E26" s="383" t="s">
        <v>613</v>
      </c>
      <c r="F26" s="383" t="s">
        <v>612</v>
      </c>
      <c r="G26" s="383" t="s">
        <v>613</v>
      </c>
      <c r="H26" s="384"/>
      <c r="I26" s="412" t="s">
        <v>614</v>
      </c>
      <c r="J26" s="383" t="s">
        <v>615</v>
      </c>
      <c r="K26" s="383" t="s">
        <v>613</v>
      </c>
      <c r="L26" s="383" t="s">
        <v>615</v>
      </c>
      <c r="M26" s="383" t="s">
        <v>613</v>
      </c>
      <c r="N26" s="385"/>
      <c r="O26" s="386" t="s">
        <v>616</v>
      </c>
    </row>
    <row r="27" spans="1:16" hidden="1" x14ac:dyDescent="0.2">
      <c r="A27" s="418" t="s">
        <v>617</v>
      </c>
      <c r="B27" s="418"/>
      <c r="C27" s="419">
        <v>1161300</v>
      </c>
      <c r="D27" s="387">
        <v>0</v>
      </c>
      <c r="E27" s="389">
        <f>+D27*0.2</f>
        <v>0</v>
      </c>
      <c r="F27" s="387">
        <v>0</v>
      </c>
      <c r="G27" s="389">
        <f>+F27*0.2</f>
        <v>0</v>
      </c>
      <c r="H27" s="409"/>
      <c r="I27" s="415">
        <v>43353</v>
      </c>
      <c r="J27" s="411"/>
      <c r="K27" s="392"/>
      <c r="L27" s="391">
        <v>68510</v>
      </c>
      <c r="M27" s="392">
        <f t="shared" ref="M27:M38" si="4">+L27*0.2</f>
        <v>13702</v>
      </c>
      <c r="N27" s="393"/>
      <c r="O27" s="396">
        <f>+F27-M27-407902</f>
        <v>-421604</v>
      </c>
    </row>
    <row r="28" spans="1:16" hidden="1" x14ac:dyDescent="0.2">
      <c r="A28" s="416" t="s">
        <v>618</v>
      </c>
      <c r="B28" s="416"/>
      <c r="C28" s="420">
        <v>549976</v>
      </c>
      <c r="D28" s="387">
        <v>0</v>
      </c>
      <c r="E28" s="389">
        <f>+D28*0.2</f>
        <v>0</v>
      </c>
      <c r="F28" s="387">
        <v>0</v>
      </c>
      <c r="G28" s="389">
        <f>+F28*0.2</f>
        <v>0</v>
      </c>
      <c r="H28" s="409"/>
      <c r="I28" s="414">
        <v>36742</v>
      </c>
      <c r="J28" s="387"/>
      <c r="K28" s="395"/>
      <c r="L28" s="394">
        <v>68920</v>
      </c>
      <c r="M28" s="395">
        <f t="shared" si="4"/>
        <v>13784</v>
      </c>
      <c r="N28" s="393"/>
      <c r="O28" s="396">
        <f>+G28-M28</f>
        <v>-13784</v>
      </c>
      <c r="P28" s="397"/>
    </row>
    <row r="29" spans="1:16" hidden="1" x14ac:dyDescent="0.2">
      <c r="A29" s="416" t="s">
        <v>619</v>
      </c>
      <c r="B29" s="416"/>
      <c r="C29" s="420">
        <v>948899</v>
      </c>
      <c r="D29" s="387">
        <v>0</v>
      </c>
      <c r="E29" s="388">
        <f t="shared" ref="E29:E38" si="5">+D29*0.2</f>
        <v>0</v>
      </c>
      <c r="F29" s="387">
        <v>0</v>
      </c>
      <c r="G29" s="388">
        <f t="shared" ref="G29:G38" si="6">+F29*0.2</f>
        <v>0</v>
      </c>
      <c r="H29" s="410"/>
      <c r="I29" s="414">
        <v>69742</v>
      </c>
      <c r="J29" s="387"/>
      <c r="K29" s="399"/>
      <c r="L29" s="394">
        <v>137105</v>
      </c>
      <c r="M29" s="399">
        <f t="shared" si="4"/>
        <v>27421</v>
      </c>
      <c r="N29" s="400"/>
      <c r="O29" s="396">
        <f t="shared" ref="O29:O38" si="7">+G29-M29</f>
        <v>-27421</v>
      </c>
      <c r="P29" s="397"/>
    </row>
    <row r="30" spans="1:16" hidden="1" x14ac:dyDescent="0.2">
      <c r="A30" s="416" t="s">
        <v>620</v>
      </c>
      <c r="B30" s="416"/>
      <c r="C30" s="421">
        <v>841257</v>
      </c>
      <c r="D30" s="387">
        <v>0</v>
      </c>
      <c r="E30" s="388">
        <f t="shared" si="5"/>
        <v>0</v>
      </c>
      <c r="F30" s="387">
        <v>0</v>
      </c>
      <c r="G30" s="388">
        <f t="shared" si="6"/>
        <v>0</v>
      </c>
      <c r="H30" s="410"/>
      <c r="I30" s="414">
        <v>70078</v>
      </c>
      <c r="J30" s="387"/>
      <c r="K30" s="399"/>
      <c r="L30" s="394">
        <v>69730</v>
      </c>
      <c r="M30" s="399">
        <f t="shared" si="4"/>
        <v>13946</v>
      </c>
      <c r="N30" s="400"/>
      <c r="O30" s="396">
        <f t="shared" si="7"/>
        <v>-13946</v>
      </c>
      <c r="P30" s="397"/>
    </row>
    <row r="31" spans="1:16" hidden="1" x14ac:dyDescent="0.2">
      <c r="A31" s="416" t="s">
        <v>621</v>
      </c>
      <c r="B31" s="416"/>
      <c r="C31" s="420">
        <v>1999998</v>
      </c>
      <c r="D31" s="387">
        <v>0</v>
      </c>
      <c r="E31" s="388">
        <f t="shared" si="5"/>
        <v>0</v>
      </c>
      <c r="F31" s="387">
        <v>0</v>
      </c>
      <c r="G31" s="388">
        <f t="shared" si="6"/>
        <v>0</v>
      </c>
      <c r="H31" s="410"/>
      <c r="I31" s="414">
        <v>34060</v>
      </c>
      <c r="J31" s="387"/>
      <c r="K31" s="399"/>
      <c r="L31" s="394">
        <v>70235</v>
      </c>
      <c r="M31" s="399">
        <f t="shared" si="4"/>
        <v>14047</v>
      </c>
      <c r="N31" s="400"/>
      <c r="O31" s="396">
        <f t="shared" si="7"/>
        <v>-14047</v>
      </c>
      <c r="P31" s="397"/>
    </row>
    <row r="32" spans="1:16" hidden="1" x14ac:dyDescent="0.2">
      <c r="A32" s="416" t="s">
        <v>622</v>
      </c>
      <c r="B32" s="416"/>
      <c r="C32" s="420">
        <v>1009313</v>
      </c>
      <c r="D32" s="387">
        <v>0</v>
      </c>
      <c r="E32" s="388">
        <f t="shared" si="5"/>
        <v>0</v>
      </c>
      <c r="F32" s="387">
        <v>0</v>
      </c>
      <c r="G32" s="388">
        <f t="shared" si="6"/>
        <v>0</v>
      </c>
      <c r="H32" s="410"/>
      <c r="I32" s="414">
        <v>31491</v>
      </c>
      <c r="J32" s="387"/>
      <c r="K32" s="399"/>
      <c r="L32" s="394">
        <v>70900</v>
      </c>
      <c r="M32" s="399">
        <f t="shared" si="4"/>
        <v>14180</v>
      </c>
      <c r="N32" s="400"/>
      <c r="O32" s="396">
        <f t="shared" si="7"/>
        <v>-14180</v>
      </c>
      <c r="P32" s="397"/>
    </row>
    <row r="33" spans="1:16" hidden="1" x14ac:dyDescent="0.2">
      <c r="A33" s="416" t="s">
        <v>623</v>
      </c>
      <c r="B33" s="416"/>
      <c r="C33" s="420">
        <v>2003033</v>
      </c>
      <c r="D33" s="387">
        <v>0</v>
      </c>
      <c r="E33" s="388">
        <f t="shared" si="5"/>
        <v>0</v>
      </c>
      <c r="F33" s="387">
        <v>0</v>
      </c>
      <c r="G33" s="388">
        <f t="shared" si="6"/>
        <v>0</v>
      </c>
      <c r="H33" s="410"/>
      <c r="I33" s="414">
        <v>30864</v>
      </c>
      <c r="J33" s="387"/>
      <c r="K33" s="399"/>
      <c r="L33" s="394">
        <v>129755</v>
      </c>
      <c r="M33" s="399">
        <f t="shared" si="4"/>
        <v>25951</v>
      </c>
      <c r="N33" s="400"/>
      <c r="O33" s="396">
        <f t="shared" si="7"/>
        <v>-25951</v>
      </c>
      <c r="P33" s="397"/>
    </row>
    <row r="34" spans="1:16" hidden="1" x14ac:dyDescent="0.2">
      <c r="A34" s="416" t="s">
        <v>624</v>
      </c>
      <c r="B34" s="416"/>
      <c r="C34" s="420">
        <v>766184</v>
      </c>
      <c r="D34" s="387">
        <v>0</v>
      </c>
      <c r="E34" s="388">
        <f t="shared" si="5"/>
        <v>0</v>
      </c>
      <c r="F34" s="387">
        <v>0</v>
      </c>
      <c r="G34" s="388">
        <f t="shared" si="6"/>
        <v>0</v>
      </c>
      <c r="H34" s="410"/>
      <c r="I34" s="414">
        <v>29964</v>
      </c>
      <c r="J34" s="387"/>
      <c r="K34" s="399"/>
      <c r="L34" s="394">
        <v>71555</v>
      </c>
      <c r="M34" s="399">
        <f t="shared" si="4"/>
        <v>14311</v>
      </c>
      <c r="N34" s="400"/>
      <c r="O34" s="396">
        <f t="shared" si="7"/>
        <v>-14311</v>
      </c>
      <c r="P34" s="397"/>
    </row>
    <row r="35" spans="1:16" hidden="1" x14ac:dyDescent="0.2">
      <c r="A35" s="416" t="s">
        <v>625</v>
      </c>
      <c r="B35" s="416"/>
      <c r="C35" s="420">
        <v>794122</v>
      </c>
      <c r="D35" s="387">
        <v>0</v>
      </c>
      <c r="E35" s="388">
        <f t="shared" si="5"/>
        <v>0</v>
      </c>
      <c r="F35" s="387">
        <v>0</v>
      </c>
      <c r="G35" s="388">
        <f t="shared" si="6"/>
        <v>0</v>
      </c>
      <c r="H35" s="410"/>
      <c r="I35" s="414">
        <v>30476</v>
      </c>
      <c r="J35" s="387"/>
      <c r="K35" s="399"/>
      <c r="L35" s="394">
        <v>72430</v>
      </c>
      <c r="M35" s="399">
        <f t="shared" si="4"/>
        <v>14486</v>
      </c>
      <c r="N35" s="400"/>
      <c r="O35" s="396">
        <f t="shared" si="7"/>
        <v>-14486</v>
      </c>
      <c r="P35" s="397"/>
    </row>
    <row r="36" spans="1:16" hidden="1" x14ac:dyDescent="0.2">
      <c r="A36" s="416" t="s">
        <v>626</v>
      </c>
      <c r="B36" s="416"/>
      <c r="C36" s="420">
        <v>1118310</v>
      </c>
      <c r="D36" s="387">
        <v>0</v>
      </c>
      <c r="E36" s="388">
        <f t="shared" si="5"/>
        <v>0</v>
      </c>
      <c r="F36" s="387">
        <v>0</v>
      </c>
      <c r="G36" s="388">
        <f t="shared" si="6"/>
        <v>0</v>
      </c>
      <c r="H36" s="410"/>
      <c r="I36" s="414">
        <v>29908</v>
      </c>
      <c r="J36" s="387"/>
      <c r="K36" s="399"/>
      <c r="L36" s="394">
        <v>72600</v>
      </c>
      <c r="M36" s="399">
        <f t="shared" si="4"/>
        <v>14520</v>
      </c>
      <c r="N36" s="400"/>
      <c r="O36" s="396">
        <f t="shared" si="7"/>
        <v>-14520</v>
      </c>
      <c r="P36" s="397"/>
    </row>
    <row r="37" spans="1:16" hidden="1" x14ac:dyDescent="0.2">
      <c r="A37" s="416" t="s">
        <v>627</v>
      </c>
      <c r="B37" s="416"/>
      <c r="C37" s="420">
        <v>1515264</v>
      </c>
      <c r="D37" s="387">
        <v>0</v>
      </c>
      <c r="E37" s="388">
        <f t="shared" si="5"/>
        <v>0</v>
      </c>
      <c r="F37" s="387">
        <v>0</v>
      </c>
      <c r="G37" s="388">
        <f t="shared" si="6"/>
        <v>0</v>
      </c>
      <c r="H37" s="410"/>
      <c r="I37" s="414">
        <v>28888</v>
      </c>
      <c r="J37" s="387"/>
      <c r="K37" s="399"/>
      <c r="L37" s="394">
        <v>73575</v>
      </c>
      <c r="M37" s="399">
        <f t="shared" si="4"/>
        <v>14715</v>
      </c>
      <c r="N37" s="400"/>
      <c r="O37" s="396">
        <f t="shared" si="7"/>
        <v>-14715</v>
      </c>
      <c r="P37" s="397"/>
    </row>
    <row r="38" spans="1:16" ht="15.75" hidden="1" thickBot="1" x14ac:dyDescent="0.25">
      <c r="A38" s="417" t="s">
        <v>628</v>
      </c>
      <c r="B38" s="417"/>
      <c r="C38" s="422">
        <v>3038503</v>
      </c>
      <c r="D38" s="401">
        <v>0</v>
      </c>
      <c r="E38" s="402">
        <f t="shared" si="5"/>
        <v>0</v>
      </c>
      <c r="F38" s="401">
        <v>0</v>
      </c>
      <c r="G38" s="402">
        <f t="shared" si="6"/>
        <v>0</v>
      </c>
      <c r="H38" s="413"/>
      <c r="I38" s="388">
        <v>347056</v>
      </c>
      <c r="J38" s="401"/>
      <c r="K38" s="404"/>
      <c r="L38" s="403">
        <v>74140</v>
      </c>
      <c r="M38" s="404">
        <f t="shared" si="4"/>
        <v>14828</v>
      </c>
      <c r="N38" s="405"/>
      <c r="O38" s="396">
        <f t="shared" si="7"/>
        <v>-14828</v>
      </c>
      <c r="P38" s="397"/>
    </row>
    <row r="39" spans="1:16" hidden="1" x14ac:dyDescent="0.2">
      <c r="A39" s="406"/>
      <c r="B39" s="406"/>
      <c r="C39" s="389"/>
      <c r="D39" s="389"/>
      <c r="E39" s="389"/>
      <c r="F39" s="389"/>
      <c r="G39" s="389"/>
      <c r="H39" s="390"/>
      <c r="I39" s="389"/>
      <c r="J39" s="389"/>
      <c r="K39" s="389"/>
      <c r="L39" s="389"/>
      <c r="M39" s="389"/>
      <c r="N39" s="390"/>
      <c r="O39" s="389"/>
      <c r="P39" s="397"/>
    </row>
    <row r="40" spans="1:16" hidden="1" x14ac:dyDescent="0.2">
      <c r="A40" s="407" t="s">
        <v>629</v>
      </c>
      <c r="B40" s="407"/>
      <c r="C40" s="408">
        <f>SUM(C27:C39)</f>
        <v>15746159</v>
      </c>
      <c r="D40" s="408">
        <f>SUM(D27:D39)</f>
        <v>0</v>
      </c>
      <c r="E40" s="408">
        <f>SUM(E27:E39)</f>
        <v>0</v>
      </c>
      <c r="F40" s="408">
        <f>SUM(F27:F39)</f>
        <v>0</v>
      </c>
      <c r="G40" s="408">
        <f>SUM(G27:G39)</f>
        <v>0</v>
      </c>
      <c r="H40" s="398"/>
      <c r="I40" s="408">
        <f>SUM(I27:I39)</f>
        <v>782622</v>
      </c>
      <c r="J40" s="408">
        <f>SUM(J27:J39)</f>
        <v>0</v>
      </c>
      <c r="K40" s="408">
        <f>SUM(K27:K39)</f>
        <v>0</v>
      </c>
      <c r="L40" s="408">
        <f>SUM(L27:L39)</f>
        <v>979455</v>
      </c>
      <c r="M40" s="408">
        <f>SUM(M27:M39)</f>
        <v>195891</v>
      </c>
      <c r="N40" s="398"/>
      <c r="O40" s="398">
        <f>SUM(O27:O39)</f>
        <v>-603793</v>
      </c>
      <c r="P40" s="397"/>
    </row>
    <row r="41" spans="1:16" hidden="1" x14ac:dyDescent="0.2"/>
    <row r="42" spans="1:16" hidden="1" x14ac:dyDescent="0.2">
      <c r="A42" s="380" t="s">
        <v>630</v>
      </c>
      <c r="C42" s="397">
        <f>SUM(C40:F40)</f>
        <v>15746159</v>
      </c>
      <c r="I42" s="397">
        <f>+I40+J40+L40</f>
        <v>1762077</v>
      </c>
      <c r="J42" s="397"/>
      <c r="K42" s="397"/>
    </row>
    <row r="43" spans="1:16" hidden="1" x14ac:dyDescent="0.2"/>
    <row r="44" spans="1:16" hidden="1" x14ac:dyDescent="0.2"/>
    <row r="45" spans="1:16" hidden="1" x14ac:dyDescent="0.2"/>
    <row r="46" spans="1:16" ht="15.75" hidden="1" x14ac:dyDescent="0.25">
      <c r="A46" s="379" t="s">
        <v>667</v>
      </c>
      <c r="B46" s="379"/>
    </row>
    <row r="47" spans="1:16" ht="16.5" hidden="1" thickBot="1" x14ac:dyDescent="0.3">
      <c r="A47" s="379" t="s">
        <v>609</v>
      </c>
      <c r="B47" s="379"/>
      <c r="J47" s="380" t="s">
        <v>610</v>
      </c>
      <c r="L47" s="380" t="s">
        <v>611</v>
      </c>
    </row>
    <row r="48" spans="1:16" ht="16.5" hidden="1" thickBot="1" x14ac:dyDescent="0.3">
      <c r="A48" s="381"/>
      <c r="B48" s="412"/>
      <c r="C48" s="382" t="s">
        <v>631</v>
      </c>
      <c r="D48" s="383" t="s">
        <v>612</v>
      </c>
      <c r="E48" s="383" t="s">
        <v>613</v>
      </c>
      <c r="F48" s="383" t="s">
        <v>612</v>
      </c>
      <c r="G48" s="383" t="s">
        <v>613</v>
      </c>
      <c r="H48" s="384"/>
      <c r="I48" s="412" t="s">
        <v>614</v>
      </c>
      <c r="J48" s="383" t="s">
        <v>615</v>
      </c>
      <c r="K48" s="383" t="s">
        <v>613</v>
      </c>
      <c r="L48" s="383" t="s">
        <v>615</v>
      </c>
      <c r="M48" s="383" t="s">
        <v>613</v>
      </c>
      <c r="N48" s="385"/>
      <c r="O48" s="386" t="s">
        <v>616</v>
      </c>
    </row>
    <row r="49" spans="1:16" hidden="1" x14ac:dyDescent="0.2">
      <c r="A49" s="418" t="s">
        <v>617</v>
      </c>
      <c r="B49" s="418"/>
      <c r="C49" s="419">
        <v>2277208</v>
      </c>
      <c r="D49" s="387">
        <v>0</v>
      </c>
      <c r="E49" s="389">
        <f>+D49*0.2</f>
        <v>0</v>
      </c>
      <c r="F49" s="387">
        <v>0</v>
      </c>
      <c r="G49" s="389">
        <f>+F49*0.2</f>
        <v>0</v>
      </c>
      <c r="H49" s="409"/>
      <c r="I49" s="415">
        <v>0</v>
      </c>
      <c r="J49" s="411"/>
      <c r="K49" s="392"/>
      <c r="L49" s="391"/>
      <c r="M49" s="392">
        <f t="shared" ref="M49:M60" si="8">+L49*0.2</f>
        <v>0</v>
      </c>
      <c r="N49" s="393"/>
      <c r="O49" s="396"/>
    </row>
    <row r="50" spans="1:16" hidden="1" x14ac:dyDescent="0.2">
      <c r="A50" s="416" t="s">
        <v>618</v>
      </c>
      <c r="B50" s="416"/>
      <c r="C50" s="420">
        <v>1554205</v>
      </c>
      <c r="D50" s="387">
        <v>0</v>
      </c>
      <c r="E50" s="389">
        <f>+D50*0.2</f>
        <v>0</v>
      </c>
      <c r="F50" s="387">
        <v>0</v>
      </c>
      <c r="G50" s="389">
        <f>+F50*0.2</f>
        <v>0</v>
      </c>
      <c r="H50" s="409"/>
      <c r="I50" s="414">
        <v>26217</v>
      </c>
      <c r="J50" s="387"/>
      <c r="K50" s="395"/>
      <c r="L50" s="394">
        <v>75385</v>
      </c>
      <c r="M50" s="395">
        <f t="shared" si="8"/>
        <v>15077</v>
      </c>
      <c r="N50" s="393"/>
      <c r="O50" s="396">
        <f>+G50-M50</f>
        <v>-15077</v>
      </c>
      <c r="P50" s="397"/>
    </row>
    <row r="51" spans="1:16" hidden="1" x14ac:dyDescent="0.2">
      <c r="A51" s="416" t="s">
        <v>619</v>
      </c>
      <c r="B51" s="416"/>
      <c r="C51" s="420">
        <v>1714856</v>
      </c>
      <c r="D51" s="387">
        <v>0</v>
      </c>
      <c r="E51" s="388">
        <f t="shared" ref="E51:E60" si="9">+D51*0.2</f>
        <v>0</v>
      </c>
      <c r="F51" s="387">
        <v>0</v>
      </c>
      <c r="G51" s="388">
        <f t="shared" ref="G51:G60" si="10">+F51*0.2</f>
        <v>0</v>
      </c>
      <c r="H51" s="410"/>
      <c r="I51" s="414">
        <v>26318</v>
      </c>
      <c r="J51" s="387"/>
      <c r="K51" s="399"/>
      <c r="L51" s="394">
        <v>75975</v>
      </c>
      <c r="M51" s="399">
        <f t="shared" si="8"/>
        <v>15195</v>
      </c>
      <c r="N51" s="400"/>
      <c r="O51" s="396">
        <f t="shared" ref="O51:O60" si="11">+G51-M51</f>
        <v>-15195</v>
      </c>
      <c r="P51" s="397"/>
    </row>
    <row r="52" spans="1:16" hidden="1" x14ac:dyDescent="0.2">
      <c r="A52" s="416" t="s">
        <v>620</v>
      </c>
      <c r="B52" s="416"/>
      <c r="C52" s="421">
        <v>1626771</v>
      </c>
      <c r="D52" s="387">
        <v>0</v>
      </c>
      <c r="E52" s="388">
        <f t="shared" si="9"/>
        <v>0</v>
      </c>
      <c r="F52" s="387">
        <v>0</v>
      </c>
      <c r="G52" s="388">
        <f t="shared" si="10"/>
        <v>0</v>
      </c>
      <c r="H52" s="410"/>
      <c r="I52" s="414">
        <v>88712</v>
      </c>
      <c r="J52" s="387"/>
      <c r="K52" s="399"/>
      <c r="L52" s="394">
        <v>151100</v>
      </c>
      <c r="M52" s="399">
        <f t="shared" si="8"/>
        <v>30220</v>
      </c>
      <c r="N52" s="400"/>
      <c r="O52" s="396">
        <f t="shared" si="11"/>
        <v>-30220</v>
      </c>
      <c r="P52" s="397"/>
    </row>
    <row r="53" spans="1:16" hidden="1" x14ac:dyDescent="0.2">
      <c r="A53" s="416" t="s">
        <v>621</v>
      </c>
      <c r="B53" s="416"/>
      <c r="C53" s="420">
        <v>2092531</v>
      </c>
      <c r="D53" s="387">
        <v>0</v>
      </c>
      <c r="E53" s="388">
        <f t="shared" si="9"/>
        <v>0</v>
      </c>
      <c r="F53" s="387">
        <v>0</v>
      </c>
      <c r="G53" s="388">
        <f t="shared" si="10"/>
        <v>0</v>
      </c>
      <c r="H53" s="410"/>
      <c r="I53" s="414">
        <v>25311</v>
      </c>
      <c r="J53" s="387"/>
      <c r="K53" s="399"/>
      <c r="L53" s="394">
        <v>77375</v>
      </c>
      <c r="M53" s="399">
        <f t="shared" si="8"/>
        <v>15475</v>
      </c>
      <c r="N53" s="400"/>
      <c r="O53" s="396">
        <f t="shared" si="11"/>
        <v>-15475</v>
      </c>
      <c r="P53" s="397"/>
    </row>
    <row r="54" spans="1:16" hidden="1" x14ac:dyDescent="0.2">
      <c r="A54" s="416" t="s">
        <v>622</v>
      </c>
      <c r="B54" s="416"/>
      <c r="C54" s="420">
        <v>2719813</v>
      </c>
      <c r="D54" s="387">
        <v>0</v>
      </c>
      <c r="E54" s="388">
        <f t="shared" si="9"/>
        <v>0</v>
      </c>
      <c r="F54" s="387">
        <v>0</v>
      </c>
      <c r="G54" s="388">
        <f t="shared" si="10"/>
        <v>0</v>
      </c>
      <c r="H54" s="410"/>
      <c r="I54" s="414">
        <v>47784</v>
      </c>
      <c r="J54" s="387"/>
      <c r="K54" s="399"/>
      <c r="L54" s="394">
        <v>77885</v>
      </c>
      <c r="M54" s="399">
        <f t="shared" si="8"/>
        <v>15577</v>
      </c>
      <c r="N54" s="400"/>
      <c r="O54" s="396">
        <f t="shared" si="11"/>
        <v>-15577</v>
      </c>
      <c r="P54" s="397"/>
    </row>
    <row r="55" spans="1:16" hidden="1" x14ac:dyDescent="0.2">
      <c r="A55" s="416" t="s">
        <v>623</v>
      </c>
      <c r="B55" s="416"/>
      <c r="C55" s="420">
        <v>2624408</v>
      </c>
      <c r="D55" s="387">
        <v>0</v>
      </c>
      <c r="E55" s="388">
        <f t="shared" si="9"/>
        <v>0</v>
      </c>
      <c r="F55" s="387">
        <v>0</v>
      </c>
      <c r="G55" s="388">
        <f t="shared" si="10"/>
        <v>0</v>
      </c>
      <c r="H55" s="410"/>
      <c r="I55" s="414">
        <v>23106</v>
      </c>
      <c r="J55" s="387"/>
      <c r="K55" s="399"/>
      <c r="L55" s="394">
        <v>77880</v>
      </c>
      <c r="M55" s="399">
        <f t="shared" si="8"/>
        <v>15576</v>
      </c>
      <c r="N55" s="400"/>
      <c r="O55" s="396">
        <f t="shared" si="11"/>
        <v>-15576</v>
      </c>
      <c r="P55" s="397"/>
    </row>
    <row r="56" spans="1:16" hidden="1" x14ac:dyDescent="0.2">
      <c r="A56" s="416" t="s">
        <v>624</v>
      </c>
      <c r="B56" s="416"/>
      <c r="C56" s="420">
        <v>2166347</v>
      </c>
      <c r="D56" s="387">
        <v>0</v>
      </c>
      <c r="E56" s="388">
        <f t="shared" si="9"/>
        <v>0</v>
      </c>
      <c r="F56" s="387">
        <v>0</v>
      </c>
      <c r="G56" s="388">
        <f t="shared" si="10"/>
        <v>0</v>
      </c>
      <c r="H56" s="410"/>
      <c r="I56" s="414">
        <v>23713</v>
      </c>
      <c r="J56" s="387"/>
      <c r="K56" s="399"/>
      <c r="L56" s="394">
        <v>78315</v>
      </c>
      <c r="M56" s="399">
        <f t="shared" si="8"/>
        <v>15663</v>
      </c>
      <c r="N56" s="400"/>
      <c r="O56" s="396">
        <f t="shared" si="11"/>
        <v>-15663</v>
      </c>
      <c r="P56" s="397"/>
    </row>
    <row r="57" spans="1:16" hidden="1" x14ac:dyDescent="0.2">
      <c r="A57" s="416" t="s">
        <v>625</v>
      </c>
      <c r="B57" s="416"/>
      <c r="C57" s="420">
        <v>2294238</v>
      </c>
      <c r="D57" s="387">
        <v>0</v>
      </c>
      <c r="E57" s="388">
        <f t="shared" si="9"/>
        <v>0</v>
      </c>
      <c r="F57" s="387">
        <v>0</v>
      </c>
      <c r="G57" s="388">
        <f t="shared" si="10"/>
        <v>0</v>
      </c>
      <c r="H57" s="410"/>
      <c r="I57" s="414">
        <v>23905</v>
      </c>
      <c r="J57" s="387"/>
      <c r="K57" s="399"/>
      <c r="L57" s="394">
        <v>78895</v>
      </c>
      <c r="M57" s="399">
        <f t="shared" si="8"/>
        <v>15779</v>
      </c>
      <c r="N57" s="400"/>
      <c r="O57" s="396">
        <f t="shared" si="11"/>
        <v>-15779</v>
      </c>
      <c r="P57" s="397"/>
    </row>
    <row r="58" spans="1:16" hidden="1" x14ac:dyDescent="0.2">
      <c r="A58" s="416" t="s">
        <v>626</v>
      </c>
      <c r="B58" s="416"/>
      <c r="C58" s="420">
        <v>2711547</v>
      </c>
      <c r="D58" s="387">
        <v>0</v>
      </c>
      <c r="E58" s="388">
        <f t="shared" si="9"/>
        <v>0</v>
      </c>
      <c r="F58" s="387">
        <v>0</v>
      </c>
      <c r="G58" s="388">
        <f t="shared" si="10"/>
        <v>0</v>
      </c>
      <c r="H58" s="410"/>
      <c r="I58" s="414">
        <v>21363</v>
      </c>
      <c r="J58" s="387"/>
      <c r="K58" s="399"/>
      <c r="L58" s="394">
        <v>79665</v>
      </c>
      <c r="M58" s="399">
        <f t="shared" si="8"/>
        <v>15933</v>
      </c>
      <c r="N58" s="400"/>
      <c r="O58" s="396">
        <f t="shared" si="11"/>
        <v>-15933</v>
      </c>
      <c r="P58" s="397"/>
    </row>
    <row r="59" spans="1:16" hidden="1" x14ac:dyDescent="0.2">
      <c r="A59" s="416" t="s">
        <v>627</v>
      </c>
      <c r="B59" s="416"/>
      <c r="C59" s="420">
        <v>3970024</v>
      </c>
      <c r="D59" s="387">
        <v>0</v>
      </c>
      <c r="E59" s="388">
        <f t="shared" si="9"/>
        <v>0</v>
      </c>
      <c r="F59" s="387">
        <v>0</v>
      </c>
      <c r="G59" s="388">
        <f t="shared" si="10"/>
        <v>0</v>
      </c>
      <c r="H59" s="410"/>
      <c r="I59" s="414">
        <v>20341</v>
      </c>
      <c r="J59" s="387"/>
      <c r="K59" s="399"/>
      <c r="L59" s="394">
        <v>78530</v>
      </c>
      <c r="M59" s="399">
        <f t="shared" si="8"/>
        <v>15706</v>
      </c>
      <c r="N59" s="400"/>
      <c r="O59" s="396">
        <f t="shared" si="11"/>
        <v>-15706</v>
      </c>
      <c r="P59" s="397"/>
    </row>
    <row r="60" spans="1:16" ht="15.75" hidden="1" thickBot="1" x14ac:dyDescent="0.25">
      <c r="A60" s="417" t="s">
        <v>628</v>
      </c>
      <c r="B60" s="417"/>
      <c r="C60" s="422">
        <v>1513928</v>
      </c>
      <c r="D60" s="401">
        <v>0</v>
      </c>
      <c r="E60" s="402">
        <f t="shared" si="9"/>
        <v>0</v>
      </c>
      <c r="F60" s="401">
        <v>0</v>
      </c>
      <c r="G60" s="402">
        <f t="shared" si="10"/>
        <v>0</v>
      </c>
      <c r="H60" s="413"/>
      <c r="I60" s="388">
        <v>8867029</v>
      </c>
      <c r="J60" s="401"/>
      <c r="K60" s="404"/>
      <c r="L60" s="403">
        <v>79680</v>
      </c>
      <c r="M60" s="404">
        <f t="shared" si="8"/>
        <v>15936</v>
      </c>
      <c r="N60" s="405"/>
      <c r="O60" s="396">
        <f t="shared" si="11"/>
        <v>-15936</v>
      </c>
      <c r="P60" s="397"/>
    </row>
    <row r="61" spans="1:16" hidden="1" x14ac:dyDescent="0.2">
      <c r="A61" s="406"/>
      <c r="B61" s="406"/>
      <c r="C61" s="389"/>
      <c r="D61" s="389"/>
      <c r="E61" s="389"/>
      <c r="F61" s="389"/>
      <c r="G61" s="389"/>
      <c r="H61" s="390"/>
      <c r="I61" s="389"/>
      <c r="J61" s="389"/>
      <c r="K61" s="389"/>
      <c r="L61" s="389"/>
      <c r="M61" s="389"/>
      <c r="N61" s="390"/>
      <c r="O61" s="389"/>
      <c r="P61" s="397"/>
    </row>
    <row r="62" spans="1:16" hidden="1" x14ac:dyDescent="0.2">
      <c r="A62" s="407" t="s">
        <v>629</v>
      </c>
      <c r="B62" s="407"/>
      <c r="C62" s="408">
        <f>SUM(C49:C61)</f>
        <v>27265876</v>
      </c>
      <c r="D62" s="408">
        <f>SUM(D49:D61)</f>
        <v>0</v>
      </c>
      <c r="E62" s="408">
        <f>SUM(E49:E61)</f>
        <v>0</v>
      </c>
      <c r="F62" s="408">
        <f>SUM(F49:F61)</f>
        <v>0</v>
      </c>
      <c r="G62" s="408">
        <f>SUM(G49:G61)</f>
        <v>0</v>
      </c>
      <c r="H62" s="398"/>
      <c r="I62" s="408">
        <f>SUM(I49:I61)</f>
        <v>9193799</v>
      </c>
      <c r="J62" s="408">
        <f>SUM(J49:J61)</f>
        <v>0</v>
      </c>
      <c r="K62" s="408">
        <f>SUM(K49:K61)</f>
        <v>0</v>
      </c>
      <c r="L62" s="408">
        <f>SUM(L49:L61)</f>
        <v>930685</v>
      </c>
      <c r="M62" s="408">
        <f>SUM(M49:M61)</f>
        <v>186137</v>
      </c>
      <c r="N62" s="398"/>
      <c r="O62" s="398">
        <f>SUM(O49:O61)</f>
        <v>-186137</v>
      </c>
      <c r="P62" s="397"/>
    </row>
    <row r="63" spans="1:16" hidden="1" x14ac:dyDescent="0.2"/>
    <row r="64" spans="1:16" hidden="1" x14ac:dyDescent="0.2">
      <c r="A64" s="380" t="s">
        <v>630</v>
      </c>
      <c r="C64" s="397">
        <f>SUM(C62:F62)</f>
        <v>27265876</v>
      </c>
      <c r="I64" s="397">
        <f>+I62+J62+L62</f>
        <v>10124484</v>
      </c>
      <c r="J64" s="397"/>
      <c r="K64" s="397"/>
    </row>
    <row r="65" spans="1:16" hidden="1" x14ac:dyDescent="0.2"/>
    <row r="66" spans="1:16" hidden="1" x14ac:dyDescent="0.2"/>
    <row r="67" spans="1:16" hidden="1" x14ac:dyDescent="0.2"/>
    <row r="68" spans="1:16" ht="15.75" hidden="1" x14ac:dyDescent="0.25">
      <c r="A68" s="379" t="s">
        <v>679</v>
      </c>
      <c r="B68" s="379"/>
    </row>
    <row r="69" spans="1:16" ht="16.5" hidden="1" thickBot="1" x14ac:dyDescent="0.3">
      <c r="A69" s="379" t="s">
        <v>609</v>
      </c>
      <c r="B69" s="379"/>
      <c r="J69" s="380" t="s">
        <v>610</v>
      </c>
      <c r="L69" s="380" t="s">
        <v>611</v>
      </c>
    </row>
    <row r="70" spans="1:16" ht="16.5" hidden="1" thickBot="1" x14ac:dyDescent="0.3">
      <c r="A70" s="381"/>
      <c r="B70" s="412"/>
      <c r="C70" s="382" t="s">
        <v>631</v>
      </c>
      <c r="D70" s="383" t="s">
        <v>612</v>
      </c>
      <c r="E70" s="383" t="s">
        <v>613</v>
      </c>
      <c r="F70" s="383" t="s">
        <v>612</v>
      </c>
      <c r="G70" s="383" t="s">
        <v>613</v>
      </c>
      <c r="H70" s="384"/>
      <c r="I70" s="412" t="s">
        <v>614</v>
      </c>
      <c r="J70" s="383" t="s">
        <v>615</v>
      </c>
      <c r="K70" s="383" t="s">
        <v>613</v>
      </c>
      <c r="L70" s="383" t="s">
        <v>615</v>
      </c>
      <c r="M70" s="383" t="s">
        <v>613</v>
      </c>
      <c r="N70" s="385"/>
      <c r="O70" s="386" t="s">
        <v>616</v>
      </c>
    </row>
    <row r="71" spans="1:16" hidden="1" x14ac:dyDescent="0.2">
      <c r="A71" s="418" t="s">
        <v>617</v>
      </c>
      <c r="B71" s="418"/>
      <c r="C71" s="419">
        <v>57255910</v>
      </c>
      <c r="D71" s="387">
        <v>0</v>
      </c>
      <c r="E71" s="389">
        <f>+D71*0.2</f>
        <v>0</v>
      </c>
      <c r="F71" s="387">
        <v>0</v>
      </c>
      <c r="G71" s="389">
        <f>+F71*0.2</f>
        <v>0</v>
      </c>
      <c r="H71" s="409"/>
      <c r="I71" s="415">
        <v>56137782</v>
      </c>
      <c r="J71" s="411"/>
      <c r="K71" s="392"/>
      <c r="L71" s="391"/>
      <c r="M71" s="392">
        <f t="shared" ref="M71:M82" si="12">+L71*0.2</f>
        <v>0</v>
      </c>
      <c r="N71" s="393"/>
      <c r="O71" s="396"/>
    </row>
    <row r="72" spans="1:16" hidden="1" x14ac:dyDescent="0.2">
      <c r="A72" s="416" t="s">
        <v>618</v>
      </c>
      <c r="B72" s="416"/>
      <c r="C72" s="420">
        <v>47921825</v>
      </c>
      <c r="D72" s="387">
        <v>0</v>
      </c>
      <c r="E72" s="389">
        <f>+D72*0.2</f>
        <v>0</v>
      </c>
      <c r="F72" s="387">
        <v>0</v>
      </c>
      <c r="G72" s="389">
        <f>+F72*0.2</f>
        <v>0</v>
      </c>
      <c r="H72" s="409"/>
      <c r="I72" s="414">
        <v>46786670</v>
      </c>
      <c r="J72" s="387"/>
      <c r="K72" s="395"/>
      <c r="L72" s="394">
        <v>162155</v>
      </c>
      <c r="M72" s="395">
        <f t="shared" si="12"/>
        <v>32431</v>
      </c>
      <c r="N72" s="393"/>
      <c r="O72" s="396">
        <f>+G72-M72</f>
        <v>-32431</v>
      </c>
      <c r="P72" s="397"/>
    </row>
    <row r="73" spans="1:16" hidden="1" x14ac:dyDescent="0.2">
      <c r="A73" s="416" t="s">
        <v>619</v>
      </c>
      <c r="B73" s="416"/>
      <c r="C73" s="420">
        <v>47699050</v>
      </c>
      <c r="D73" s="387">
        <v>0</v>
      </c>
      <c r="E73" s="388">
        <f t="shared" ref="E73:E82" si="13">+D73*0.2</f>
        <v>0</v>
      </c>
      <c r="F73" s="387">
        <v>0</v>
      </c>
      <c r="G73" s="388">
        <f t="shared" ref="G73:G82" si="14">+F73*0.2</f>
        <v>0</v>
      </c>
      <c r="H73" s="410"/>
      <c r="I73" s="414">
        <v>46605414</v>
      </c>
      <c r="J73" s="387"/>
      <c r="K73" s="399"/>
      <c r="L73" s="394">
        <v>81820</v>
      </c>
      <c r="M73" s="399">
        <f t="shared" si="12"/>
        <v>16364</v>
      </c>
      <c r="N73" s="400"/>
      <c r="O73" s="396">
        <f t="shared" ref="O73:O82" si="15">+G73-M73</f>
        <v>-16364</v>
      </c>
      <c r="P73" s="397"/>
    </row>
    <row r="74" spans="1:16" hidden="1" x14ac:dyDescent="0.2">
      <c r="A74" s="416" t="s">
        <v>620</v>
      </c>
      <c r="B74" s="416"/>
      <c r="C74" s="421">
        <v>35428762</v>
      </c>
      <c r="D74" s="387">
        <v>0</v>
      </c>
      <c r="E74" s="388">
        <f t="shared" si="13"/>
        <v>0</v>
      </c>
      <c r="F74" s="387">
        <v>0</v>
      </c>
      <c r="G74" s="388">
        <f t="shared" si="14"/>
        <v>0</v>
      </c>
      <c r="H74" s="410"/>
      <c r="I74" s="414">
        <v>34558469</v>
      </c>
      <c r="J74" s="387"/>
      <c r="K74" s="399"/>
      <c r="L74" s="394">
        <v>82420</v>
      </c>
      <c r="M74" s="399">
        <f t="shared" si="12"/>
        <v>16484</v>
      </c>
      <c r="N74" s="400"/>
      <c r="O74" s="396">
        <f t="shared" si="15"/>
        <v>-16484</v>
      </c>
      <c r="P74" s="397"/>
    </row>
    <row r="75" spans="1:16" hidden="1" x14ac:dyDescent="0.2">
      <c r="A75" s="416" t="s">
        <v>621</v>
      </c>
      <c r="B75" s="416"/>
      <c r="C75" s="420">
        <v>41636768</v>
      </c>
      <c r="D75" s="387">
        <v>0</v>
      </c>
      <c r="E75" s="388">
        <f t="shared" si="13"/>
        <v>0</v>
      </c>
      <c r="F75" s="387">
        <v>0</v>
      </c>
      <c r="G75" s="388">
        <f t="shared" si="14"/>
        <v>0</v>
      </c>
      <c r="H75" s="410"/>
      <c r="I75" s="414">
        <v>40838419</v>
      </c>
      <c r="J75" s="387"/>
      <c r="K75" s="399"/>
      <c r="L75" s="394">
        <v>82910</v>
      </c>
      <c r="M75" s="399">
        <f t="shared" si="12"/>
        <v>16582</v>
      </c>
      <c r="N75" s="400"/>
      <c r="O75" s="396">
        <f t="shared" si="15"/>
        <v>-16582</v>
      </c>
      <c r="P75" s="397"/>
    </row>
    <row r="76" spans="1:16" hidden="1" x14ac:dyDescent="0.2">
      <c r="A76" s="416" t="s">
        <v>622</v>
      </c>
      <c r="B76" s="416"/>
      <c r="C76" s="420">
        <v>36547252</v>
      </c>
      <c r="D76" s="387">
        <v>0</v>
      </c>
      <c r="E76" s="388">
        <f t="shared" si="13"/>
        <v>0</v>
      </c>
      <c r="F76" s="387">
        <v>0</v>
      </c>
      <c r="G76" s="388">
        <f t="shared" si="14"/>
        <v>0</v>
      </c>
      <c r="H76" s="410"/>
      <c r="I76" s="414">
        <v>35622702</v>
      </c>
      <c r="J76" s="387"/>
      <c r="K76" s="399"/>
      <c r="L76" s="394">
        <v>83310</v>
      </c>
      <c r="M76" s="399">
        <f t="shared" si="12"/>
        <v>16662</v>
      </c>
      <c r="N76" s="400"/>
      <c r="O76" s="396">
        <f t="shared" si="15"/>
        <v>-16662</v>
      </c>
      <c r="P76" s="397"/>
    </row>
    <row r="77" spans="1:16" hidden="1" x14ac:dyDescent="0.2">
      <c r="A77" s="416" t="s">
        <v>623</v>
      </c>
      <c r="B77" s="416"/>
      <c r="C77" s="420">
        <v>32134760</v>
      </c>
      <c r="D77" s="387">
        <v>0</v>
      </c>
      <c r="E77" s="388">
        <f t="shared" si="13"/>
        <v>0</v>
      </c>
      <c r="F77" s="387">
        <v>0</v>
      </c>
      <c r="G77" s="388">
        <f t="shared" si="14"/>
        <v>0</v>
      </c>
      <c r="H77" s="410"/>
      <c r="I77" s="414">
        <v>31161587</v>
      </c>
      <c r="J77" s="387"/>
      <c r="K77" s="399"/>
      <c r="L77" s="394">
        <v>83050</v>
      </c>
      <c r="M77" s="399">
        <f t="shared" si="12"/>
        <v>16610</v>
      </c>
      <c r="N77" s="400"/>
      <c r="O77" s="396">
        <f t="shared" si="15"/>
        <v>-16610</v>
      </c>
      <c r="P77" s="397"/>
    </row>
    <row r="78" spans="1:16" hidden="1" x14ac:dyDescent="0.2">
      <c r="A78" s="416" t="s">
        <v>624</v>
      </c>
      <c r="B78" s="416"/>
      <c r="C78" s="420">
        <v>31380612</v>
      </c>
      <c r="D78" s="387">
        <v>0</v>
      </c>
      <c r="E78" s="388">
        <f t="shared" si="13"/>
        <v>0</v>
      </c>
      <c r="F78" s="387">
        <v>0</v>
      </c>
      <c r="G78" s="388">
        <f t="shared" si="14"/>
        <v>0</v>
      </c>
      <c r="H78" s="410"/>
      <c r="I78" s="414">
        <v>30497009</v>
      </c>
      <c r="J78" s="387"/>
      <c r="K78" s="399"/>
      <c r="L78" s="394"/>
      <c r="M78" s="399">
        <f t="shared" si="12"/>
        <v>0</v>
      </c>
      <c r="N78" s="400"/>
      <c r="O78" s="396">
        <f t="shared" si="15"/>
        <v>0</v>
      </c>
      <c r="P78" s="397"/>
    </row>
    <row r="79" spans="1:16" hidden="1" x14ac:dyDescent="0.2">
      <c r="A79" s="416" t="s">
        <v>625</v>
      </c>
      <c r="B79" s="416"/>
      <c r="C79" s="420">
        <v>36315195</v>
      </c>
      <c r="D79" s="387">
        <v>0</v>
      </c>
      <c r="E79" s="388">
        <f t="shared" si="13"/>
        <v>0</v>
      </c>
      <c r="F79" s="387">
        <v>0</v>
      </c>
      <c r="G79" s="388">
        <f t="shared" si="14"/>
        <v>0</v>
      </c>
      <c r="H79" s="410"/>
      <c r="I79" s="414">
        <v>35274247</v>
      </c>
      <c r="J79" s="387">
        <v>57440</v>
      </c>
      <c r="K79" s="399">
        <f>+J79*0.2</f>
        <v>11488</v>
      </c>
      <c r="L79" s="394">
        <v>168680</v>
      </c>
      <c r="M79" s="399">
        <f t="shared" si="12"/>
        <v>33736</v>
      </c>
      <c r="N79" s="400"/>
      <c r="O79" s="396">
        <f>+G79-M79-K79</f>
        <v>-45224</v>
      </c>
      <c r="P79" s="397"/>
    </row>
    <row r="80" spans="1:16" hidden="1" x14ac:dyDescent="0.2">
      <c r="A80" s="416" t="s">
        <v>626</v>
      </c>
      <c r="B80" s="416"/>
      <c r="C80" s="420">
        <v>33260679</v>
      </c>
      <c r="D80" s="387">
        <v>0</v>
      </c>
      <c r="E80" s="388">
        <f t="shared" si="13"/>
        <v>0</v>
      </c>
      <c r="F80" s="387">
        <v>0</v>
      </c>
      <c r="G80" s="388">
        <f t="shared" si="14"/>
        <v>0</v>
      </c>
      <c r="H80" s="410"/>
      <c r="I80" s="414">
        <v>32383979</v>
      </c>
      <c r="J80" s="387"/>
      <c r="K80" s="399"/>
      <c r="L80" s="394">
        <v>85225</v>
      </c>
      <c r="M80" s="399">
        <f t="shared" si="12"/>
        <v>17045</v>
      </c>
      <c r="N80" s="400"/>
      <c r="O80" s="396">
        <f t="shared" si="15"/>
        <v>-17045</v>
      </c>
      <c r="P80" s="397"/>
    </row>
    <row r="81" spans="1:16" hidden="1" x14ac:dyDescent="0.2">
      <c r="A81" s="416" t="s">
        <v>627</v>
      </c>
      <c r="B81" s="416"/>
      <c r="C81" s="420">
        <v>34611825</v>
      </c>
      <c r="D81" s="387">
        <v>0</v>
      </c>
      <c r="E81" s="388">
        <f t="shared" si="13"/>
        <v>0</v>
      </c>
      <c r="F81" s="387">
        <v>0</v>
      </c>
      <c r="G81" s="388">
        <f t="shared" si="14"/>
        <v>0</v>
      </c>
      <c r="H81" s="410"/>
      <c r="I81" s="414">
        <v>33812613</v>
      </c>
      <c r="J81" s="387"/>
      <c r="K81" s="399"/>
      <c r="L81" s="394">
        <v>85365</v>
      </c>
      <c r="M81" s="399">
        <f t="shared" si="12"/>
        <v>17073</v>
      </c>
      <c r="N81" s="400"/>
      <c r="O81" s="396">
        <f t="shared" si="15"/>
        <v>-17073</v>
      </c>
      <c r="P81" s="397"/>
    </row>
    <row r="82" spans="1:16" ht="15.75" hidden="1" thickBot="1" x14ac:dyDescent="0.25">
      <c r="A82" s="417" t="s">
        <v>628</v>
      </c>
      <c r="B82" s="469"/>
      <c r="C82" s="420">
        <v>28689975</v>
      </c>
      <c r="D82" s="387">
        <v>0</v>
      </c>
      <c r="E82" s="388">
        <f t="shared" si="13"/>
        <v>0</v>
      </c>
      <c r="F82" s="387">
        <v>0</v>
      </c>
      <c r="G82" s="388">
        <f t="shared" si="14"/>
        <v>0</v>
      </c>
      <c r="H82" s="410"/>
      <c r="I82" s="414">
        <v>28213307</v>
      </c>
      <c r="J82" s="387"/>
      <c r="K82" s="399"/>
      <c r="L82" s="394">
        <v>238290</v>
      </c>
      <c r="M82" s="399">
        <f t="shared" si="12"/>
        <v>47658</v>
      </c>
      <c r="N82" s="400"/>
      <c r="O82" s="396">
        <f t="shared" si="15"/>
        <v>-47658</v>
      </c>
      <c r="P82" s="397"/>
    </row>
    <row r="83" spans="1:16" hidden="1" x14ac:dyDescent="0.2">
      <c r="A83" s="406"/>
      <c r="B83" s="406"/>
      <c r="C83" s="389"/>
      <c r="D83" s="389"/>
      <c r="E83" s="389"/>
      <c r="F83" s="389"/>
      <c r="G83" s="389"/>
      <c r="H83" s="390"/>
      <c r="I83" s="389"/>
      <c r="J83" s="389"/>
      <c r="K83" s="389"/>
      <c r="L83" s="389"/>
      <c r="M83" s="389"/>
      <c r="N83" s="390"/>
      <c r="O83" s="389"/>
      <c r="P83" s="397"/>
    </row>
    <row r="84" spans="1:16" s="468" customFormat="1" hidden="1" x14ac:dyDescent="0.2">
      <c r="A84" s="465" t="s">
        <v>629</v>
      </c>
      <c r="B84" s="465"/>
      <c r="C84" s="466">
        <f>SUM(C71:C83)</f>
        <v>462882613</v>
      </c>
      <c r="D84" s="466">
        <f>SUM(D71:D83)</f>
        <v>0</v>
      </c>
      <c r="E84" s="466">
        <f>SUM(E71:E83)</f>
        <v>0</v>
      </c>
      <c r="F84" s="466">
        <f>SUM(F71:F83)</f>
        <v>0</v>
      </c>
      <c r="G84" s="466">
        <f>SUM(G71:G83)</f>
        <v>0</v>
      </c>
      <c r="H84" s="466"/>
      <c r="I84" s="466">
        <f>SUM(I71:I83)</f>
        <v>451892198</v>
      </c>
      <c r="J84" s="466">
        <f t="shared" ref="J84:O84" si="16">SUM(J71:J83)</f>
        <v>57440</v>
      </c>
      <c r="K84" s="466">
        <f t="shared" si="16"/>
        <v>11488</v>
      </c>
      <c r="L84" s="466">
        <f t="shared" si="16"/>
        <v>1153225</v>
      </c>
      <c r="M84" s="466">
        <f t="shared" si="16"/>
        <v>230645</v>
      </c>
      <c r="N84" s="466">
        <f t="shared" si="16"/>
        <v>0</v>
      </c>
      <c r="O84" s="466">
        <f t="shared" si="16"/>
        <v>-242133</v>
      </c>
      <c r="P84" s="467"/>
    </row>
    <row r="85" spans="1:16" hidden="1" x14ac:dyDescent="0.2"/>
    <row r="86" spans="1:16" hidden="1" x14ac:dyDescent="0.2">
      <c r="A86" s="380" t="s">
        <v>630</v>
      </c>
      <c r="C86" s="397">
        <f>SUM(C84:F84)</f>
        <v>462882613</v>
      </c>
      <c r="I86" s="397">
        <f>+I84+J84+L84</f>
        <v>453102863</v>
      </c>
      <c r="J86" s="397"/>
      <c r="K86" s="397"/>
    </row>
    <row r="87" spans="1:16" hidden="1" x14ac:dyDescent="0.2"/>
    <row r="88" spans="1:16" hidden="1" x14ac:dyDescent="0.2">
      <c r="I88" s="397">
        <f>+C86-I86</f>
        <v>9779750</v>
      </c>
    </row>
    <row r="89" spans="1:16" hidden="1" x14ac:dyDescent="0.2"/>
    <row r="90" spans="1:16" hidden="1" x14ac:dyDescent="0.2"/>
    <row r="91" spans="1:16" ht="15.75" hidden="1" x14ac:dyDescent="0.25">
      <c r="A91" s="379" t="s">
        <v>682</v>
      </c>
      <c r="B91" s="379"/>
    </row>
    <row r="92" spans="1:16" ht="16.5" hidden="1" thickBot="1" x14ac:dyDescent="0.3">
      <c r="A92" s="379" t="s">
        <v>609</v>
      </c>
      <c r="B92" s="379"/>
      <c r="J92" s="380" t="s">
        <v>610</v>
      </c>
      <c r="L92" s="380" t="s">
        <v>611</v>
      </c>
    </row>
    <row r="93" spans="1:16" ht="16.5" hidden="1" thickBot="1" x14ac:dyDescent="0.3">
      <c r="A93" s="381"/>
      <c r="B93" s="412"/>
      <c r="C93" s="382" t="s">
        <v>631</v>
      </c>
      <c r="D93" s="383" t="s">
        <v>612</v>
      </c>
      <c r="E93" s="383" t="s">
        <v>613</v>
      </c>
      <c r="F93" s="383" t="s">
        <v>612</v>
      </c>
      <c r="G93" s="383" t="s">
        <v>613</v>
      </c>
      <c r="H93" s="384"/>
      <c r="I93" s="412" t="s">
        <v>614</v>
      </c>
      <c r="J93" s="383" t="s">
        <v>615</v>
      </c>
      <c r="K93" s="383" t="s">
        <v>613</v>
      </c>
      <c r="L93" s="383" t="s">
        <v>615</v>
      </c>
      <c r="M93" s="383" t="s">
        <v>613</v>
      </c>
      <c r="N93" s="385"/>
      <c r="O93" s="386" t="s">
        <v>616</v>
      </c>
    </row>
    <row r="94" spans="1:16" hidden="1" x14ac:dyDescent="0.2">
      <c r="A94" s="418" t="s">
        <v>617</v>
      </c>
      <c r="B94" s="418"/>
      <c r="C94" s="419">
        <v>33982753</v>
      </c>
      <c r="D94" s="387">
        <v>0</v>
      </c>
      <c r="E94" s="389">
        <f>+D94*0.2</f>
        <v>0</v>
      </c>
      <c r="F94" s="387">
        <v>0</v>
      </c>
      <c r="G94" s="389">
        <f>+F94*0.2</f>
        <v>0</v>
      </c>
      <c r="H94" s="409"/>
      <c r="I94" s="415">
        <v>33056827</v>
      </c>
      <c r="J94" s="411">
        <v>87200</v>
      </c>
      <c r="K94" s="392">
        <f>+J94*0.2</f>
        <v>17440</v>
      </c>
      <c r="L94" s="391"/>
      <c r="M94" s="392">
        <f t="shared" ref="M94:M105" si="17">+L94*0.2</f>
        <v>0</v>
      </c>
      <c r="N94" s="393"/>
      <c r="O94" s="396">
        <f>+G94-K94-M94</f>
        <v>-17440</v>
      </c>
    </row>
    <row r="95" spans="1:16" hidden="1" x14ac:dyDescent="0.2">
      <c r="A95" s="416" t="s">
        <v>618</v>
      </c>
      <c r="B95" s="416"/>
      <c r="C95" s="420">
        <v>37460436</v>
      </c>
      <c r="D95" s="387">
        <v>0</v>
      </c>
      <c r="E95" s="389">
        <f>+D95*0.2</f>
        <v>0</v>
      </c>
      <c r="F95" s="387">
        <v>0</v>
      </c>
      <c r="G95" s="389">
        <f>+F95*0.2</f>
        <v>0</v>
      </c>
      <c r="H95" s="409"/>
      <c r="I95" s="414">
        <v>36604749</v>
      </c>
      <c r="J95" s="387">
        <v>86965</v>
      </c>
      <c r="K95" s="395">
        <f>+J95*0.2</f>
        <v>17393</v>
      </c>
      <c r="L95" s="394"/>
      <c r="M95" s="395">
        <f t="shared" si="17"/>
        <v>0</v>
      </c>
      <c r="N95" s="393"/>
      <c r="O95" s="396">
        <f t="shared" ref="O95:O105" si="18">+G95-K95-M95</f>
        <v>-17393</v>
      </c>
    </row>
    <row r="96" spans="1:16" hidden="1" x14ac:dyDescent="0.2">
      <c r="A96" s="416" t="s">
        <v>619</v>
      </c>
      <c r="B96" s="416"/>
      <c r="C96" s="420">
        <v>43835006</v>
      </c>
      <c r="D96" s="387">
        <v>0</v>
      </c>
      <c r="E96" s="388">
        <f t="shared" ref="E96:E105" si="19">+D96*0.2</f>
        <v>0</v>
      </c>
      <c r="F96" s="387">
        <v>0</v>
      </c>
      <c r="G96" s="388">
        <f t="shared" ref="G96:G105" si="20">+F96*0.2</f>
        <v>0</v>
      </c>
      <c r="H96" s="410"/>
      <c r="I96" s="414">
        <v>42933296</v>
      </c>
      <c r="J96" s="387">
        <v>87590</v>
      </c>
      <c r="K96" s="395">
        <f t="shared" ref="K96:K104" si="21">+J96*0.2</f>
        <v>17518</v>
      </c>
      <c r="L96" s="394"/>
      <c r="M96" s="399">
        <f t="shared" si="17"/>
        <v>0</v>
      </c>
      <c r="N96" s="400"/>
      <c r="O96" s="396">
        <f t="shared" si="18"/>
        <v>-17518</v>
      </c>
    </row>
    <row r="97" spans="1:15" hidden="1" x14ac:dyDescent="0.2">
      <c r="A97" s="416" t="s">
        <v>620</v>
      </c>
      <c r="B97" s="416"/>
      <c r="C97" s="421">
        <v>39065048</v>
      </c>
      <c r="D97" s="387">
        <v>0</v>
      </c>
      <c r="E97" s="388">
        <f t="shared" si="19"/>
        <v>0</v>
      </c>
      <c r="F97" s="387">
        <v>0</v>
      </c>
      <c r="G97" s="388">
        <f t="shared" si="20"/>
        <v>0</v>
      </c>
      <c r="H97" s="410"/>
      <c r="I97" s="414">
        <v>38295631</v>
      </c>
      <c r="J97" s="387">
        <v>88125</v>
      </c>
      <c r="K97" s="395">
        <f t="shared" si="21"/>
        <v>17625</v>
      </c>
      <c r="L97" s="394"/>
      <c r="M97" s="399">
        <f t="shared" si="17"/>
        <v>0</v>
      </c>
      <c r="N97" s="400"/>
      <c r="O97" s="396">
        <f t="shared" si="18"/>
        <v>-17625</v>
      </c>
    </row>
    <row r="98" spans="1:15" hidden="1" x14ac:dyDescent="0.2">
      <c r="A98" s="416" t="s">
        <v>621</v>
      </c>
      <c r="B98" s="416"/>
      <c r="C98" s="420">
        <v>45673828</v>
      </c>
      <c r="D98" s="387">
        <v>0</v>
      </c>
      <c r="E98" s="388">
        <f t="shared" si="19"/>
        <v>0</v>
      </c>
      <c r="F98" s="387">
        <v>0</v>
      </c>
      <c r="G98" s="388">
        <f t="shared" si="20"/>
        <v>0</v>
      </c>
      <c r="H98" s="410"/>
      <c r="I98" s="414">
        <v>44616553</v>
      </c>
      <c r="J98" s="387">
        <v>88490</v>
      </c>
      <c r="K98" s="395">
        <f t="shared" si="21"/>
        <v>17698</v>
      </c>
      <c r="L98" s="394"/>
      <c r="M98" s="399">
        <f t="shared" si="17"/>
        <v>0</v>
      </c>
      <c r="N98" s="400"/>
      <c r="O98" s="396">
        <f t="shared" si="18"/>
        <v>-17698</v>
      </c>
    </row>
    <row r="99" spans="1:15" hidden="1" x14ac:dyDescent="0.2">
      <c r="A99" s="416" t="s">
        <v>622</v>
      </c>
      <c r="B99" s="416"/>
      <c r="C99" s="420">
        <v>40200984</v>
      </c>
      <c r="D99" s="387">
        <v>0</v>
      </c>
      <c r="E99" s="388">
        <f t="shared" si="19"/>
        <v>0</v>
      </c>
      <c r="F99" s="387">
        <v>0</v>
      </c>
      <c r="G99" s="388">
        <f t="shared" si="20"/>
        <v>0</v>
      </c>
      <c r="H99" s="410"/>
      <c r="I99" s="414">
        <v>39228713</v>
      </c>
      <c r="J99" s="387">
        <v>87995</v>
      </c>
      <c r="K99" s="395">
        <f t="shared" si="21"/>
        <v>17599</v>
      </c>
      <c r="L99" s="394">
        <v>26880</v>
      </c>
      <c r="M99" s="399">
        <f t="shared" si="17"/>
        <v>5376</v>
      </c>
      <c r="N99" s="400"/>
      <c r="O99" s="396">
        <f t="shared" si="18"/>
        <v>-22975</v>
      </c>
    </row>
    <row r="100" spans="1:15" hidden="1" x14ac:dyDescent="0.2">
      <c r="A100" s="416" t="s">
        <v>623</v>
      </c>
      <c r="B100" s="416"/>
      <c r="C100" s="420">
        <v>40791892</v>
      </c>
      <c r="D100" s="387">
        <v>0</v>
      </c>
      <c r="E100" s="388">
        <f t="shared" si="19"/>
        <v>0</v>
      </c>
      <c r="F100" s="387">
        <v>0</v>
      </c>
      <c r="G100" s="388">
        <f t="shared" si="20"/>
        <v>0</v>
      </c>
      <c r="H100" s="410"/>
      <c r="I100" s="414">
        <v>39762902</v>
      </c>
      <c r="J100" s="387">
        <v>88340</v>
      </c>
      <c r="K100" s="395">
        <f t="shared" si="21"/>
        <v>17668</v>
      </c>
      <c r="L100" s="394"/>
      <c r="M100" s="399">
        <f t="shared" si="17"/>
        <v>0</v>
      </c>
      <c r="N100" s="400"/>
      <c r="O100" s="396">
        <f t="shared" si="18"/>
        <v>-17668</v>
      </c>
    </row>
    <row r="101" spans="1:15" hidden="1" x14ac:dyDescent="0.2">
      <c r="A101" s="416" t="s">
        <v>624</v>
      </c>
      <c r="B101" s="416"/>
      <c r="C101" s="420">
        <v>36804381</v>
      </c>
      <c r="D101" s="387">
        <v>0</v>
      </c>
      <c r="E101" s="388">
        <f t="shared" si="19"/>
        <v>0</v>
      </c>
      <c r="F101" s="387">
        <v>0</v>
      </c>
      <c r="G101" s="388">
        <f t="shared" si="20"/>
        <v>0</v>
      </c>
      <c r="H101" s="410"/>
      <c r="I101" s="414">
        <v>35785671</v>
      </c>
      <c r="J101" s="387">
        <v>88880</v>
      </c>
      <c r="K101" s="395">
        <f t="shared" si="21"/>
        <v>17776</v>
      </c>
      <c r="L101" s="394"/>
      <c r="M101" s="399">
        <f t="shared" si="17"/>
        <v>0</v>
      </c>
      <c r="N101" s="400"/>
      <c r="O101" s="396">
        <f t="shared" si="18"/>
        <v>-17776</v>
      </c>
    </row>
    <row r="102" spans="1:15" hidden="1" x14ac:dyDescent="0.2">
      <c r="A102" s="416" t="s">
        <v>625</v>
      </c>
      <c r="B102" s="416"/>
      <c r="C102" s="420">
        <v>57507954</v>
      </c>
      <c r="D102" s="387">
        <v>0</v>
      </c>
      <c r="E102" s="388">
        <f t="shared" si="19"/>
        <v>0</v>
      </c>
      <c r="F102" s="387">
        <v>0</v>
      </c>
      <c r="G102" s="388">
        <f t="shared" si="20"/>
        <v>0</v>
      </c>
      <c r="H102" s="410"/>
      <c r="I102" s="414">
        <v>56442692</v>
      </c>
      <c r="J102" s="387">
        <v>90490</v>
      </c>
      <c r="K102" s="395">
        <f t="shared" si="21"/>
        <v>18098</v>
      </c>
      <c r="L102" s="394"/>
      <c r="M102" s="399">
        <f t="shared" si="17"/>
        <v>0</v>
      </c>
      <c r="N102" s="400"/>
      <c r="O102" s="396">
        <f t="shared" si="18"/>
        <v>-18098</v>
      </c>
    </row>
    <row r="103" spans="1:15" hidden="1" x14ac:dyDescent="0.2">
      <c r="A103" s="416" t="s">
        <v>626</v>
      </c>
      <c r="B103" s="416"/>
      <c r="C103" s="420">
        <v>55704246</v>
      </c>
      <c r="D103" s="387">
        <v>0</v>
      </c>
      <c r="E103" s="388">
        <f t="shared" si="19"/>
        <v>0</v>
      </c>
      <c r="F103" s="387">
        <v>0</v>
      </c>
      <c r="G103" s="388">
        <f t="shared" si="20"/>
        <v>0</v>
      </c>
      <c r="H103" s="410"/>
      <c r="I103" s="414">
        <v>54603735</v>
      </c>
      <c r="J103" s="387">
        <v>91000</v>
      </c>
      <c r="K103" s="395">
        <f t="shared" si="21"/>
        <v>18200</v>
      </c>
      <c r="L103" s="394"/>
      <c r="M103" s="399">
        <f t="shared" si="17"/>
        <v>0</v>
      </c>
      <c r="N103" s="400"/>
      <c r="O103" s="396">
        <f t="shared" si="18"/>
        <v>-18200</v>
      </c>
    </row>
    <row r="104" spans="1:15" hidden="1" x14ac:dyDescent="0.2">
      <c r="A104" s="416" t="s">
        <v>627</v>
      </c>
      <c r="B104" s="416"/>
      <c r="C104" s="420">
        <v>50840289</v>
      </c>
      <c r="D104" s="387">
        <v>0</v>
      </c>
      <c r="E104" s="388">
        <f t="shared" si="19"/>
        <v>0</v>
      </c>
      <c r="F104" s="387">
        <v>0</v>
      </c>
      <c r="G104" s="388">
        <f t="shared" si="20"/>
        <v>0</v>
      </c>
      <c r="H104" s="410"/>
      <c r="I104" s="414">
        <v>49759007</v>
      </c>
      <c r="J104" s="387">
        <v>91775</v>
      </c>
      <c r="K104" s="395">
        <f t="shared" si="21"/>
        <v>18355</v>
      </c>
      <c r="L104" s="394"/>
      <c r="M104" s="399">
        <f t="shared" si="17"/>
        <v>0</v>
      </c>
      <c r="N104" s="400"/>
      <c r="O104" s="396">
        <f t="shared" si="18"/>
        <v>-18355</v>
      </c>
    </row>
    <row r="105" spans="1:15" ht="15.75" hidden="1" thickBot="1" x14ac:dyDescent="0.25">
      <c r="A105" s="469" t="s">
        <v>628</v>
      </c>
      <c r="B105" s="469"/>
      <c r="C105" s="470">
        <v>55910130</v>
      </c>
      <c r="D105" s="471">
        <v>583335</v>
      </c>
      <c r="E105" s="472">
        <f t="shared" si="19"/>
        <v>116667</v>
      </c>
      <c r="F105" s="471">
        <v>583335</v>
      </c>
      <c r="G105" s="472">
        <f t="shared" si="20"/>
        <v>116667</v>
      </c>
      <c r="H105" s="473"/>
      <c r="I105" s="474">
        <v>59983484</v>
      </c>
      <c r="J105" s="471">
        <v>343800</v>
      </c>
      <c r="K105" s="475"/>
      <c r="L105" s="476"/>
      <c r="M105" s="477">
        <f t="shared" si="17"/>
        <v>0</v>
      </c>
      <c r="N105" s="478"/>
      <c r="O105" s="479">
        <f t="shared" si="18"/>
        <v>116667</v>
      </c>
    </row>
    <row r="106" spans="1:15" ht="15.75" hidden="1" thickBot="1" x14ac:dyDescent="0.25">
      <c r="A106" s="480"/>
      <c r="B106" s="499"/>
      <c r="C106" s="481"/>
      <c r="D106" s="481"/>
      <c r="E106" s="481"/>
      <c r="F106" s="481"/>
      <c r="G106" s="481"/>
      <c r="H106" s="482"/>
      <c r="I106" s="481"/>
      <c r="J106" s="481"/>
      <c r="K106" s="481"/>
      <c r="L106" s="481"/>
      <c r="M106" s="481"/>
      <c r="N106" s="482"/>
      <c r="O106" s="483"/>
    </row>
    <row r="107" spans="1:15" ht="15.75" hidden="1" thickBot="1" x14ac:dyDescent="0.25">
      <c r="A107" s="484" t="s">
        <v>629</v>
      </c>
      <c r="B107" s="500"/>
      <c r="C107" s="485">
        <f>SUM(C94:C106)</f>
        <v>537776947</v>
      </c>
      <c r="D107" s="485">
        <f>SUM(D94:D106)</f>
        <v>583335</v>
      </c>
      <c r="E107" s="485">
        <f>SUM(E94:E106)</f>
        <v>116667</v>
      </c>
      <c r="F107" s="485">
        <f t="shared" ref="F107:O107" si="22">SUM(F94:F106)</f>
        <v>583335</v>
      </c>
      <c r="G107" s="485">
        <f t="shared" si="22"/>
        <v>116667</v>
      </c>
      <c r="H107" s="485">
        <f t="shared" si="22"/>
        <v>0</v>
      </c>
      <c r="I107" s="485">
        <f t="shared" si="22"/>
        <v>531073260</v>
      </c>
      <c r="J107" s="485">
        <f t="shared" si="22"/>
        <v>1320650</v>
      </c>
      <c r="K107" s="485">
        <f t="shared" si="22"/>
        <v>195370</v>
      </c>
      <c r="L107" s="485">
        <f t="shared" si="22"/>
        <v>26880</v>
      </c>
      <c r="M107" s="485">
        <f t="shared" si="22"/>
        <v>5376</v>
      </c>
      <c r="N107" s="485">
        <f t="shared" si="22"/>
        <v>0</v>
      </c>
      <c r="O107" s="486">
        <f t="shared" si="22"/>
        <v>-84079</v>
      </c>
    </row>
    <row r="108" spans="1:15" hidden="1" x14ac:dyDescent="0.2"/>
    <row r="109" spans="1:15" hidden="1" x14ac:dyDescent="0.2">
      <c r="A109" s="380" t="s">
        <v>630</v>
      </c>
      <c r="C109" s="397">
        <f>+C107+F107</f>
        <v>538360282</v>
      </c>
      <c r="I109" s="397">
        <f>+I107+J107+L107</f>
        <v>532420790</v>
      </c>
      <c r="J109" s="397"/>
      <c r="K109" s="397"/>
    </row>
    <row r="110" spans="1:15" hidden="1" x14ac:dyDescent="0.2"/>
    <row r="111" spans="1:15" hidden="1" x14ac:dyDescent="0.2">
      <c r="I111" s="397">
        <f>+C109-I109</f>
        <v>5939492</v>
      </c>
    </row>
    <row r="112" spans="1:15" hidden="1" x14ac:dyDescent="0.2"/>
    <row r="113" spans="1:15" hidden="1" x14ac:dyDescent="0.2"/>
    <row r="114" spans="1:15" hidden="1" x14ac:dyDescent="0.2"/>
    <row r="115" spans="1:15" ht="15.75" hidden="1" x14ac:dyDescent="0.25">
      <c r="A115" s="379" t="s">
        <v>698</v>
      </c>
      <c r="B115" s="379"/>
    </row>
    <row r="116" spans="1:15" ht="16.5" hidden="1" thickBot="1" x14ac:dyDescent="0.3">
      <c r="A116" s="379" t="s">
        <v>609</v>
      </c>
      <c r="B116" s="379"/>
      <c r="J116" s="267" t="s">
        <v>699</v>
      </c>
      <c r="L116" s="380" t="s">
        <v>611</v>
      </c>
    </row>
    <row r="117" spans="1:15" ht="16.5" hidden="1" thickBot="1" x14ac:dyDescent="0.3">
      <c r="A117" s="381"/>
      <c r="B117" s="412" t="s">
        <v>700</v>
      </c>
      <c r="C117" s="382" t="s">
        <v>631</v>
      </c>
      <c r="D117" s="383" t="s">
        <v>612</v>
      </c>
      <c r="E117" s="383" t="s">
        <v>701</v>
      </c>
      <c r="F117" s="383" t="s">
        <v>612</v>
      </c>
      <c r="G117" s="383" t="s">
        <v>702</v>
      </c>
      <c r="H117" s="384"/>
      <c r="I117" s="412" t="s">
        <v>614</v>
      </c>
      <c r="J117" s="383" t="s">
        <v>615</v>
      </c>
      <c r="K117" s="383" t="s">
        <v>613</v>
      </c>
      <c r="L117" s="383" t="s">
        <v>615</v>
      </c>
      <c r="M117" s="383" t="s">
        <v>613</v>
      </c>
      <c r="N117" s="385"/>
      <c r="O117" s="386" t="s">
        <v>616</v>
      </c>
    </row>
    <row r="118" spans="1:15" hidden="1" x14ac:dyDescent="0.2">
      <c r="A118" s="418" t="s">
        <v>617</v>
      </c>
      <c r="B118" s="418"/>
      <c r="C118" s="419">
        <v>45124276</v>
      </c>
      <c r="D118" s="387">
        <v>0</v>
      </c>
      <c r="E118" s="389">
        <f>+D118*0.2</f>
        <v>0</v>
      </c>
      <c r="F118" s="387">
        <v>0</v>
      </c>
      <c r="G118" s="389">
        <f t="shared" ref="G118:G123" si="23">+F118*0.2</f>
        <v>0</v>
      </c>
      <c r="H118" s="409"/>
      <c r="I118" s="415">
        <v>44268514</v>
      </c>
      <c r="J118" s="411"/>
      <c r="K118" s="392">
        <f>+J118*0.2</f>
        <v>0</v>
      </c>
      <c r="L118" s="391"/>
      <c r="M118" s="392">
        <f t="shared" ref="M118:M129" si="24">+L118*0.2</f>
        <v>0</v>
      </c>
      <c r="N118" s="393"/>
      <c r="O118" s="396">
        <f t="shared" ref="O118:O123" si="25">+G118-K118-M118</f>
        <v>0</v>
      </c>
    </row>
    <row r="119" spans="1:15" hidden="1" x14ac:dyDescent="0.2">
      <c r="A119" s="416" t="s">
        <v>618</v>
      </c>
      <c r="B119" s="416"/>
      <c r="C119" s="420">
        <v>42578541</v>
      </c>
      <c r="D119" s="387">
        <v>0</v>
      </c>
      <c r="E119" s="389">
        <f>+D119*0.2</f>
        <v>0</v>
      </c>
      <c r="F119" s="387">
        <v>0</v>
      </c>
      <c r="G119" s="389">
        <f t="shared" si="23"/>
        <v>0</v>
      </c>
      <c r="H119" s="409"/>
      <c r="I119" s="414">
        <v>41849921</v>
      </c>
      <c r="J119" s="387"/>
      <c r="K119" s="395">
        <f>+J119*0.2</f>
        <v>0</v>
      </c>
      <c r="L119" s="394"/>
      <c r="M119" s="395">
        <f t="shared" si="24"/>
        <v>0</v>
      </c>
      <c r="N119" s="393"/>
      <c r="O119" s="396">
        <f t="shared" si="25"/>
        <v>0</v>
      </c>
    </row>
    <row r="120" spans="1:15" hidden="1" x14ac:dyDescent="0.2">
      <c r="A120" s="416" t="s">
        <v>619</v>
      </c>
      <c r="B120" s="416"/>
      <c r="C120" s="420">
        <v>69801563</v>
      </c>
      <c r="D120" s="387">
        <v>0</v>
      </c>
      <c r="E120" s="388">
        <f t="shared" ref="E120:E129" si="26">+D120*0.2</f>
        <v>0</v>
      </c>
      <c r="F120" s="387">
        <v>0</v>
      </c>
      <c r="G120" s="388">
        <f t="shared" si="23"/>
        <v>0</v>
      </c>
      <c r="H120" s="410"/>
      <c r="I120" s="414">
        <v>68861966</v>
      </c>
      <c r="J120" s="387">
        <v>48960</v>
      </c>
      <c r="K120" s="395"/>
      <c r="L120" s="394"/>
      <c r="M120" s="399">
        <f t="shared" si="24"/>
        <v>0</v>
      </c>
      <c r="N120" s="400"/>
      <c r="O120" s="396">
        <f t="shared" si="25"/>
        <v>0</v>
      </c>
    </row>
    <row r="121" spans="1:15" hidden="1" x14ac:dyDescent="0.2">
      <c r="A121" s="416" t="s">
        <v>620</v>
      </c>
      <c r="B121" s="416"/>
      <c r="C121" s="421">
        <v>44658716</v>
      </c>
      <c r="D121" s="387">
        <v>0</v>
      </c>
      <c r="E121" s="388">
        <f t="shared" si="26"/>
        <v>0</v>
      </c>
      <c r="F121" s="387">
        <v>0</v>
      </c>
      <c r="G121" s="388">
        <f t="shared" si="23"/>
        <v>0</v>
      </c>
      <c r="H121" s="410"/>
      <c r="I121" s="414">
        <v>43934524</v>
      </c>
      <c r="J121" s="387">
        <v>360000</v>
      </c>
      <c r="K121" s="395"/>
      <c r="L121" s="394"/>
      <c r="M121" s="399">
        <f t="shared" si="24"/>
        <v>0</v>
      </c>
      <c r="N121" s="400"/>
      <c r="O121" s="396">
        <f t="shared" si="25"/>
        <v>0</v>
      </c>
    </row>
    <row r="122" spans="1:15" hidden="1" x14ac:dyDescent="0.2">
      <c r="A122" s="416" t="s">
        <v>621</v>
      </c>
      <c r="B122" s="416"/>
      <c r="C122" s="420">
        <v>49756233</v>
      </c>
      <c r="D122" s="387">
        <v>0</v>
      </c>
      <c r="E122" s="388">
        <f t="shared" si="26"/>
        <v>0</v>
      </c>
      <c r="F122" s="387">
        <v>0</v>
      </c>
      <c r="G122" s="388">
        <f t="shared" si="23"/>
        <v>0</v>
      </c>
      <c r="H122" s="410"/>
      <c r="I122" s="414">
        <v>49322132</v>
      </c>
      <c r="J122" s="387">
        <v>813075</v>
      </c>
      <c r="K122" s="395">
        <f t="shared" ref="K122:K128" si="27">+J122*0.2</f>
        <v>162615</v>
      </c>
      <c r="L122" s="394">
        <v>363300</v>
      </c>
      <c r="M122" s="399">
        <f t="shared" si="24"/>
        <v>72660</v>
      </c>
      <c r="N122" s="400"/>
      <c r="O122" s="396">
        <f t="shared" si="25"/>
        <v>-235275</v>
      </c>
    </row>
    <row r="123" spans="1:15" hidden="1" x14ac:dyDescent="0.2">
      <c r="A123" s="416" t="s">
        <v>622</v>
      </c>
      <c r="B123" s="416"/>
      <c r="C123" s="420">
        <v>37948199</v>
      </c>
      <c r="D123" s="387">
        <v>0</v>
      </c>
      <c r="E123" s="388">
        <f t="shared" si="26"/>
        <v>0</v>
      </c>
      <c r="F123" s="387">
        <v>0</v>
      </c>
      <c r="G123" s="388">
        <f t="shared" si="23"/>
        <v>0</v>
      </c>
      <c r="H123" s="410"/>
      <c r="I123" s="414">
        <v>37199229</v>
      </c>
      <c r="J123" s="387">
        <v>10519815</v>
      </c>
      <c r="K123" s="395">
        <f t="shared" si="27"/>
        <v>2103963</v>
      </c>
      <c r="L123" s="394">
        <v>342115</v>
      </c>
      <c r="M123" s="399">
        <f t="shared" si="24"/>
        <v>68423</v>
      </c>
      <c r="N123" s="400"/>
      <c r="O123" s="396">
        <f t="shared" si="25"/>
        <v>-2172386</v>
      </c>
    </row>
    <row r="124" spans="1:15" hidden="1" x14ac:dyDescent="0.2">
      <c r="A124" s="416" t="s">
        <v>623</v>
      </c>
      <c r="B124" s="416">
        <v>161280</v>
      </c>
      <c r="C124" s="420">
        <v>37404027</v>
      </c>
      <c r="D124" s="387">
        <v>1283695</v>
      </c>
      <c r="E124" s="388">
        <f t="shared" si="26"/>
        <v>256739</v>
      </c>
      <c r="F124" s="387">
        <v>3420935</v>
      </c>
      <c r="G124" s="388">
        <f t="shared" ref="G124:G129" si="28">+F124*0.06</f>
        <v>205256.1</v>
      </c>
      <c r="H124" s="410"/>
      <c r="I124" s="414">
        <v>36916480</v>
      </c>
      <c r="J124" s="387">
        <v>1746605</v>
      </c>
      <c r="K124" s="395">
        <f t="shared" si="27"/>
        <v>349321</v>
      </c>
      <c r="L124" s="394">
        <v>2147495</v>
      </c>
      <c r="M124" s="399">
        <f t="shared" si="24"/>
        <v>429499</v>
      </c>
      <c r="N124" s="400"/>
      <c r="O124" s="396">
        <f t="shared" ref="O124:O129" si="29">+E124+G124-K124-M124</f>
        <v>-316824.90000000002</v>
      </c>
    </row>
    <row r="125" spans="1:15" hidden="1" x14ac:dyDescent="0.2">
      <c r="A125" s="416" t="s">
        <v>624</v>
      </c>
      <c r="B125" s="416">
        <v>180180</v>
      </c>
      <c r="C125" s="420">
        <v>38137881</v>
      </c>
      <c r="D125" s="387">
        <v>1351350</v>
      </c>
      <c r="E125" s="388">
        <f t="shared" si="26"/>
        <v>270270</v>
      </c>
      <c r="F125" s="387">
        <v>3807578</v>
      </c>
      <c r="G125" s="388">
        <f t="shared" si="28"/>
        <v>228454.68</v>
      </c>
      <c r="H125" s="410"/>
      <c r="I125" s="414">
        <v>37585630</v>
      </c>
      <c r="J125" s="387">
        <v>1258315</v>
      </c>
      <c r="K125" s="395">
        <f t="shared" si="27"/>
        <v>251663</v>
      </c>
      <c r="L125" s="394">
        <v>1869075</v>
      </c>
      <c r="M125" s="399">
        <f t="shared" si="24"/>
        <v>373815</v>
      </c>
      <c r="N125" s="400"/>
      <c r="O125" s="396">
        <f t="shared" si="29"/>
        <v>-126753.32</v>
      </c>
    </row>
    <row r="126" spans="1:15" hidden="1" x14ac:dyDescent="0.2">
      <c r="A126" s="416" t="s">
        <v>625</v>
      </c>
      <c r="B126" s="416"/>
      <c r="C126" s="420">
        <v>50094369</v>
      </c>
      <c r="D126" s="387">
        <v>16769275</v>
      </c>
      <c r="E126" s="388">
        <f t="shared" si="26"/>
        <v>3353855</v>
      </c>
      <c r="F126" s="387">
        <v>2264150</v>
      </c>
      <c r="G126" s="388">
        <f t="shared" si="28"/>
        <v>135849</v>
      </c>
      <c r="H126" s="410"/>
      <c r="I126" s="414">
        <v>50779237</v>
      </c>
      <c r="J126" s="387">
        <v>86270</v>
      </c>
      <c r="K126" s="395">
        <f t="shared" si="27"/>
        <v>17254</v>
      </c>
      <c r="L126" s="394">
        <v>599940</v>
      </c>
      <c r="M126" s="399">
        <f t="shared" si="24"/>
        <v>119988</v>
      </c>
      <c r="N126" s="400"/>
      <c r="O126" s="396">
        <f t="shared" si="29"/>
        <v>3352462</v>
      </c>
    </row>
    <row r="127" spans="1:15" hidden="1" x14ac:dyDescent="0.2">
      <c r="A127" s="416" t="s">
        <v>626</v>
      </c>
      <c r="B127" s="416"/>
      <c r="C127" s="420">
        <v>22858891</v>
      </c>
      <c r="D127" s="387">
        <v>0</v>
      </c>
      <c r="E127" s="388">
        <f t="shared" si="26"/>
        <v>0</v>
      </c>
      <c r="F127" s="387">
        <v>0</v>
      </c>
      <c r="G127" s="388">
        <f t="shared" si="28"/>
        <v>0</v>
      </c>
      <c r="H127" s="410"/>
      <c r="I127" s="414">
        <v>22653561</v>
      </c>
      <c r="J127" s="387"/>
      <c r="K127" s="395">
        <f t="shared" si="27"/>
        <v>0</v>
      </c>
      <c r="L127" s="394"/>
      <c r="M127" s="399">
        <f t="shared" si="24"/>
        <v>0</v>
      </c>
      <c r="N127" s="400"/>
      <c r="O127" s="396">
        <f t="shared" si="29"/>
        <v>0</v>
      </c>
    </row>
    <row r="128" spans="1:15" hidden="1" x14ac:dyDescent="0.2">
      <c r="A128" s="416" t="s">
        <v>627</v>
      </c>
      <c r="B128" s="416"/>
      <c r="C128" s="420">
        <v>25048985</v>
      </c>
      <c r="D128" s="387">
        <v>0</v>
      </c>
      <c r="E128" s="388">
        <f t="shared" si="26"/>
        <v>0</v>
      </c>
      <c r="F128" s="387">
        <v>0</v>
      </c>
      <c r="G128" s="388">
        <f t="shared" si="28"/>
        <v>0</v>
      </c>
      <c r="H128" s="410"/>
      <c r="I128" s="414">
        <v>24856517</v>
      </c>
      <c r="J128" s="387"/>
      <c r="K128" s="395">
        <f t="shared" si="27"/>
        <v>0</v>
      </c>
      <c r="L128" s="394"/>
      <c r="M128" s="399">
        <f t="shared" si="24"/>
        <v>0</v>
      </c>
      <c r="N128" s="400"/>
      <c r="O128" s="396">
        <f t="shared" si="29"/>
        <v>0</v>
      </c>
    </row>
    <row r="129" spans="1:15" ht="15.75" hidden="1" thickBot="1" x14ac:dyDescent="0.25">
      <c r="A129" s="469" t="s">
        <v>628</v>
      </c>
      <c r="B129" s="469"/>
      <c r="C129" s="470">
        <v>26507666</v>
      </c>
      <c r="D129" s="471"/>
      <c r="E129" s="472">
        <f t="shared" si="26"/>
        <v>0</v>
      </c>
      <c r="F129" s="471"/>
      <c r="G129" s="388">
        <f t="shared" si="28"/>
        <v>0</v>
      </c>
      <c r="H129" s="473"/>
      <c r="I129" s="474">
        <v>26265139</v>
      </c>
      <c r="J129" s="471"/>
      <c r="K129" s="475"/>
      <c r="L129" s="476"/>
      <c r="M129" s="477">
        <f t="shared" si="24"/>
        <v>0</v>
      </c>
      <c r="N129" s="478"/>
      <c r="O129" s="396">
        <f t="shared" si="29"/>
        <v>0</v>
      </c>
    </row>
    <row r="130" spans="1:15" ht="15.75" hidden="1" thickBot="1" x14ac:dyDescent="0.25">
      <c r="A130" s="480"/>
      <c r="B130" s="499"/>
      <c r="C130" s="481"/>
      <c r="D130" s="481"/>
      <c r="E130" s="481"/>
      <c r="F130" s="481"/>
      <c r="G130" s="481"/>
      <c r="H130" s="482"/>
      <c r="I130" s="481"/>
      <c r="J130" s="481"/>
      <c r="K130" s="481"/>
      <c r="L130" s="481"/>
      <c r="M130" s="481"/>
      <c r="N130" s="482"/>
      <c r="O130" s="483"/>
    </row>
    <row r="131" spans="1:15" ht="15.75" hidden="1" thickBot="1" x14ac:dyDescent="0.25">
      <c r="A131" s="484" t="s">
        <v>629</v>
      </c>
      <c r="B131" s="501">
        <f>SUM(B118:B129)</f>
        <v>341460</v>
      </c>
      <c r="C131" s="501">
        <f t="shared" ref="C131:O131" si="30">SUM(C118:C129)</f>
        <v>489919347</v>
      </c>
      <c r="D131" s="501">
        <f t="shared" si="30"/>
        <v>19404320</v>
      </c>
      <c r="E131" s="501">
        <f t="shared" si="30"/>
        <v>3880864</v>
      </c>
      <c r="F131" s="501">
        <f t="shared" si="30"/>
        <v>9492663</v>
      </c>
      <c r="G131" s="501">
        <f t="shared" si="30"/>
        <v>569559.78</v>
      </c>
      <c r="H131" s="501">
        <f t="shared" si="30"/>
        <v>0</v>
      </c>
      <c r="I131" s="501">
        <f t="shared" si="30"/>
        <v>484492850</v>
      </c>
      <c r="J131" s="501">
        <f t="shared" si="30"/>
        <v>14833040</v>
      </c>
      <c r="K131" s="501">
        <f t="shared" si="30"/>
        <v>2884816</v>
      </c>
      <c r="L131" s="501">
        <f t="shared" si="30"/>
        <v>5321925</v>
      </c>
      <c r="M131" s="501">
        <f t="shared" si="30"/>
        <v>1064385</v>
      </c>
      <c r="N131" s="501">
        <f t="shared" si="30"/>
        <v>0</v>
      </c>
      <c r="O131" s="501">
        <f t="shared" si="30"/>
        <v>501222.78000000026</v>
      </c>
    </row>
    <row r="132" spans="1:15" hidden="1" x14ac:dyDescent="0.2">
      <c r="G132" s="502">
        <f>SUM(E131+G131)</f>
        <v>4450423.78</v>
      </c>
      <c r="M132" s="502">
        <f>+K131+M131</f>
        <v>3949201</v>
      </c>
    </row>
    <row r="133" spans="1:15" hidden="1" x14ac:dyDescent="0.2">
      <c r="A133" s="380" t="s">
        <v>630</v>
      </c>
      <c r="C133" s="397">
        <f>+B131+C131+D131+F131</f>
        <v>519157790</v>
      </c>
      <c r="I133" s="397">
        <f>+I131+J131+L131</f>
        <v>504647815</v>
      </c>
      <c r="J133" s="397"/>
      <c r="K133" s="397"/>
    </row>
    <row r="134" spans="1:15" hidden="1" x14ac:dyDescent="0.2"/>
    <row r="135" spans="1:15" hidden="1" x14ac:dyDescent="0.2">
      <c r="I135" s="397">
        <f>+C133-I133</f>
        <v>14509975</v>
      </c>
    </row>
    <row r="136" spans="1:15" hidden="1" x14ac:dyDescent="0.2"/>
    <row r="137" spans="1:15" ht="15.75" x14ac:dyDescent="0.25">
      <c r="A137" s="379" t="s">
        <v>729</v>
      </c>
      <c r="B137" s="379"/>
    </row>
    <row r="138" spans="1:15" ht="16.5" thickBot="1" x14ac:dyDescent="0.3">
      <c r="A138" s="379" t="s">
        <v>609</v>
      </c>
      <c r="B138" s="379"/>
      <c r="J138" s="267" t="s">
        <v>699</v>
      </c>
      <c r="L138" s="380" t="s">
        <v>611</v>
      </c>
    </row>
    <row r="139" spans="1:15" ht="16.5" thickBot="1" x14ac:dyDescent="0.3">
      <c r="A139" s="381"/>
      <c r="B139" s="412" t="s">
        <v>700</v>
      </c>
      <c r="C139" s="382" t="s">
        <v>631</v>
      </c>
      <c r="D139" s="383" t="s">
        <v>612</v>
      </c>
      <c r="E139" s="383" t="s">
        <v>701</v>
      </c>
      <c r="F139" s="383" t="s">
        <v>612</v>
      </c>
      <c r="G139" s="383" t="s">
        <v>702</v>
      </c>
      <c r="H139" s="384"/>
      <c r="I139" s="412" t="s">
        <v>614</v>
      </c>
      <c r="J139" s="383" t="s">
        <v>615</v>
      </c>
      <c r="K139" s="383" t="s">
        <v>613</v>
      </c>
      <c r="L139" s="383" t="s">
        <v>615</v>
      </c>
      <c r="M139" s="383" t="s">
        <v>613</v>
      </c>
      <c r="N139" s="385"/>
      <c r="O139" s="386" t="s">
        <v>616</v>
      </c>
    </row>
    <row r="140" spans="1:15" x14ac:dyDescent="0.2">
      <c r="A140" s="418" t="s">
        <v>617</v>
      </c>
      <c r="B140" s="418">
        <v>0</v>
      </c>
      <c r="C140" s="419">
        <v>16586146</v>
      </c>
      <c r="D140" s="387"/>
      <c r="E140" s="389">
        <f>+D140*0.2</f>
        <v>0</v>
      </c>
      <c r="F140" s="387">
        <v>0</v>
      </c>
      <c r="G140" s="389">
        <f t="shared" ref="G140:G145" si="31">+F140*0.2</f>
        <v>0</v>
      </c>
      <c r="H140" s="409"/>
      <c r="I140" s="415">
        <v>16191915</v>
      </c>
      <c r="J140" s="411">
        <v>3758130</v>
      </c>
      <c r="K140" s="392">
        <f>+J140*0.2</f>
        <v>751626</v>
      </c>
      <c r="L140" s="391"/>
      <c r="M140" s="392">
        <f t="shared" ref="M140:M151" si="32">+L140*0.2</f>
        <v>0</v>
      </c>
      <c r="N140" s="393"/>
      <c r="O140" s="396">
        <f>+E140-K140-M140</f>
        <v>-751626</v>
      </c>
    </row>
    <row r="141" spans="1:15" x14ac:dyDescent="0.2">
      <c r="A141" s="416" t="s">
        <v>618</v>
      </c>
      <c r="B141" s="416"/>
      <c r="C141" s="420">
        <v>16882978</v>
      </c>
      <c r="D141" s="387"/>
      <c r="E141" s="389">
        <f>+D141*0.2</f>
        <v>0</v>
      </c>
      <c r="F141" s="387">
        <v>0</v>
      </c>
      <c r="G141" s="389">
        <f t="shared" si="31"/>
        <v>0</v>
      </c>
      <c r="H141" s="409"/>
      <c r="I141" s="414">
        <v>16423043</v>
      </c>
      <c r="J141" s="387"/>
      <c r="K141" s="395">
        <f>+J141*0.2</f>
        <v>0</v>
      </c>
      <c r="L141" s="394"/>
      <c r="M141" s="395">
        <f t="shared" si="32"/>
        <v>0</v>
      </c>
      <c r="N141" s="393"/>
      <c r="O141" s="396">
        <f>+E141-K141-M141</f>
        <v>0</v>
      </c>
    </row>
    <row r="142" spans="1:15" x14ac:dyDescent="0.2">
      <c r="A142" s="416" t="s">
        <v>619</v>
      </c>
      <c r="B142" s="416"/>
      <c r="C142" s="420">
        <v>21617810</v>
      </c>
      <c r="D142" s="387"/>
      <c r="E142" s="388">
        <f t="shared" ref="E142:E151" si="33">+D142*0.2</f>
        <v>0</v>
      </c>
      <c r="F142" s="387">
        <v>0</v>
      </c>
      <c r="G142" s="388">
        <f t="shared" si="31"/>
        <v>0</v>
      </c>
      <c r="H142" s="410"/>
      <c r="I142" s="414">
        <v>21879284</v>
      </c>
      <c r="J142" s="387"/>
      <c r="K142" s="395"/>
      <c r="L142" s="394">
        <v>1159070</v>
      </c>
      <c r="M142" s="399">
        <f t="shared" si="32"/>
        <v>231814</v>
      </c>
      <c r="N142" s="400"/>
      <c r="O142" s="396">
        <f t="shared" ref="O142:O151" si="34">+E142-K142-M142</f>
        <v>-231814</v>
      </c>
    </row>
    <row r="143" spans="1:15" x14ac:dyDescent="0.2">
      <c r="A143" s="416" t="s">
        <v>620</v>
      </c>
      <c r="B143" s="416"/>
      <c r="C143" s="421">
        <v>26562432</v>
      </c>
      <c r="D143" s="387"/>
      <c r="E143" s="388">
        <f t="shared" si="33"/>
        <v>0</v>
      </c>
      <c r="F143" s="387">
        <v>0</v>
      </c>
      <c r="G143" s="388">
        <f t="shared" si="31"/>
        <v>0</v>
      </c>
      <c r="H143" s="410"/>
      <c r="I143" s="414">
        <v>24110791</v>
      </c>
      <c r="J143" s="387"/>
      <c r="K143" s="395"/>
      <c r="L143" s="394">
        <v>100210</v>
      </c>
      <c r="M143" s="399">
        <f t="shared" si="32"/>
        <v>20042</v>
      </c>
      <c r="N143" s="400"/>
      <c r="O143" s="396">
        <f t="shared" si="34"/>
        <v>-20042</v>
      </c>
    </row>
    <row r="144" spans="1:15" x14ac:dyDescent="0.2">
      <c r="A144" s="416" t="s">
        <v>621</v>
      </c>
      <c r="B144" s="416"/>
      <c r="C144" s="420">
        <v>26527960</v>
      </c>
      <c r="D144" s="387"/>
      <c r="E144" s="388">
        <f t="shared" si="33"/>
        <v>0</v>
      </c>
      <c r="F144" s="387">
        <v>0</v>
      </c>
      <c r="G144" s="388">
        <f t="shared" si="31"/>
        <v>0</v>
      </c>
      <c r="H144" s="410"/>
      <c r="I144" s="414">
        <v>23889952</v>
      </c>
      <c r="J144" s="387"/>
      <c r="K144" s="395">
        <f t="shared" ref="K144:K150" si="35">+J144*0.2</f>
        <v>0</v>
      </c>
      <c r="L144" s="394">
        <v>826665</v>
      </c>
      <c r="M144" s="399">
        <f t="shared" si="32"/>
        <v>165333</v>
      </c>
      <c r="N144" s="400"/>
      <c r="O144" s="396">
        <f t="shared" si="34"/>
        <v>-165333</v>
      </c>
    </row>
    <row r="145" spans="1:15" x14ac:dyDescent="0.2">
      <c r="A145" s="416" t="s">
        <v>622</v>
      </c>
      <c r="B145" s="416"/>
      <c r="C145" s="420">
        <v>42938396</v>
      </c>
      <c r="D145" s="387">
        <v>2251000</v>
      </c>
      <c r="E145" s="388">
        <f t="shared" si="33"/>
        <v>450200</v>
      </c>
      <c r="F145" s="387">
        <v>0</v>
      </c>
      <c r="G145" s="388">
        <f t="shared" si="31"/>
        <v>0</v>
      </c>
      <c r="H145" s="410"/>
      <c r="I145" s="414">
        <v>55030946</v>
      </c>
      <c r="J145" s="387"/>
      <c r="K145" s="395">
        <f t="shared" si="35"/>
        <v>0</v>
      </c>
      <c r="L145" s="394"/>
      <c r="M145" s="399">
        <f t="shared" si="32"/>
        <v>0</v>
      </c>
      <c r="N145" s="400"/>
      <c r="O145" s="396">
        <f t="shared" si="34"/>
        <v>450200</v>
      </c>
    </row>
    <row r="146" spans="1:15" x14ac:dyDescent="0.2">
      <c r="A146" s="416" t="s">
        <v>623</v>
      </c>
      <c r="B146" s="416"/>
      <c r="C146" s="420">
        <v>68239407</v>
      </c>
      <c r="D146" s="387"/>
      <c r="E146" s="388">
        <f t="shared" si="33"/>
        <v>0</v>
      </c>
      <c r="F146" s="387">
        <v>0</v>
      </c>
      <c r="G146" s="388">
        <f t="shared" ref="G146:G151" si="36">+F146*0.06</f>
        <v>0</v>
      </c>
      <c r="H146" s="410"/>
      <c r="I146" s="414">
        <v>44465068</v>
      </c>
      <c r="J146" s="387"/>
      <c r="K146" s="395">
        <f t="shared" si="35"/>
        <v>0</v>
      </c>
      <c r="L146" s="394"/>
      <c r="M146" s="399">
        <f t="shared" si="32"/>
        <v>0</v>
      </c>
      <c r="N146" s="400"/>
      <c r="O146" s="396">
        <f t="shared" si="34"/>
        <v>0</v>
      </c>
    </row>
    <row r="147" spans="1:15" x14ac:dyDescent="0.2">
      <c r="A147" s="416" t="s">
        <v>624</v>
      </c>
      <c r="B147" s="416"/>
      <c r="C147" s="420">
        <v>53042486</v>
      </c>
      <c r="D147" s="387">
        <v>1875000</v>
      </c>
      <c r="E147" s="388">
        <f t="shared" si="33"/>
        <v>375000</v>
      </c>
      <c r="F147" s="387">
        <v>0</v>
      </c>
      <c r="G147" s="388">
        <f t="shared" si="36"/>
        <v>0</v>
      </c>
      <c r="H147" s="410"/>
      <c r="I147" s="414">
        <v>63191914</v>
      </c>
      <c r="J147" s="387"/>
      <c r="K147" s="395">
        <f t="shared" si="35"/>
        <v>0</v>
      </c>
      <c r="L147" s="394">
        <v>1812717</v>
      </c>
      <c r="M147" s="399">
        <f>+L147*0.06</f>
        <v>108763.01999999999</v>
      </c>
      <c r="N147" s="400"/>
      <c r="O147" s="396">
        <f t="shared" si="34"/>
        <v>266236.98</v>
      </c>
    </row>
    <row r="148" spans="1:15" x14ac:dyDescent="0.2">
      <c r="A148" s="416" t="s">
        <v>625</v>
      </c>
      <c r="B148" s="416"/>
      <c r="C148" s="420">
        <v>68323212</v>
      </c>
      <c r="D148" s="387"/>
      <c r="E148" s="388">
        <f t="shared" si="33"/>
        <v>0</v>
      </c>
      <c r="F148" s="387">
        <v>0</v>
      </c>
      <c r="G148" s="388">
        <f t="shared" si="36"/>
        <v>0</v>
      </c>
      <c r="H148" s="410"/>
      <c r="I148" s="414">
        <v>57618117</v>
      </c>
      <c r="J148" s="387"/>
      <c r="K148" s="395">
        <f t="shared" si="35"/>
        <v>0</v>
      </c>
      <c r="L148" s="394"/>
      <c r="M148" s="399">
        <f t="shared" si="32"/>
        <v>0</v>
      </c>
      <c r="N148" s="400"/>
      <c r="O148" s="396">
        <f t="shared" si="34"/>
        <v>0</v>
      </c>
    </row>
    <row r="149" spans="1:15" x14ac:dyDescent="0.2">
      <c r="A149" s="416" t="s">
        <v>626</v>
      </c>
      <c r="B149" s="416"/>
      <c r="C149" s="420">
        <v>26584933</v>
      </c>
      <c r="D149" s="387"/>
      <c r="E149" s="388">
        <f t="shared" si="33"/>
        <v>0</v>
      </c>
      <c r="F149" s="387">
        <v>0</v>
      </c>
      <c r="G149" s="388">
        <f t="shared" si="36"/>
        <v>0</v>
      </c>
      <c r="H149" s="410"/>
      <c r="I149" s="414">
        <v>40824244</v>
      </c>
      <c r="J149" s="387"/>
      <c r="K149" s="395">
        <f t="shared" si="35"/>
        <v>0</v>
      </c>
      <c r="L149" s="394"/>
      <c r="M149" s="399">
        <f t="shared" si="32"/>
        <v>0</v>
      </c>
      <c r="N149" s="400"/>
      <c r="O149" s="396">
        <f t="shared" si="34"/>
        <v>0</v>
      </c>
    </row>
    <row r="150" spans="1:15" x14ac:dyDescent="0.2">
      <c r="A150" s="416" t="s">
        <v>627</v>
      </c>
      <c r="B150" s="416"/>
      <c r="C150" s="420">
        <v>15873612</v>
      </c>
      <c r="D150" s="387">
        <v>37955</v>
      </c>
      <c r="E150" s="388">
        <f t="shared" si="33"/>
        <v>7591</v>
      </c>
      <c r="F150" s="387">
        <v>0</v>
      </c>
      <c r="G150" s="388">
        <f t="shared" si="36"/>
        <v>0</v>
      </c>
      <c r="H150" s="410"/>
      <c r="I150" s="414">
        <v>20476576</v>
      </c>
      <c r="J150" s="387"/>
      <c r="K150" s="395">
        <f t="shared" si="35"/>
        <v>0</v>
      </c>
      <c r="L150" s="394"/>
      <c r="M150" s="399">
        <f t="shared" si="32"/>
        <v>0</v>
      </c>
      <c r="N150" s="400"/>
      <c r="O150" s="396">
        <f t="shared" si="34"/>
        <v>7591</v>
      </c>
    </row>
    <row r="151" spans="1:15" ht="15.75" thickBot="1" x14ac:dyDescent="0.25">
      <c r="A151" s="469" t="s">
        <v>628</v>
      </c>
      <c r="B151" s="469"/>
      <c r="C151" s="470">
        <v>15188532</v>
      </c>
      <c r="D151" s="471"/>
      <c r="E151" s="472">
        <f t="shared" si="33"/>
        <v>0</v>
      </c>
      <c r="F151" s="471"/>
      <c r="G151" s="388">
        <f t="shared" si="36"/>
        <v>0</v>
      </c>
      <c r="H151" s="473"/>
      <c r="I151" s="474">
        <v>27419040</v>
      </c>
      <c r="J151" s="471"/>
      <c r="K151" s="475"/>
      <c r="L151" s="476"/>
      <c r="M151" s="477">
        <f t="shared" si="32"/>
        <v>0</v>
      </c>
      <c r="N151" s="478"/>
      <c r="O151" s="396">
        <f t="shared" si="34"/>
        <v>0</v>
      </c>
    </row>
    <row r="152" spans="1:15" ht="15.75" thickBot="1" x14ac:dyDescent="0.25">
      <c r="A152" s="480"/>
      <c r="B152" s="499"/>
      <c r="C152" s="481"/>
      <c r="D152" s="481"/>
      <c r="E152" s="481"/>
      <c r="F152" s="481"/>
      <c r="G152" s="481"/>
      <c r="H152" s="482"/>
      <c r="I152" s="481"/>
      <c r="J152" s="481"/>
      <c r="K152" s="481"/>
      <c r="L152" s="481"/>
      <c r="M152" s="481"/>
      <c r="N152" s="482"/>
      <c r="O152" s="483"/>
    </row>
    <row r="153" spans="1:15" ht="15.75" thickBot="1" x14ac:dyDescent="0.25">
      <c r="A153" s="484" t="s">
        <v>629</v>
      </c>
      <c r="B153" s="501">
        <f>SUM(B140:B151)</f>
        <v>0</v>
      </c>
      <c r="C153" s="501">
        <f t="shared" ref="C153:O153" si="37">SUM(C140:C151)</f>
        <v>398367904</v>
      </c>
      <c r="D153" s="501">
        <f t="shared" si="37"/>
        <v>4163955</v>
      </c>
      <c r="E153" s="501">
        <f t="shared" si="37"/>
        <v>832791</v>
      </c>
      <c r="F153" s="501">
        <f t="shared" si="37"/>
        <v>0</v>
      </c>
      <c r="G153" s="501">
        <f t="shared" si="37"/>
        <v>0</v>
      </c>
      <c r="H153" s="501">
        <f t="shared" si="37"/>
        <v>0</v>
      </c>
      <c r="I153" s="501">
        <f t="shared" si="37"/>
        <v>411520890</v>
      </c>
      <c r="J153" s="501">
        <f t="shared" si="37"/>
        <v>3758130</v>
      </c>
      <c r="K153" s="501">
        <f t="shared" si="37"/>
        <v>751626</v>
      </c>
      <c r="L153" s="501">
        <f t="shared" si="37"/>
        <v>3898662</v>
      </c>
      <c r="M153" s="501">
        <f t="shared" si="37"/>
        <v>525952.02</v>
      </c>
      <c r="N153" s="501">
        <f t="shared" si="37"/>
        <v>0</v>
      </c>
      <c r="O153" s="501">
        <f t="shared" si="37"/>
        <v>-444787.02</v>
      </c>
    </row>
    <row r="154" spans="1:15" x14ac:dyDescent="0.2">
      <c r="G154" s="502">
        <f>SUM(E153+G153)</f>
        <v>832791</v>
      </c>
      <c r="M154" s="502">
        <f>+K153+M153</f>
        <v>1277578.02</v>
      </c>
    </row>
    <row r="155" spans="1:15" x14ac:dyDescent="0.2">
      <c r="A155" s="380" t="s">
        <v>630</v>
      </c>
      <c r="C155" s="397">
        <f>+C153+D153</f>
        <v>402531859</v>
      </c>
      <c r="I155" s="397">
        <f>+I153+L153</f>
        <v>415419552</v>
      </c>
      <c r="J155" s="397"/>
      <c r="K155" s="397"/>
    </row>
    <row r="157" spans="1:15" x14ac:dyDescent="0.2">
      <c r="I157" s="397">
        <f>+C155-I155</f>
        <v>-12887693</v>
      </c>
    </row>
  </sheetData>
  <phoneticPr fontId="3" type="noConversion"/>
  <pageMargins left="0.74803149606299213" right="0.74803149606299213" top="0.98425196850393704" bottom="0.98425196850393704" header="0.51181102362204722" footer="0.51181102362204722"/>
  <pageSetup paperSize="9" scale="78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A8" sqref="A8"/>
    </sheetView>
  </sheetViews>
  <sheetFormatPr defaultRowHeight="12.75" x14ac:dyDescent="0.2"/>
  <cols>
    <col min="2" max="2" width="16.140625" customWidth="1"/>
    <col min="3" max="3" width="10.140625" bestFit="1" customWidth="1"/>
  </cols>
  <sheetData>
    <row r="1" spans="1:5" x14ac:dyDescent="0.2">
      <c r="A1" t="s">
        <v>730</v>
      </c>
      <c r="B1" t="s">
        <v>732</v>
      </c>
      <c r="C1" t="s">
        <v>733</v>
      </c>
      <c r="D1" t="s">
        <v>734</v>
      </c>
      <c r="E1" t="s">
        <v>735</v>
      </c>
    </row>
    <row r="2" spans="1:5" x14ac:dyDescent="0.2">
      <c r="A2" t="s">
        <v>731</v>
      </c>
      <c r="B2" s="519">
        <v>40.840000000000003</v>
      </c>
      <c r="C2" s="519">
        <v>-193788.6</v>
      </c>
      <c r="D2" s="519">
        <v>26.97</v>
      </c>
      <c r="E2" s="519">
        <v>1970.42</v>
      </c>
    </row>
    <row r="3" spans="1:5" x14ac:dyDescent="0.2">
      <c r="A3" s="520" t="s">
        <v>731</v>
      </c>
      <c r="B3" s="519"/>
      <c r="C3" s="519">
        <v>-905.53</v>
      </c>
      <c r="D3" s="519"/>
      <c r="E3" s="519"/>
    </row>
    <row r="4" spans="1:5" x14ac:dyDescent="0.2">
      <c r="A4" s="520" t="s">
        <v>737</v>
      </c>
      <c r="B4" s="519">
        <v>19875.810000000001</v>
      </c>
      <c r="C4" s="519">
        <v>557.69000000000005</v>
      </c>
      <c r="D4" s="519"/>
      <c r="E4" s="519"/>
    </row>
    <row r="5" spans="1:5" x14ac:dyDescent="0.2">
      <c r="A5" s="520" t="s">
        <v>737</v>
      </c>
      <c r="B5" s="519"/>
      <c r="C5" s="519">
        <v>1330.27</v>
      </c>
      <c r="D5" s="519"/>
      <c r="E5" s="519"/>
    </row>
    <row r="6" spans="1:5" x14ac:dyDescent="0.2">
      <c r="A6" s="520" t="s">
        <v>738</v>
      </c>
      <c r="B6" s="519">
        <v>8416.36</v>
      </c>
      <c r="C6" s="519">
        <v>513.72</v>
      </c>
      <c r="D6" s="519"/>
      <c r="E6" s="519"/>
    </row>
    <row r="7" spans="1:5" x14ac:dyDescent="0.2">
      <c r="A7" s="520" t="s">
        <v>745</v>
      </c>
      <c r="B7" s="519"/>
      <c r="C7" s="519">
        <v>-7569.93</v>
      </c>
      <c r="D7" s="519"/>
      <c r="E7" s="519"/>
    </row>
    <row r="8" spans="1:5" x14ac:dyDescent="0.2">
      <c r="B8" s="519"/>
      <c r="C8" s="519"/>
      <c r="D8" s="519"/>
      <c r="E8" s="519"/>
    </row>
    <row r="9" spans="1:5" x14ac:dyDescent="0.2">
      <c r="A9" s="520" t="s">
        <v>629</v>
      </c>
      <c r="B9" s="519">
        <f>SUM(B2:B8)</f>
        <v>28333.010000000002</v>
      </c>
      <c r="C9" s="519">
        <f>SUM(C2:C8)</f>
        <v>-199862.38</v>
      </c>
      <c r="D9" s="519">
        <f>SUM(D2:D8)</f>
        <v>26.97</v>
      </c>
      <c r="E9" s="519">
        <f>SUM(E2:E8)</f>
        <v>1970.42</v>
      </c>
    </row>
    <row r="10" spans="1:5" x14ac:dyDescent="0.2">
      <c r="A10" s="520" t="s">
        <v>736</v>
      </c>
      <c r="B10">
        <v>1</v>
      </c>
      <c r="C10" s="519">
        <v>121.77</v>
      </c>
      <c r="D10">
        <v>108.64</v>
      </c>
      <c r="E10">
        <v>143</v>
      </c>
    </row>
    <row r="12" spans="1:5" x14ac:dyDescent="0.2">
      <c r="B12">
        <f>+B9*B10</f>
        <v>28333.010000000002</v>
      </c>
      <c r="C12">
        <f>+C9*C10</f>
        <v>-24337242.012600001</v>
      </c>
      <c r="D12">
        <f>+D9*D10</f>
        <v>2930.0207999999998</v>
      </c>
      <c r="E12">
        <f>+E9*E10</f>
        <v>281770.06</v>
      </c>
    </row>
    <row r="13" spans="1:5" x14ac:dyDescent="0.2">
      <c r="A13" s="520" t="s">
        <v>739</v>
      </c>
      <c r="B13">
        <f>SUM(B12:E12)</f>
        <v>-24024208.921800002</v>
      </c>
    </row>
    <row r="14" spans="1:5" x14ac:dyDescent="0.2">
      <c r="A14" s="520" t="s">
        <v>740</v>
      </c>
      <c r="B14">
        <f>192500*121.77+10000*121.77</f>
        <v>24658425</v>
      </c>
    </row>
    <row r="15" spans="1:5" x14ac:dyDescent="0.2">
      <c r="B15">
        <f>+B14+B13</f>
        <v>634216.07819999754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0"/>
    <pageSetUpPr fitToPage="1"/>
  </sheetPr>
  <dimension ref="A1:Q85"/>
  <sheetViews>
    <sheetView zoomScale="75" workbookViewId="0">
      <selection activeCell="N33" sqref="N33"/>
    </sheetView>
  </sheetViews>
  <sheetFormatPr defaultRowHeight="15.75" x14ac:dyDescent="0.25"/>
  <cols>
    <col min="1" max="1" width="4.5703125" style="88" customWidth="1"/>
    <col min="2" max="2" width="52.85546875" style="85" customWidth="1"/>
    <col min="3" max="3" width="10.42578125" style="86" customWidth="1"/>
    <col min="4" max="5" width="19.28515625" style="87" customWidth="1"/>
    <col min="6" max="12" width="19.28515625" style="87" hidden="1" customWidth="1"/>
    <col min="13" max="13" width="19" style="87" hidden="1" customWidth="1"/>
    <col min="14" max="15" width="17.140625" style="87" hidden="1" customWidth="1"/>
    <col min="16" max="16" width="11.7109375" style="88" customWidth="1"/>
    <col min="17" max="16384" width="9.140625" style="88"/>
  </cols>
  <sheetData>
    <row r="1" spans="1:15" x14ac:dyDescent="0.25">
      <c r="A1" s="26" t="s">
        <v>544</v>
      </c>
    </row>
    <row r="2" spans="1:15" x14ac:dyDescent="0.25">
      <c r="A2" s="89" t="s">
        <v>712</v>
      </c>
    </row>
    <row r="3" spans="1:15" x14ac:dyDescent="0.25">
      <c r="A3" s="89" t="s">
        <v>96</v>
      </c>
    </row>
    <row r="5" spans="1:15" ht="33" customHeight="1" thickBot="1" x14ac:dyDescent="0.3">
      <c r="A5" s="90" t="s">
        <v>0</v>
      </c>
      <c r="C5" s="86" t="s">
        <v>435</v>
      </c>
      <c r="D5" s="91" t="s">
        <v>711</v>
      </c>
      <c r="E5" s="91" t="s">
        <v>696</v>
      </c>
      <c r="F5" s="91" t="s">
        <v>684</v>
      </c>
      <c r="G5" s="91" t="s">
        <v>675</v>
      </c>
      <c r="H5" s="91" t="s">
        <v>670</v>
      </c>
      <c r="I5" s="91" t="s">
        <v>663</v>
      </c>
      <c r="J5" s="91" t="s">
        <v>648</v>
      </c>
      <c r="K5" s="91" t="s">
        <v>635</v>
      </c>
      <c r="L5" s="91" t="s">
        <v>598</v>
      </c>
      <c r="M5" s="91" t="s">
        <v>536</v>
      </c>
      <c r="N5" s="91" t="s">
        <v>521</v>
      </c>
      <c r="O5" s="91" t="s">
        <v>88</v>
      </c>
    </row>
    <row r="6" spans="1:15" ht="16.5" thickTop="1" x14ac:dyDescent="0.25">
      <c r="A6" s="90" t="s">
        <v>42</v>
      </c>
    </row>
    <row r="7" spans="1:15" x14ac:dyDescent="0.25"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</row>
    <row r="8" spans="1:15" x14ac:dyDescent="0.25">
      <c r="B8" s="85" t="s">
        <v>1</v>
      </c>
      <c r="C8" s="86" t="s">
        <v>427</v>
      </c>
      <c r="D8" s="93">
        <f>+BA!D50</f>
        <v>766616.07819999754</v>
      </c>
      <c r="E8" s="93">
        <f>+BA!E50</f>
        <v>367351</v>
      </c>
      <c r="F8" s="93">
        <f>+BA!F50</f>
        <v>8884689</v>
      </c>
      <c r="G8" s="93">
        <f>+BA!G50</f>
        <v>3829510</v>
      </c>
      <c r="H8" s="93">
        <f>+BA!H50</f>
        <v>1192392</v>
      </c>
      <c r="I8" s="93">
        <f>+BA!I50</f>
        <v>1569400</v>
      </c>
      <c r="J8" s="93">
        <f>+BA!J50</f>
        <v>731426</v>
      </c>
      <c r="K8" s="93">
        <f>+BA!K50</f>
        <v>5818367</v>
      </c>
      <c r="L8" s="93">
        <f>+BA!L50</f>
        <v>1396153</v>
      </c>
      <c r="M8" s="93">
        <f>+BA!M50</f>
        <v>1553066</v>
      </c>
      <c r="N8" s="93">
        <f>+BA!N50</f>
        <v>380491</v>
      </c>
      <c r="O8" s="93">
        <f>+BA!O50</f>
        <v>922917</v>
      </c>
    </row>
    <row r="9" spans="1:15" x14ac:dyDescent="0.25">
      <c r="B9" s="85" t="s">
        <v>41</v>
      </c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</row>
    <row r="10" spans="1:15" x14ac:dyDescent="0.25">
      <c r="B10" s="90"/>
      <c r="D10" s="95">
        <f t="shared" ref="D10:I10" si="0">SUM(D8:D9)</f>
        <v>766616.07819999754</v>
      </c>
      <c r="E10" s="95">
        <f t="shared" si="0"/>
        <v>367351</v>
      </c>
      <c r="F10" s="95">
        <f t="shared" si="0"/>
        <v>8884689</v>
      </c>
      <c r="G10" s="95">
        <f t="shared" si="0"/>
        <v>3829510</v>
      </c>
      <c r="H10" s="95">
        <f t="shared" si="0"/>
        <v>1192392</v>
      </c>
      <c r="I10" s="95">
        <f t="shared" si="0"/>
        <v>1569400</v>
      </c>
      <c r="J10" s="95">
        <f t="shared" ref="J10:O10" si="1">SUM(J8:J9)</f>
        <v>731426</v>
      </c>
      <c r="K10" s="95">
        <f t="shared" si="1"/>
        <v>5818367</v>
      </c>
      <c r="L10" s="95">
        <f t="shared" si="1"/>
        <v>1396153</v>
      </c>
      <c r="M10" s="95">
        <f t="shared" si="1"/>
        <v>1553066</v>
      </c>
      <c r="N10" s="95">
        <f t="shared" si="1"/>
        <v>380491</v>
      </c>
      <c r="O10" s="95">
        <f t="shared" si="1"/>
        <v>922917</v>
      </c>
    </row>
    <row r="11" spans="1:15" x14ac:dyDescent="0.25">
      <c r="A11" s="85" t="s">
        <v>43</v>
      </c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</row>
    <row r="12" spans="1:15" x14ac:dyDescent="0.25">
      <c r="B12" s="85" t="s">
        <v>52</v>
      </c>
      <c r="C12" s="86" t="s">
        <v>426</v>
      </c>
      <c r="D12" s="96">
        <f>+BA!D42</f>
        <v>36852476.149999999</v>
      </c>
      <c r="E12" s="96">
        <f>+BA!E42</f>
        <v>32467587.66</v>
      </c>
      <c r="F12" s="96">
        <f>+BA!F42</f>
        <v>22661267.760000002</v>
      </c>
      <c r="G12" s="96">
        <f>+BA!G42</f>
        <v>27979041</v>
      </c>
      <c r="H12" s="96">
        <f>+BA!H42</f>
        <v>16585610.449999999</v>
      </c>
      <c r="I12" s="96">
        <f>+BA!I42</f>
        <v>13585910.449999999</v>
      </c>
      <c r="J12" s="96">
        <f>+BA!J42</f>
        <v>11566747.6</v>
      </c>
      <c r="K12" s="96">
        <f>+BA!K42</f>
        <v>3155785</v>
      </c>
      <c r="L12" s="96">
        <f>+BA!L42</f>
        <v>0</v>
      </c>
      <c r="M12" s="96">
        <f>+BA!M42</f>
        <v>0</v>
      </c>
      <c r="N12" s="96">
        <f>+BA!N42</f>
        <v>0</v>
      </c>
      <c r="O12" s="96">
        <f>+BA!O42</f>
        <v>0</v>
      </c>
    </row>
    <row r="13" spans="1:15" x14ac:dyDescent="0.25">
      <c r="B13" s="85" t="s">
        <v>44</v>
      </c>
      <c r="C13" s="86" t="s">
        <v>426</v>
      </c>
      <c r="D13" s="96">
        <f>+BA!D45+BA!D44</f>
        <v>926231</v>
      </c>
      <c r="E13" s="96">
        <f>+BA!E45+BA!E44</f>
        <v>92447</v>
      </c>
      <c r="F13" s="96">
        <f>+BA!F45+BA!F44</f>
        <v>1199747</v>
      </c>
      <c r="G13" s="96">
        <f>+BA!G45+BA!G44</f>
        <v>1110343</v>
      </c>
      <c r="H13" s="96">
        <f>+BA!H45+BA!H44</f>
        <v>789930</v>
      </c>
      <c r="I13" s="96">
        <f>+BA!I45+BA!I44</f>
        <v>603793</v>
      </c>
      <c r="J13" s="96">
        <f>+BA!J45+BA!J44</f>
        <v>407902</v>
      </c>
      <c r="K13" s="96">
        <f>+BA!K45+BA!K44</f>
        <v>259028</v>
      </c>
      <c r="L13" s="96">
        <f>+BA!L45+BA!L44</f>
        <v>0</v>
      </c>
      <c r="M13" s="96">
        <f>+BA!M45+BA!M44</f>
        <v>64922</v>
      </c>
      <c r="N13" s="96">
        <f>+BA!N45+BA!N44</f>
        <v>2140931</v>
      </c>
      <c r="O13" s="96">
        <f>+BA!O45+BA!O44</f>
        <v>384361</v>
      </c>
    </row>
    <row r="14" spans="1:15" x14ac:dyDescent="0.25">
      <c r="B14" s="85" t="s">
        <v>3</v>
      </c>
      <c r="D14" s="97">
        <v>0</v>
      </c>
      <c r="E14" s="97">
        <v>0</v>
      </c>
      <c r="F14" s="97">
        <v>0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  <c r="L14" s="97">
        <v>0</v>
      </c>
      <c r="M14" s="97">
        <v>0</v>
      </c>
      <c r="N14" s="97">
        <v>0</v>
      </c>
      <c r="O14" s="97">
        <v>0</v>
      </c>
    </row>
    <row r="15" spans="1:15" x14ac:dyDescent="0.25">
      <c r="B15" s="85" t="s">
        <v>4</v>
      </c>
      <c r="D15" s="97">
        <v>0</v>
      </c>
      <c r="E15" s="97">
        <v>0</v>
      </c>
      <c r="F15" s="97">
        <v>0</v>
      </c>
      <c r="G15" s="97">
        <v>0</v>
      </c>
      <c r="H15" s="97">
        <v>0</v>
      </c>
      <c r="I15" s="97">
        <v>0</v>
      </c>
      <c r="J15" s="97">
        <v>0</v>
      </c>
      <c r="K15" s="97">
        <v>0</v>
      </c>
      <c r="L15" s="97">
        <v>0</v>
      </c>
      <c r="M15" s="97">
        <v>0</v>
      </c>
      <c r="N15" s="97">
        <v>0</v>
      </c>
      <c r="O15" s="97">
        <v>0</v>
      </c>
    </row>
    <row r="16" spans="1:15" x14ac:dyDescent="0.25">
      <c r="D16" s="95">
        <f t="shared" ref="D16:I16" si="2">SUM(D12:D15)</f>
        <v>37778707.149999999</v>
      </c>
      <c r="E16" s="95">
        <f t="shared" si="2"/>
        <v>32560034.66</v>
      </c>
      <c r="F16" s="95">
        <f t="shared" si="2"/>
        <v>23861014.760000002</v>
      </c>
      <c r="G16" s="95">
        <f t="shared" si="2"/>
        <v>29089384</v>
      </c>
      <c r="H16" s="95">
        <f t="shared" si="2"/>
        <v>17375540.449999999</v>
      </c>
      <c r="I16" s="95">
        <f t="shared" si="2"/>
        <v>14189703.449999999</v>
      </c>
      <c r="J16" s="95">
        <f t="shared" ref="J16:O16" si="3">SUM(J12:J15)</f>
        <v>11974649.6</v>
      </c>
      <c r="K16" s="95">
        <f t="shared" si="3"/>
        <v>3414813</v>
      </c>
      <c r="L16" s="95">
        <f t="shared" si="3"/>
        <v>0</v>
      </c>
      <c r="M16" s="95">
        <f t="shared" si="3"/>
        <v>64922</v>
      </c>
      <c r="N16" s="95">
        <f t="shared" si="3"/>
        <v>2140931</v>
      </c>
      <c r="O16" s="95">
        <f t="shared" si="3"/>
        <v>384361</v>
      </c>
    </row>
    <row r="17" spans="1:15" x14ac:dyDescent="0.25">
      <c r="A17" s="85" t="s">
        <v>5</v>
      </c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</row>
    <row r="18" spans="1:15" x14ac:dyDescent="0.25">
      <c r="B18" s="85" t="s">
        <v>515</v>
      </c>
      <c r="D18" s="97">
        <f>+BA!D35</f>
        <v>0</v>
      </c>
      <c r="E18" s="97">
        <f>+BA!E35</f>
        <v>0</v>
      </c>
      <c r="F18" s="97">
        <f>+BA!F35</f>
        <v>0</v>
      </c>
      <c r="G18" s="97">
        <f>+BA!G35</f>
        <v>0</v>
      </c>
      <c r="H18" s="97">
        <f>+BA!H35</f>
        <v>0</v>
      </c>
      <c r="I18" s="97">
        <f>+BA!I35</f>
        <v>0</v>
      </c>
      <c r="J18" s="97">
        <f>+BA!J35</f>
        <v>0</v>
      </c>
      <c r="K18" s="97">
        <f>+BA!K35</f>
        <v>0</v>
      </c>
      <c r="L18" s="97">
        <f>+BA!L35</f>
        <v>0</v>
      </c>
      <c r="M18" s="97">
        <f>+BA!M35</f>
        <v>0</v>
      </c>
      <c r="N18" s="97">
        <f>+BA!N35</f>
        <v>0</v>
      </c>
      <c r="O18" s="97">
        <f>+BA!O35</f>
        <v>0</v>
      </c>
    </row>
    <row r="19" spans="1:15" x14ac:dyDescent="0.25">
      <c r="B19" s="85" t="s">
        <v>6</v>
      </c>
      <c r="D19" s="97">
        <f>+BA!D36</f>
        <v>0</v>
      </c>
      <c r="E19" s="97">
        <f>+BA!E36</f>
        <v>0</v>
      </c>
      <c r="F19" s="97">
        <f>+BA!F36</f>
        <v>0</v>
      </c>
      <c r="G19" s="97">
        <f>+BA!G36</f>
        <v>0</v>
      </c>
      <c r="H19" s="97">
        <f>+BA!H36</f>
        <v>0</v>
      </c>
      <c r="I19" s="97">
        <f>+BA!I36</f>
        <v>0</v>
      </c>
      <c r="J19" s="97">
        <f>+BA!J36</f>
        <v>0</v>
      </c>
      <c r="K19" s="97">
        <f>+BA!K36</f>
        <v>0</v>
      </c>
      <c r="L19" s="97">
        <f>+BA!L36</f>
        <v>0</v>
      </c>
      <c r="M19" s="97">
        <f>+BA!M36</f>
        <v>0</v>
      </c>
      <c r="N19" s="97">
        <f>+BA!N36</f>
        <v>0</v>
      </c>
      <c r="O19" s="97">
        <f>+BA!O36</f>
        <v>0</v>
      </c>
    </row>
    <row r="20" spans="1:15" x14ac:dyDescent="0.25">
      <c r="B20" s="85" t="s">
        <v>546</v>
      </c>
      <c r="C20" s="86" t="s">
        <v>425</v>
      </c>
      <c r="D20" s="92">
        <f>+BA!D37</f>
        <v>0</v>
      </c>
      <c r="E20" s="92">
        <f>+BA!E37</f>
        <v>0</v>
      </c>
      <c r="F20" s="92">
        <f>+BA!F37</f>
        <v>0</v>
      </c>
      <c r="G20" s="92">
        <f>+BA!G37</f>
        <v>0</v>
      </c>
      <c r="H20" s="92">
        <f>+BA!H37</f>
        <v>0</v>
      </c>
      <c r="I20" s="92">
        <f>+BA!I37</f>
        <v>0</v>
      </c>
      <c r="J20" s="92">
        <f>+BA!J37</f>
        <v>0</v>
      </c>
      <c r="K20" s="92">
        <f>+BA!K37</f>
        <v>0</v>
      </c>
      <c r="L20" s="92">
        <f>+BA!L37</f>
        <v>0</v>
      </c>
      <c r="M20" s="92">
        <f>+BA!M37</f>
        <v>532550</v>
      </c>
      <c r="N20" s="92">
        <f>+BA!N37</f>
        <v>0</v>
      </c>
      <c r="O20" s="92">
        <f>+BA!O37</f>
        <v>163309</v>
      </c>
    </row>
    <row r="21" spans="1:15" x14ac:dyDescent="0.25">
      <c r="B21" s="85" t="s">
        <v>45</v>
      </c>
      <c r="D21" s="97">
        <f>+BA!D38</f>
        <v>0</v>
      </c>
      <c r="E21" s="97">
        <f>+BA!E38</f>
        <v>0</v>
      </c>
      <c r="F21" s="97">
        <f>+BA!F38</f>
        <v>0</v>
      </c>
      <c r="G21" s="97">
        <f>+BA!G38</f>
        <v>0</v>
      </c>
      <c r="H21" s="97">
        <f>+BA!H38</f>
        <v>0</v>
      </c>
      <c r="I21" s="97">
        <f>+BA!I38</f>
        <v>0</v>
      </c>
      <c r="J21" s="97">
        <f>+BA!J38</f>
        <v>0</v>
      </c>
      <c r="K21" s="97">
        <f>+BA!K38</f>
        <v>0</v>
      </c>
      <c r="L21" s="97">
        <f>+BA!L38</f>
        <v>0</v>
      </c>
      <c r="M21" s="97">
        <f>+BA!M38</f>
        <v>0</v>
      </c>
      <c r="N21" s="97">
        <f>+BA!N38</f>
        <v>0</v>
      </c>
      <c r="O21" s="97">
        <f>+BA!O38</f>
        <v>0</v>
      </c>
    </row>
    <row r="22" spans="1:15" x14ac:dyDescent="0.25">
      <c r="B22" s="85" t="s">
        <v>46</v>
      </c>
      <c r="C22" s="86" t="s">
        <v>428</v>
      </c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</row>
    <row r="23" spans="1:15" ht="12.75" customHeight="1" x14ac:dyDescent="0.25">
      <c r="D23" s="95">
        <f t="shared" ref="D23:I23" si="4">SUM(D18:D22)</f>
        <v>0</v>
      </c>
      <c r="E23" s="95">
        <f t="shared" si="4"/>
        <v>0</v>
      </c>
      <c r="F23" s="95">
        <f t="shared" si="4"/>
        <v>0</v>
      </c>
      <c r="G23" s="95">
        <f t="shared" si="4"/>
        <v>0</v>
      </c>
      <c r="H23" s="95">
        <f t="shared" si="4"/>
        <v>0</v>
      </c>
      <c r="I23" s="95">
        <f t="shared" si="4"/>
        <v>0</v>
      </c>
      <c r="J23" s="95">
        <f t="shared" ref="J23:O23" si="5">SUM(J18:J22)</f>
        <v>0</v>
      </c>
      <c r="K23" s="95">
        <f t="shared" si="5"/>
        <v>0</v>
      </c>
      <c r="L23" s="95">
        <f t="shared" si="5"/>
        <v>0</v>
      </c>
      <c r="M23" s="95">
        <f t="shared" si="5"/>
        <v>532550</v>
      </c>
      <c r="N23" s="95">
        <f t="shared" si="5"/>
        <v>0</v>
      </c>
      <c r="O23" s="95">
        <f t="shared" si="5"/>
        <v>163309</v>
      </c>
    </row>
    <row r="24" spans="1:15" x14ac:dyDescent="0.25">
      <c r="B24" s="85" t="s">
        <v>47</v>
      </c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</row>
    <row r="25" spans="1:15" x14ac:dyDescent="0.25">
      <c r="B25" s="85" t="s">
        <v>48</v>
      </c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</row>
    <row r="26" spans="1:15" x14ac:dyDescent="0.25">
      <c r="B26" s="85" t="s">
        <v>49</v>
      </c>
      <c r="C26" s="86" t="s">
        <v>429</v>
      </c>
      <c r="D26" s="92">
        <f>+BA!D54</f>
        <v>0</v>
      </c>
      <c r="E26" s="92">
        <f>+BA!E54</f>
        <v>0</v>
      </c>
      <c r="F26" s="92">
        <f>+BA!F54</f>
        <v>849996</v>
      </c>
      <c r="G26" s="92">
        <f>+BA!G54</f>
        <v>275289</v>
      </c>
      <c r="H26" s="92">
        <f>+BA!H54</f>
        <v>645435</v>
      </c>
      <c r="I26" s="92">
        <f>+BA!I54</f>
        <v>1107860</v>
      </c>
      <c r="J26" s="92">
        <f>+BA!J54</f>
        <v>1676244</v>
      </c>
      <c r="K26" s="92">
        <f>+BA!K54</f>
        <v>5529045</v>
      </c>
      <c r="L26" s="92">
        <f>+BA!L54</f>
        <v>1250655</v>
      </c>
      <c r="M26" s="92">
        <f>+BA!M54</f>
        <v>0</v>
      </c>
      <c r="N26" s="92">
        <f>+BA!N54</f>
        <v>0</v>
      </c>
      <c r="O26" s="92">
        <f>+BA!O54</f>
        <v>0</v>
      </c>
    </row>
    <row r="27" spans="1:15" x14ac:dyDescent="0.25">
      <c r="B27" s="85" t="s">
        <v>119</v>
      </c>
      <c r="D27" s="97">
        <f>+BA!D58</f>
        <v>0</v>
      </c>
      <c r="E27" s="97">
        <f>+BA!E58</f>
        <v>0</v>
      </c>
      <c r="F27" s="97">
        <f>+BA!F58</f>
        <v>0</v>
      </c>
      <c r="G27" s="97">
        <f>+BA!G58</f>
        <v>0</v>
      </c>
      <c r="H27" s="97">
        <f>+BA!H58</f>
        <v>0</v>
      </c>
      <c r="I27" s="97">
        <f>+BA!I58</f>
        <v>0</v>
      </c>
      <c r="J27" s="97">
        <f>+BA!J58</f>
        <v>0</v>
      </c>
      <c r="K27" s="97">
        <f>+BA!K58</f>
        <v>0</v>
      </c>
      <c r="L27" s="97">
        <f>+BA!L58</f>
        <v>0</v>
      </c>
      <c r="M27" s="97">
        <f>+BA!M58</f>
        <v>0</v>
      </c>
      <c r="N27" s="97">
        <f>+BA!N58</f>
        <v>0</v>
      </c>
      <c r="O27" s="97">
        <f>+BA!O58</f>
        <v>0</v>
      </c>
    </row>
    <row r="28" spans="1:15" x14ac:dyDescent="0.25"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</row>
    <row r="29" spans="1:15" ht="16.5" thickBot="1" x14ac:dyDescent="0.3">
      <c r="B29" s="98" t="s">
        <v>50</v>
      </c>
      <c r="D29" s="99">
        <f t="shared" ref="D29:I29" si="6">+D23+D16+D10+D26+D27</f>
        <v>38545323.228199996</v>
      </c>
      <c r="E29" s="99">
        <f t="shared" si="6"/>
        <v>32927385.66</v>
      </c>
      <c r="F29" s="99">
        <f t="shared" si="6"/>
        <v>33595699.760000005</v>
      </c>
      <c r="G29" s="99">
        <f t="shared" si="6"/>
        <v>33194183</v>
      </c>
      <c r="H29" s="99">
        <f t="shared" si="6"/>
        <v>19213367.449999999</v>
      </c>
      <c r="I29" s="99">
        <f t="shared" si="6"/>
        <v>16866963.449999999</v>
      </c>
      <c r="J29" s="99">
        <f t="shared" ref="J29:O29" si="7">+J23+J16+J10+J26+J27</f>
        <v>14382319.6</v>
      </c>
      <c r="K29" s="99">
        <f t="shared" si="7"/>
        <v>14762225</v>
      </c>
      <c r="L29" s="99">
        <f t="shared" si="7"/>
        <v>2646808</v>
      </c>
      <c r="M29" s="99">
        <f t="shared" si="7"/>
        <v>2150538</v>
      </c>
      <c r="N29" s="99">
        <f t="shared" si="7"/>
        <v>2521422</v>
      </c>
      <c r="O29" s="99">
        <f t="shared" si="7"/>
        <v>1470587</v>
      </c>
    </row>
    <row r="30" spans="1:15" ht="12" customHeight="1" thickTop="1" x14ac:dyDescent="0.25"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</row>
    <row r="31" spans="1:15" x14ac:dyDescent="0.25">
      <c r="A31" s="90" t="s">
        <v>7</v>
      </c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</row>
    <row r="32" spans="1:15" x14ac:dyDescent="0.25">
      <c r="B32" s="85" t="s">
        <v>51</v>
      </c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</row>
    <row r="33" spans="1:15" x14ac:dyDescent="0.25">
      <c r="B33" s="85" t="s">
        <v>53</v>
      </c>
      <c r="C33" s="86">
        <v>4</v>
      </c>
      <c r="D33" s="93">
        <f>+BA!D20</f>
        <v>3661151</v>
      </c>
      <c r="E33" s="93">
        <f>+BA!E20</f>
        <v>584573</v>
      </c>
      <c r="F33" s="93">
        <f>+BA!F20</f>
        <v>779431</v>
      </c>
      <c r="G33" s="93">
        <f>+BA!G20</f>
        <v>2923526</v>
      </c>
      <c r="H33" s="93">
        <f>+BA!H20</f>
        <v>3466199</v>
      </c>
      <c r="I33" s="93">
        <f>+BA!I20</f>
        <v>4332749</v>
      </c>
      <c r="J33" s="93">
        <f>+BA!J20</f>
        <v>5415936</v>
      </c>
      <c r="K33" s="93">
        <f>+BA!K20</f>
        <v>6737059</v>
      </c>
      <c r="L33" s="93">
        <f>+BA!L20</f>
        <v>1002149</v>
      </c>
      <c r="M33" s="93">
        <f>+BA!M20</f>
        <v>954723</v>
      </c>
      <c r="N33" s="93">
        <f>+BA!N20</f>
        <v>1193404</v>
      </c>
      <c r="O33" s="93">
        <f>+BA!O20</f>
        <v>1193404</v>
      </c>
    </row>
    <row r="34" spans="1:15" x14ac:dyDescent="0.25">
      <c r="B34" s="85" t="s">
        <v>54</v>
      </c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</row>
    <row r="35" spans="1:15" x14ac:dyDescent="0.25">
      <c r="B35" s="85" t="s">
        <v>55</v>
      </c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</row>
    <row r="36" spans="1:15" ht="16.5" thickBot="1" x14ac:dyDescent="0.3">
      <c r="B36" s="98" t="s">
        <v>56</v>
      </c>
      <c r="D36" s="99">
        <f t="shared" ref="D36:I36" si="8">SUM(D33:D35)</f>
        <v>3661151</v>
      </c>
      <c r="E36" s="99">
        <f t="shared" si="8"/>
        <v>584573</v>
      </c>
      <c r="F36" s="99">
        <f t="shared" si="8"/>
        <v>779431</v>
      </c>
      <c r="G36" s="99">
        <f t="shared" si="8"/>
        <v>2923526</v>
      </c>
      <c r="H36" s="99">
        <f t="shared" si="8"/>
        <v>3466199</v>
      </c>
      <c r="I36" s="99">
        <f t="shared" si="8"/>
        <v>4332749</v>
      </c>
      <c r="J36" s="99">
        <f t="shared" ref="J36:O36" si="9">SUM(J33:J35)</f>
        <v>5415936</v>
      </c>
      <c r="K36" s="99">
        <f t="shared" si="9"/>
        <v>6737059</v>
      </c>
      <c r="L36" s="99">
        <f t="shared" si="9"/>
        <v>1002149</v>
      </c>
      <c r="M36" s="99">
        <f t="shared" si="9"/>
        <v>954723</v>
      </c>
      <c r="N36" s="99">
        <f t="shared" si="9"/>
        <v>1193404</v>
      </c>
      <c r="O36" s="99">
        <f t="shared" si="9"/>
        <v>1193404</v>
      </c>
    </row>
    <row r="37" spans="1:15" ht="16.5" thickTop="1" x14ac:dyDescent="0.25"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</row>
    <row r="38" spans="1:15" x14ac:dyDescent="0.25">
      <c r="B38" s="90" t="s">
        <v>57</v>
      </c>
      <c r="D38" s="100">
        <f t="shared" ref="D38:I38" si="10">+D29+D36</f>
        <v>42206474.228199996</v>
      </c>
      <c r="E38" s="100">
        <f t="shared" si="10"/>
        <v>33511958.66</v>
      </c>
      <c r="F38" s="100">
        <f t="shared" si="10"/>
        <v>34375130.760000005</v>
      </c>
      <c r="G38" s="100">
        <f t="shared" si="10"/>
        <v>36117709</v>
      </c>
      <c r="H38" s="100">
        <f t="shared" si="10"/>
        <v>22679566.449999999</v>
      </c>
      <c r="I38" s="100">
        <f t="shared" si="10"/>
        <v>21199712.449999999</v>
      </c>
      <c r="J38" s="100">
        <f t="shared" ref="J38:O38" si="11">+J29+J36</f>
        <v>19798255.600000001</v>
      </c>
      <c r="K38" s="100">
        <f t="shared" si="11"/>
        <v>21499284</v>
      </c>
      <c r="L38" s="100">
        <f t="shared" si="11"/>
        <v>3648957</v>
      </c>
      <c r="M38" s="100">
        <f t="shared" si="11"/>
        <v>3105261</v>
      </c>
      <c r="N38" s="100">
        <f t="shared" si="11"/>
        <v>3714826</v>
      </c>
      <c r="O38" s="100">
        <f t="shared" si="11"/>
        <v>2663991</v>
      </c>
    </row>
    <row r="39" spans="1:15" x14ac:dyDescent="0.25"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</row>
    <row r="40" spans="1:15" x14ac:dyDescent="0.25">
      <c r="A40" s="26" t="s">
        <v>77</v>
      </c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</row>
    <row r="41" spans="1:15" ht="9.75" customHeight="1" x14ac:dyDescent="0.25"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</row>
    <row r="42" spans="1:15" x14ac:dyDescent="0.25">
      <c r="A42" s="26" t="s">
        <v>108</v>
      </c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</row>
    <row r="43" spans="1:15" x14ac:dyDescent="0.25">
      <c r="B43" s="88" t="s">
        <v>58</v>
      </c>
      <c r="C43" s="86" t="s">
        <v>431</v>
      </c>
      <c r="D43" s="96">
        <f>BA!D98</f>
        <v>25618799.418299999</v>
      </c>
      <c r="E43" s="96">
        <f>BA!E98</f>
        <v>19366820</v>
      </c>
      <c r="F43" s="96">
        <f>BA!F98</f>
        <v>24004532</v>
      </c>
      <c r="G43" s="96">
        <f>BA!G98</f>
        <v>24013690</v>
      </c>
      <c r="H43" s="96">
        <f>BA!H98</f>
        <v>12912864</v>
      </c>
      <c r="I43" s="96">
        <f>BA!I98</f>
        <v>14399064</v>
      </c>
      <c r="J43" s="96">
        <f>BA!J98</f>
        <v>15320110</v>
      </c>
      <c r="K43" s="96">
        <f>BA!K98</f>
        <v>16603537</v>
      </c>
      <c r="L43" s="96">
        <f>BA!L98</f>
        <v>0</v>
      </c>
      <c r="M43" s="96">
        <f>BA!M98</f>
        <v>0</v>
      </c>
      <c r="N43" s="96">
        <f>BA!N98</f>
        <v>0</v>
      </c>
      <c r="O43" s="96">
        <f>BA!O98</f>
        <v>8142510</v>
      </c>
    </row>
    <row r="44" spans="1:15" x14ac:dyDescent="0.25">
      <c r="B44" s="88" t="s">
        <v>59</v>
      </c>
      <c r="D44" s="97">
        <v>0</v>
      </c>
      <c r="E44" s="97">
        <v>0</v>
      </c>
      <c r="F44" s="97">
        <v>0</v>
      </c>
      <c r="G44" s="97">
        <v>0</v>
      </c>
      <c r="H44" s="97">
        <v>0</v>
      </c>
      <c r="I44" s="97">
        <v>0</v>
      </c>
      <c r="J44" s="97">
        <v>0</v>
      </c>
      <c r="K44" s="97">
        <v>0</v>
      </c>
      <c r="L44" s="97">
        <v>0</v>
      </c>
      <c r="M44" s="97">
        <v>0</v>
      </c>
      <c r="N44" s="97">
        <v>0</v>
      </c>
      <c r="O44" s="97">
        <v>0</v>
      </c>
    </row>
    <row r="45" spans="1:15" x14ac:dyDescent="0.25">
      <c r="B45" s="89" t="s">
        <v>60</v>
      </c>
      <c r="C45" s="86" t="s">
        <v>430</v>
      </c>
      <c r="D45" s="92">
        <f>BA!D101</f>
        <v>1043653</v>
      </c>
      <c r="E45" s="92">
        <f>BA!E101</f>
        <v>1176355</v>
      </c>
      <c r="F45" s="92">
        <f>BA!F101</f>
        <v>1245430</v>
      </c>
      <c r="G45" s="92">
        <f>BA!G101</f>
        <v>3854386.49</v>
      </c>
      <c r="H45" s="92">
        <f>BA!H101</f>
        <v>4231701.8</v>
      </c>
      <c r="I45" s="92">
        <f>BA!I101</f>
        <v>3014566</v>
      </c>
      <c r="J45" s="92">
        <f>BA!J101</f>
        <v>2400644</v>
      </c>
      <c r="K45" s="92">
        <f>BA!K101</f>
        <v>4100951</v>
      </c>
      <c r="L45" s="92">
        <f>BA!L101</f>
        <v>0</v>
      </c>
      <c r="M45" s="92">
        <f>BA!M101</f>
        <v>0</v>
      </c>
      <c r="N45" s="92">
        <f>BA!N101</f>
        <v>1205070</v>
      </c>
      <c r="O45" s="92">
        <f>BA!O101</f>
        <v>1061093</v>
      </c>
    </row>
    <row r="46" spans="1:15" x14ac:dyDescent="0.25">
      <c r="B46" s="89" t="s">
        <v>61</v>
      </c>
      <c r="D46" s="96">
        <f>+BA!D102</f>
        <v>370140</v>
      </c>
      <c r="E46" s="96">
        <f>+BA!E102</f>
        <v>337000</v>
      </c>
      <c r="F46" s="96">
        <f>+BA!F102</f>
        <v>198280</v>
      </c>
      <c r="G46" s="96">
        <f>+BA!G102</f>
        <v>212176</v>
      </c>
      <c r="H46" s="96">
        <f>+BA!H102</f>
        <v>409825</v>
      </c>
      <c r="I46" s="96">
        <f>+BA!I102</f>
        <v>384841</v>
      </c>
      <c r="J46" s="96">
        <f>+BA!J102</f>
        <v>0</v>
      </c>
      <c r="K46" s="96">
        <f>+BA!K102</f>
        <v>0</v>
      </c>
      <c r="L46" s="96">
        <f>+BA!L102</f>
        <v>0</v>
      </c>
      <c r="M46" s="96">
        <f>+BA!M102</f>
        <v>0</v>
      </c>
      <c r="N46" s="96">
        <f>+BA!N102</f>
        <v>0</v>
      </c>
      <c r="O46" s="96">
        <f>+BA!O102</f>
        <v>0</v>
      </c>
    </row>
    <row r="47" spans="1:15" x14ac:dyDescent="0.25">
      <c r="B47" s="89" t="s">
        <v>8</v>
      </c>
      <c r="C47" s="86" t="s">
        <v>433</v>
      </c>
      <c r="D47" s="92">
        <f>+BA!D103+BA!D104</f>
        <v>141055</v>
      </c>
      <c r="E47" s="92">
        <f>+BA!E103+BA!E104</f>
        <v>282795</v>
      </c>
      <c r="F47" s="92">
        <f>+BA!F103+BA!F104</f>
        <v>80199</v>
      </c>
      <c r="G47" s="92">
        <f>+BA!G103+BA!G104</f>
        <v>69422</v>
      </c>
      <c r="H47" s="92">
        <f>+BA!H103+BA!H104</f>
        <v>168229</v>
      </c>
      <c r="I47" s="92">
        <f>+BA!I103+BA!I104</f>
        <v>106753</v>
      </c>
      <c r="J47" s="92">
        <f>+BA!J103+BA!J104</f>
        <v>177713</v>
      </c>
      <c r="K47" s="92">
        <f>+BA!K103+BA!K104</f>
        <v>99717</v>
      </c>
      <c r="L47" s="92">
        <f>+BA!L103+BA!L104</f>
        <v>201104</v>
      </c>
      <c r="M47" s="92">
        <f>+BA!M103+BA!M104</f>
        <v>169557</v>
      </c>
      <c r="N47" s="92">
        <f>+BA!N103+BA!N104</f>
        <v>47786</v>
      </c>
      <c r="O47" s="92">
        <f>+BA!O103+BA!O104</f>
        <v>81218</v>
      </c>
    </row>
    <row r="48" spans="1:15" x14ac:dyDescent="0.25">
      <c r="B48" s="89" t="s">
        <v>95</v>
      </c>
      <c r="C48" s="86" t="s">
        <v>434</v>
      </c>
      <c r="D48" s="96">
        <f>+BA!D106+BA!D105</f>
        <v>0</v>
      </c>
      <c r="E48" s="96">
        <f>+BA!E106+BA!E105</f>
        <v>0</v>
      </c>
      <c r="F48" s="96">
        <f>+BA!F106+BA!F105</f>
        <v>0</v>
      </c>
      <c r="G48" s="96">
        <f>+BA!G106+BA!G105</f>
        <v>0</v>
      </c>
      <c r="H48" s="96">
        <f>+BA!H106+BA!H105</f>
        <v>0</v>
      </c>
      <c r="I48" s="96">
        <f>+BA!I106+BA!I105</f>
        <v>0</v>
      </c>
      <c r="J48" s="96">
        <f>+BA!J106+BA!J105</f>
        <v>0</v>
      </c>
      <c r="K48" s="96">
        <f>+BA!K106+BA!K105</f>
        <v>0</v>
      </c>
      <c r="L48" s="96">
        <f>+BA!L106+BA!L105</f>
        <v>0</v>
      </c>
      <c r="M48" s="96">
        <f>+BA!M106+BA!M105</f>
        <v>0</v>
      </c>
      <c r="N48" s="96">
        <f>+BA!N106+BA!N105</f>
        <v>367208</v>
      </c>
      <c r="O48" s="96">
        <f>+BA!O106+BA!O105</f>
        <v>4300483</v>
      </c>
    </row>
    <row r="49" spans="1:17" x14ac:dyDescent="0.25">
      <c r="B49" s="89" t="s">
        <v>62</v>
      </c>
      <c r="D49" s="96">
        <v>0</v>
      </c>
      <c r="E49" s="96">
        <v>0</v>
      </c>
      <c r="F49" s="96">
        <v>0</v>
      </c>
      <c r="G49" s="96">
        <v>0</v>
      </c>
      <c r="H49" s="96">
        <v>0</v>
      </c>
      <c r="I49" s="96">
        <v>0</v>
      </c>
      <c r="J49" s="96">
        <v>0</v>
      </c>
      <c r="K49" s="96">
        <v>0</v>
      </c>
      <c r="L49" s="96">
        <v>0</v>
      </c>
      <c r="M49" s="96">
        <v>0</v>
      </c>
      <c r="N49" s="96">
        <v>0</v>
      </c>
      <c r="O49" s="96">
        <v>0</v>
      </c>
    </row>
    <row r="50" spans="1:17" x14ac:dyDescent="0.25">
      <c r="B50" s="89" t="s">
        <v>63</v>
      </c>
      <c r="C50" s="86" t="s">
        <v>432</v>
      </c>
      <c r="D50" s="96">
        <f>+BA!D92</f>
        <v>0</v>
      </c>
      <c r="E50" s="96">
        <f>+BA!E92</f>
        <v>0</v>
      </c>
      <c r="F50" s="96">
        <f>+BA!F92</f>
        <v>0</v>
      </c>
      <c r="G50" s="96">
        <f>+BA!G92</f>
        <v>0</v>
      </c>
      <c r="H50" s="96">
        <f>+BA!H92</f>
        <v>0</v>
      </c>
      <c r="I50" s="96">
        <f>+BA!I92</f>
        <v>0</v>
      </c>
      <c r="J50" s="96">
        <f>+BA!J92</f>
        <v>0</v>
      </c>
      <c r="K50" s="96">
        <f>+BA!K92</f>
        <v>0</v>
      </c>
      <c r="L50" s="96">
        <f>+BA!L92</f>
        <v>0</v>
      </c>
      <c r="M50" s="96">
        <f>+BA!M92</f>
        <v>0</v>
      </c>
      <c r="N50" s="96">
        <f>+BA!N92</f>
        <v>0</v>
      </c>
      <c r="O50" s="96">
        <f>+BA!O92</f>
        <v>0</v>
      </c>
    </row>
    <row r="51" spans="1:17" x14ac:dyDescent="0.25">
      <c r="B51" s="88" t="s">
        <v>97</v>
      </c>
      <c r="D51" s="96">
        <v>0</v>
      </c>
      <c r="E51" s="96">
        <v>0</v>
      </c>
      <c r="F51" s="96">
        <v>0</v>
      </c>
      <c r="G51" s="96">
        <v>0</v>
      </c>
      <c r="H51" s="96">
        <v>0</v>
      </c>
      <c r="I51" s="96">
        <v>0</v>
      </c>
      <c r="J51" s="96">
        <v>0</v>
      </c>
      <c r="K51" s="96">
        <v>0</v>
      </c>
      <c r="L51" s="96">
        <v>0</v>
      </c>
      <c r="M51" s="96">
        <v>0</v>
      </c>
      <c r="N51" s="96">
        <v>0</v>
      </c>
      <c r="O51" s="96">
        <v>0</v>
      </c>
    </row>
    <row r="52" spans="1:17" x14ac:dyDescent="0.25">
      <c r="B52" s="88" t="s">
        <v>64</v>
      </c>
      <c r="D52" s="97">
        <v>0</v>
      </c>
      <c r="E52" s="97">
        <v>0</v>
      </c>
      <c r="F52" s="97">
        <v>0</v>
      </c>
      <c r="G52" s="97">
        <v>0</v>
      </c>
      <c r="H52" s="97">
        <v>0</v>
      </c>
      <c r="I52" s="97">
        <v>0</v>
      </c>
      <c r="J52" s="97">
        <v>0</v>
      </c>
      <c r="K52" s="97">
        <v>0</v>
      </c>
      <c r="L52" s="97">
        <v>0</v>
      </c>
      <c r="M52" s="97">
        <v>0</v>
      </c>
      <c r="N52" s="97">
        <v>0</v>
      </c>
      <c r="O52" s="97">
        <v>0</v>
      </c>
    </row>
    <row r="53" spans="1:17" x14ac:dyDescent="0.25">
      <c r="B53" s="88" t="s">
        <v>65</v>
      </c>
      <c r="D53" s="97">
        <v>0</v>
      </c>
      <c r="E53" s="97">
        <v>0</v>
      </c>
      <c r="F53" s="97">
        <v>0</v>
      </c>
      <c r="G53" s="97">
        <v>0</v>
      </c>
      <c r="H53" s="97">
        <v>0</v>
      </c>
      <c r="I53" s="97">
        <v>0</v>
      </c>
      <c r="J53" s="97">
        <v>0</v>
      </c>
      <c r="K53" s="97">
        <v>0</v>
      </c>
      <c r="L53" s="97">
        <v>0</v>
      </c>
      <c r="M53" s="97">
        <v>0</v>
      </c>
      <c r="N53" s="97">
        <v>0</v>
      </c>
      <c r="O53" s="97">
        <v>0</v>
      </c>
    </row>
    <row r="54" spans="1:17" x14ac:dyDescent="0.25">
      <c r="B54" s="88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</row>
    <row r="55" spans="1:17" ht="16.5" thickBot="1" x14ac:dyDescent="0.3">
      <c r="B55" s="98" t="s">
        <v>66</v>
      </c>
      <c r="D55" s="99">
        <f t="shared" ref="D55:I55" si="12">SUM(D43:D54)</f>
        <v>27173647.418299999</v>
      </c>
      <c r="E55" s="99">
        <f t="shared" si="12"/>
        <v>21162970</v>
      </c>
      <c r="F55" s="99">
        <f t="shared" si="12"/>
        <v>25528441</v>
      </c>
      <c r="G55" s="99">
        <f t="shared" si="12"/>
        <v>28149674.490000002</v>
      </c>
      <c r="H55" s="99">
        <f t="shared" si="12"/>
        <v>17722619.800000001</v>
      </c>
      <c r="I55" s="99">
        <f t="shared" si="12"/>
        <v>17905224</v>
      </c>
      <c r="J55" s="99">
        <f t="shared" ref="J55:O55" si="13">SUM(J43:J54)</f>
        <v>17898467</v>
      </c>
      <c r="K55" s="99">
        <f t="shared" si="13"/>
        <v>20804205</v>
      </c>
      <c r="L55" s="99">
        <f t="shared" si="13"/>
        <v>201104</v>
      </c>
      <c r="M55" s="99">
        <f t="shared" si="13"/>
        <v>169557</v>
      </c>
      <c r="N55" s="99">
        <f t="shared" si="13"/>
        <v>1620064</v>
      </c>
      <c r="O55" s="99">
        <f t="shared" si="13"/>
        <v>13585304</v>
      </c>
      <c r="P55" s="85"/>
      <c r="Q55" s="85"/>
    </row>
    <row r="56" spans="1:17" ht="16.5" thickTop="1" x14ac:dyDescent="0.25">
      <c r="A56" s="26" t="s">
        <v>67</v>
      </c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85"/>
      <c r="Q56" s="85"/>
    </row>
    <row r="57" spans="1:17" x14ac:dyDescent="0.25">
      <c r="B57" s="88" t="s">
        <v>68</v>
      </c>
      <c r="C57" s="86">
        <v>6</v>
      </c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85"/>
      <c r="Q57" s="85"/>
    </row>
    <row r="58" spans="1:17" x14ac:dyDescent="0.25">
      <c r="B58" s="88" t="s">
        <v>69</v>
      </c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85"/>
      <c r="Q58" s="85"/>
    </row>
    <row r="59" spans="1:17" x14ac:dyDescent="0.25">
      <c r="B59" s="88" t="s">
        <v>70</v>
      </c>
      <c r="D59" s="96">
        <v>0</v>
      </c>
      <c r="E59" s="96">
        <v>0</v>
      </c>
      <c r="F59" s="96">
        <v>0</v>
      </c>
      <c r="G59" s="96">
        <v>0</v>
      </c>
      <c r="H59" s="96">
        <v>0</v>
      </c>
      <c r="I59" s="96">
        <v>0</v>
      </c>
      <c r="J59" s="96">
        <v>0</v>
      </c>
      <c r="K59" s="96">
        <v>0</v>
      </c>
      <c r="L59" s="96">
        <v>0</v>
      </c>
      <c r="M59" s="96">
        <v>0</v>
      </c>
      <c r="N59" s="96">
        <v>0</v>
      </c>
      <c r="O59" s="96">
        <v>0</v>
      </c>
    </row>
    <row r="60" spans="1:17" x14ac:dyDescent="0.25">
      <c r="B60" s="88" t="s">
        <v>64</v>
      </c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</row>
    <row r="61" spans="1:17" ht="16.5" thickBot="1" x14ac:dyDescent="0.3">
      <c r="B61" s="98" t="s">
        <v>71</v>
      </c>
      <c r="D61" s="99">
        <f t="shared" ref="D61:I61" si="14">SUM(D57:D60)</f>
        <v>0</v>
      </c>
      <c r="E61" s="99">
        <f t="shared" si="14"/>
        <v>0</v>
      </c>
      <c r="F61" s="99">
        <f t="shared" si="14"/>
        <v>0</v>
      </c>
      <c r="G61" s="99">
        <f t="shared" si="14"/>
        <v>0</v>
      </c>
      <c r="H61" s="99">
        <f t="shared" si="14"/>
        <v>0</v>
      </c>
      <c r="I61" s="99">
        <f t="shared" si="14"/>
        <v>0</v>
      </c>
      <c r="J61" s="99">
        <f t="shared" ref="J61:O61" si="15">SUM(J57:J60)</f>
        <v>0</v>
      </c>
      <c r="K61" s="99">
        <f t="shared" si="15"/>
        <v>0</v>
      </c>
      <c r="L61" s="99">
        <f t="shared" si="15"/>
        <v>0</v>
      </c>
      <c r="M61" s="99">
        <f t="shared" si="15"/>
        <v>0</v>
      </c>
      <c r="N61" s="99">
        <f t="shared" si="15"/>
        <v>0</v>
      </c>
      <c r="O61" s="99">
        <f t="shared" si="15"/>
        <v>0</v>
      </c>
      <c r="P61" s="101"/>
    </row>
    <row r="62" spans="1:17" ht="12.75" customHeight="1" thickTop="1" x14ac:dyDescent="0.25"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</row>
    <row r="63" spans="1:17" x14ac:dyDescent="0.25">
      <c r="A63" s="26" t="s">
        <v>72</v>
      </c>
      <c r="P63" s="101"/>
    </row>
    <row r="64" spans="1:17" x14ac:dyDescent="0.25">
      <c r="B64" s="88" t="s">
        <v>40</v>
      </c>
      <c r="C64" s="86">
        <v>7</v>
      </c>
      <c r="D64" s="92">
        <f>+BA!D69</f>
        <v>100000</v>
      </c>
      <c r="E64" s="92">
        <f>+BA!E69</f>
        <v>100000</v>
      </c>
      <c r="F64" s="92">
        <f>+BA!F69</f>
        <v>100000</v>
      </c>
      <c r="G64" s="92">
        <f>+BA!G69</f>
        <v>100000</v>
      </c>
      <c r="H64" s="92">
        <f>+BA!H69</f>
        <v>100000</v>
      </c>
      <c r="I64" s="92">
        <f>+BA!I69</f>
        <v>100000</v>
      </c>
      <c r="J64" s="92">
        <f>+BA!J69</f>
        <v>100000</v>
      </c>
      <c r="K64" s="92">
        <f>+BA!K69</f>
        <v>100000</v>
      </c>
      <c r="L64" s="92">
        <f>+BA!L69</f>
        <v>100000</v>
      </c>
      <c r="M64" s="92">
        <f>+BA!M69</f>
        <v>100000</v>
      </c>
      <c r="N64" s="92">
        <f>+BA!N69</f>
        <v>100000</v>
      </c>
      <c r="O64" s="92">
        <f>+BA!O69</f>
        <v>100000</v>
      </c>
    </row>
    <row r="65" spans="2:16" x14ac:dyDescent="0.25">
      <c r="B65" s="88" t="s">
        <v>420</v>
      </c>
      <c r="C65" s="86">
        <v>7</v>
      </c>
      <c r="D65" s="92">
        <f>+BA!D70</f>
        <v>0</v>
      </c>
      <c r="E65" s="92">
        <f>+BA!E70</f>
        <v>0</v>
      </c>
      <c r="F65" s="92">
        <f>+BA!F70</f>
        <v>0</v>
      </c>
      <c r="G65" s="92">
        <f>+BA!G70</f>
        <v>0</v>
      </c>
      <c r="H65" s="92">
        <f>+BA!H70</f>
        <v>0</v>
      </c>
      <c r="I65" s="92">
        <f>+BA!I70</f>
        <v>0</v>
      </c>
      <c r="J65" s="92">
        <f>+BA!J70</f>
        <v>0</v>
      </c>
      <c r="K65" s="92">
        <f>+BA!K70</f>
        <v>0</v>
      </c>
      <c r="L65" s="92">
        <f>+BA!L70</f>
        <v>0</v>
      </c>
      <c r="M65" s="92">
        <f>+BA!M70</f>
        <v>0</v>
      </c>
      <c r="N65" s="92">
        <f>+BA!N70</f>
        <v>0</v>
      </c>
      <c r="O65" s="92">
        <f>+BA!O70</f>
        <v>0</v>
      </c>
    </row>
    <row r="66" spans="2:16" x14ac:dyDescent="0.25">
      <c r="B66" s="88" t="s">
        <v>73</v>
      </c>
      <c r="D66" s="96">
        <f>+BA!D74</f>
        <v>0</v>
      </c>
      <c r="E66" s="96">
        <f>+BA!E74</f>
        <v>0</v>
      </c>
      <c r="F66" s="96">
        <f>+BA!F74</f>
        <v>0</v>
      </c>
      <c r="G66" s="96">
        <f>+BA!G74</f>
        <v>0</v>
      </c>
      <c r="H66" s="96">
        <f>+BA!H74</f>
        <v>0</v>
      </c>
      <c r="I66" s="96">
        <f>+BA!I74</f>
        <v>0</v>
      </c>
      <c r="J66" s="96">
        <f>+BA!J74</f>
        <v>0</v>
      </c>
      <c r="K66" s="96">
        <f>+BA!K74</f>
        <v>0</v>
      </c>
      <c r="L66" s="96">
        <f>+BA!L74</f>
        <v>0</v>
      </c>
      <c r="M66" s="96">
        <f>+BA!M74</f>
        <v>0</v>
      </c>
      <c r="N66" s="96">
        <f>+BA!N74</f>
        <v>0</v>
      </c>
      <c r="O66" s="96">
        <f>+BA!O74</f>
        <v>0</v>
      </c>
      <c r="P66" s="101"/>
    </row>
    <row r="67" spans="2:16" x14ac:dyDescent="0.25">
      <c r="B67" s="88" t="s">
        <v>74</v>
      </c>
      <c r="D67" s="96">
        <f>+BA!D73</f>
        <v>0</v>
      </c>
      <c r="E67" s="96">
        <f>+BA!E73</f>
        <v>0</v>
      </c>
      <c r="F67" s="96">
        <f>+BA!F73</f>
        <v>0</v>
      </c>
      <c r="G67" s="96">
        <f>+BA!G73</f>
        <v>0</v>
      </c>
      <c r="H67" s="96">
        <f>+BA!H73</f>
        <v>0</v>
      </c>
      <c r="I67" s="96">
        <f>+BA!I73</f>
        <v>0</v>
      </c>
      <c r="J67" s="96">
        <f>+BA!J73</f>
        <v>0</v>
      </c>
      <c r="K67" s="96">
        <f>+BA!K73</f>
        <v>0</v>
      </c>
      <c r="L67" s="96">
        <f>+BA!L73</f>
        <v>0</v>
      </c>
      <c r="M67" s="96">
        <f>+BA!M73</f>
        <v>0</v>
      </c>
      <c r="N67" s="96">
        <f>+BA!N73</f>
        <v>0</v>
      </c>
      <c r="O67" s="96">
        <f>+BA!O73</f>
        <v>0</v>
      </c>
    </row>
    <row r="68" spans="2:16" x14ac:dyDescent="0.25">
      <c r="B68" s="88" t="s">
        <v>9</v>
      </c>
      <c r="D68" s="96">
        <f>+BA!D75</f>
        <v>0</v>
      </c>
      <c r="E68" s="96">
        <f>+BA!E75</f>
        <v>0</v>
      </c>
      <c r="F68" s="96">
        <f>+BA!F75</f>
        <v>0</v>
      </c>
      <c r="G68" s="96">
        <f>+BA!G75</f>
        <v>0</v>
      </c>
      <c r="H68" s="96">
        <f>+BA!H75</f>
        <v>0</v>
      </c>
      <c r="I68" s="96">
        <f>+BA!I75</f>
        <v>0</v>
      </c>
      <c r="J68" s="96">
        <f>+BA!J75</f>
        <v>0</v>
      </c>
      <c r="K68" s="96">
        <f>+BA!K75</f>
        <v>0</v>
      </c>
      <c r="L68" s="96">
        <f>+BA!L75</f>
        <v>0</v>
      </c>
      <c r="M68" s="96">
        <f>+BA!M75</f>
        <v>0</v>
      </c>
      <c r="N68" s="96">
        <f>+BA!N75</f>
        <v>0</v>
      </c>
      <c r="O68" s="96">
        <f>+BA!O75</f>
        <v>0</v>
      </c>
    </row>
    <row r="69" spans="2:16" x14ac:dyDescent="0.25">
      <c r="B69" s="88" t="s">
        <v>75</v>
      </c>
      <c r="C69" s="86">
        <v>7</v>
      </c>
      <c r="D69" s="92">
        <f>+BA!D76</f>
        <v>12248988.664500004</v>
      </c>
      <c r="E69" s="92">
        <f>+BA!E76</f>
        <v>8746689.7645000033</v>
      </c>
      <c r="F69" s="92">
        <f>+BA!F76</f>
        <v>7868034.5145000042</v>
      </c>
      <c r="G69" s="92">
        <f>+BA!G76</f>
        <v>4856946.6500000004</v>
      </c>
      <c r="H69" s="92">
        <f>+BA!H76</f>
        <v>3194488.45</v>
      </c>
      <c r="I69" s="92">
        <f>+BA!I76</f>
        <v>1799788.6</v>
      </c>
      <c r="J69" s="92">
        <f>+BA!J76</f>
        <v>595079</v>
      </c>
      <c r="K69" s="92">
        <f>+BA!K76</f>
        <v>-1160383</v>
      </c>
      <c r="L69" s="92">
        <f>+BA!L76</f>
        <v>2835704</v>
      </c>
      <c r="M69" s="92">
        <f>+BA!M76</f>
        <v>1994762</v>
      </c>
      <c r="N69" s="92">
        <f>+BA!N76</f>
        <v>0</v>
      </c>
      <c r="O69" s="92">
        <f>+BA!O76</f>
        <v>-3967933</v>
      </c>
    </row>
    <row r="70" spans="2:16" x14ac:dyDescent="0.25">
      <c r="B70" s="88" t="s">
        <v>76</v>
      </c>
      <c r="C70" s="86">
        <v>7</v>
      </c>
      <c r="D70" s="92">
        <f>+BA!D77</f>
        <v>2683838.15</v>
      </c>
      <c r="E70" s="92">
        <f>+BA!E77</f>
        <v>3502298.9</v>
      </c>
      <c r="F70" s="92">
        <f>+BA!F77</f>
        <v>878655.25</v>
      </c>
      <c r="G70" s="92">
        <f>+BA!G77</f>
        <v>3011087.8645000039</v>
      </c>
      <c r="H70" s="92">
        <f>+BA!H77</f>
        <v>1662458.2</v>
      </c>
      <c r="I70" s="92">
        <f>+BA!I77</f>
        <v>1394699.85</v>
      </c>
      <c r="J70" s="92">
        <f>+BA!J77</f>
        <v>1204709.6000000001</v>
      </c>
      <c r="K70" s="92">
        <f>+BA!K77</f>
        <v>1755462</v>
      </c>
      <c r="L70" s="92">
        <f>+BA!L77</f>
        <v>512149</v>
      </c>
      <c r="M70" s="92">
        <f>+BA!M77</f>
        <v>840942</v>
      </c>
      <c r="N70" s="92">
        <f>+BA!N77</f>
        <v>1994762</v>
      </c>
      <c r="O70" s="92">
        <f>+BA!O77</f>
        <v>-7053380</v>
      </c>
    </row>
    <row r="71" spans="2:16" ht="16.5" thickBot="1" x14ac:dyDescent="0.3">
      <c r="B71" s="98" t="s">
        <v>122</v>
      </c>
      <c r="D71" s="99">
        <f t="shared" ref="D71:I71" si="16">SUM(D64:D70)</f>
        <v>15032826.814500004</v>
      </c>
      <c r="E71" s="99">
        <f t="shared" si="16"/>
        <v>12348988.664500004</v>
      </c>
      <c r="F71" s="99">
        <f t="shared" si="16"/>
        <v>8846689.7645000033</v>
      </c>
      <c r="G71" s="99">
        <f t="shared" si="16"/>
        <v>7968034.5145000042</v>
      </c>
      <c r="H71" s="99">
        <f t="shared" si="16"/>
        <v>4956946.6500000004</v>
      </c>
      <c r="I71" s="99">
        <f t="shared" si="16"/>
        <v>3294488.45</v>
      </c>
      <c r="J71" s="99">
        <f t="shared" ref="J71:O71" si="17">SUM(J64:J70)</f>
        <v>1899788.6</v>
      </c>
      <c r="K71" s="99">
        <f t="shared" si="17"/>
        <v>695079</v>
      </c>
      <c r="L71" s="99">
        <f t="shared" si="17"/>
        <v>3447853</v>
      </c>
      <c r="M71" s="99">
        <f t="shared" si="17"/>
        <v>2935704</v>
      </c>
      <c r="N71" s="99">
        <f t="shared" si="17"/>
        <v>2094762</v>
      </c>
      <c r="O71" s="99">
        <f t="shared" si="17"/>
        <v>-10921313</v>
      </c>
    </row>
    <row r="72" spans="2:16" ht="16.5" thickTop="1" x14ac:dyDescent="0.25">
      <c r="B72" s="88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</row>
    <row r="73" spans="2:16" x14ac:dyDescent="0.25">
      <c r="B73" s="98" t="s">
        <v>78</v>
      </c>
      <c r="D73" s="100">
        <f t="shared" ref="D73:I73" si="18">+D71+D61+D55</f>
        <v>42206474.232800007</v>
      </c>
      <c r="E73" s="100">
        <f t="shared" si="18"/>
        <v>33511958.664500006</v>
      </c>
      <c r="F73" s="100">
        <f t="shared" si="18"/>
        <v>34375130.764500007</v>
      </c>
      <c r="G73" s="100">
        <f t="shared" si="18"/>
        <v>36117709.004500009</v>
      </c>
      <c r="H73" s="100">
        <f t="shared" si="18"/>
        <v>22679566.450000003</v>
      </c>
      <c r="I73" s="100">
        <f t="shared" si="18"/>
        <v>21199712.449999999</v>
      </c>
      <c r="J73" s="100">
        <f t="shared" ref="J73:O73" si="19">+J71+J61+J55</f>
        <v>19798255.600000001</v>
      </c>
      <c r="K73" s="100">
        <f t="shared" si="19"/>
        <v>21499284</v>
      </c>
      <c r="L73" s="100">
        <f t="shared" si="19"/>
        <v>3648957</v>
      </c>
      <c r="M73" s="100">
        <f t="shared" si="19"/>
        <v>3105261</v>
      </c>
      <c r="N73" s="100">
        <f t="shared" si="19"/>
        <v>3714826</v>
      </c>
      <c r="O73" s="100">
        <f t="shared" si="19"/>
        <v>2663991</v>
      </c>
      <c r="P73" s="101"/>
    </row>
    <row r="75" spans="2:16" x14ac:dyDescent="0.25">
      <c r="C75" s="98">
        <v>2</v>
      </c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</row>
    <row r="76" spans="2:16" x14ac:dyDescent="0.25">
      <c r="B76" s="98" t="s">
        <v>437</v>
      </c>
      <c r="C76" s="98"/>
      <c r="D76" s="103" t="s">
        <v>599</v>
      </c>
      <c r="E76" s="103"/>
      <c r="F76" s="103"/>
      <c r="G76" s="103"/>
      <c r="H76" s="103"/>
      <c r="I76" s="103"/>
      <c r="J76" s="103"/>
      <c r="K76" s="103"/>
      <c r="L76" s="103"/>
      <c r="M76" s="103"/>
      <c r="N76" s="102"/>
    </row>
    <row r="77" spans="2:16" ht="66.75" hidden="1" customHeight="1" x14ac:dyDescent="0.25">
      <c r="B77" s="98"/>
      <c r="C77" s="98"/>
      <c r="D77" s="102"/>
      <c r="E77" s="102"/>
      <c r="F77" s="102"/>
      <c r="G77" s="102"/>
      <c r="H77" s="102"/>
      <c r="I77" s="102"/>
      <c r="J77" s="102"/>
      <c r="K77" s="102"/>
      <c r="L77" s="102"/>
      <c r="M77" s="102"/>
      <c r="N77" s="102"/>
      <c r="O77" s="102"/>
    </row>
    <row r="78" spans="2:16" hidden="1" x14ac:dyDescent="0.25">
      <c r="B78" s="86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</row>
    <row r="79" spans="2:16" hidden="1" x14ac:dyDescent="0.25">
      <c r="D79" s="94">
        <f t="shared" ref="D79:I79" si="20">+D73-D38</f>
        <v>4.6000108122825623E-3</v>
      </c>
      <c r="E79" s="94">
        <f t="shared" si="20"/>
        <v>4.5000053942203522E-3</v>
      </c>
      <c r="F79" s="94">
        <f t="shared" si="20"/>
        <v>4.5000016689300537E-3</v>
      </c>
      <c r="G79" s="94">
        <f t="shared" si="20"/>
        <v>4.5000091195106506E-3</v>
      </c>
      <c r="H79" s="94">
        <f t="shared" si="20"/>
        <v>0</v>
      </c>
      <c r="I79" s="94">
        <f t="shared" si="20"/>
        <v>0</v>
      </c>
      <c r="J79" s="94">
        <f t="shared" ref="J79:O79" si="21">+J73-J38</f>
        <v>0</v>
      </c>
      <c r="K79" s="94">
        <f t="shared" si="21"/>
        <v>0</v>
      </c>
      <c r="L79" s="94">
        <f t="shared" si="21"/>
        <v>0</v>
      </c>
      <c r="M79" s="94">
        <f t="shared" si="21"/>
        <v>0</v>
      </c>
      <c r="N79" s="94">
        <f t="shared" si="21"/>
        <v>0</v>
      </c>
      <c r="O79" s="94">
        <f t="shared" si="21"/>
        <v>0</v>
      </c>
    </row>
    <row r="80" spans="2:16" hidden="1" x14ac:dyDescent="0.25">
      <c r="D80" s="105"/>
      <c r="E80" s="105"/>
      <c r="F80" s="105"/>
      <c r="G80" s="105"/>
      <c r="H80" s="105"/>
      <c r="I80" s="105"/>
      <c r="J80" s="105"/>
      <c r="K80" s="105"/>
      <c r="L80" s="105"/>
      <c r="M80" s="105"/>
      <c r="N80" s="105"/>
      <c r="O80" s="105"/>
    </row>
    <row r="81" spans="4:15" hidden="1" x14ac:dyDescent="0.25">
      <c r="D81" s="105"/>
      <c r="E81" s="105"/>
      <c r="F81" s="105"/>
      <c r="G81" s="105"/>
      <c r="H81" s="105"/>
      <c r="I81" s="105"/>
      <c r="J81" s="105"/>
      <c r="K81" s="105"/>
      <c r="L81" s="105"/>
      <c r="M81" s="105"/>
      <c r="N81" s="105"/>
      <c r="O81" s="105"/>
    </row>
    <row r="82" spans="4:15" hidden="1" x14ac:dyDescent="0.25">
      <c r="D82" s="105"/>
      <c r="E82" s="105"/>
      <c r="F82" s="105"/>
      <c r="G82" s="105"/>
      <c r="H82" s="105"/>
      <c r="I82" s="105"/>
      <c r="J82" s="105"/>
      <c r="K82" s="105"/>
      <c r="L82" s="105"/>
      <c r="M82" s="105"/>
      <c r="N82" s="105"/>
      <c r="O82" s="105"/>
    </row>
    <row r="83" spans="4:15" hidden="1" x14ac:dyDescent="0.25">
      <c r="D83" s="105"/>
      <c r="E83" s="105"/>
      <c r="F83" s="105"/>
      <c r="G83" s="105"/>
      <c r="H83" s="105"/>
      <c r="I83" s="105"/>
      <c r="J83" s="105"/>
      <c r="K83" s="105"/>
      <c r="L83" s="105"/>
      <c r="M83" s="105"/>
      <c r="N83" s="105"/>
      <c r="O83" s="105"/>
    </row>
    <row r="84" spans="4:15" hidden="1" x14ac:dyDescent="0.25">
      <c r="D84" s="105"/>
      <c r="E84" s="105"/>
      <c r="F84" s="105"/>
      <c r="G84" s="105"/>
      <c r="H84" s="105"/>
      <c r="I84" s="105"/>
      <c r="J84" s="105"/>
      <c r="K84" s="105"/>
      <c r="L84" s="105"/>
      <c r="M84" s="105"/>
      <c r="N84" s="105"/>
      <c r="O84" s="105"/>
    </row>
    <row r="85" spans="4:15" hidden="1" x14ac:dyDescent="0.25"/>
  </sheetData>
  <phoneticPr fontId="3" type="noConversion"/>
  <pageMargins left="0.46" right="0.4" top="0.34" bottom="0.3" header="0.22" footer="0.25"/>
  <pageSetup paperSize="9"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P39"/>
  <sheetViews>
    <sheetView tabSelected="1" workbookViewId="0">
      <selection activeCell="N33" sqref="N33"/>
    </sheetView>
  </sheetViews>
  <sheetFormatPr defaultRowHeight="12.75" x14ac:dyDescent="0.2"/>
  <cols>
    <col min="1" max="1" width="3.85546875" style="1" customWidth="1"/>
    <col min="2" max="2" width="46.42578125" style="1" customWidth="1"/>
    <col min="3" max="3" width="7.5703125" style="12" customWidth="1"/>
    <col min="4" max="5" width="16.28515625" style="8" customWidth="1"/>
    <col min="6" max="12" width="16.28515625" style="8" hidden="1" customWidth="1"/>
    <col min="13" max="13" width="16.42578125" style="8" hidden="1" customWidth="1"/>
    <col min="14" max="15" width="15.5703125" style="8" hidden="1" customWidth="1"/>
    <col min="16" max="16" width="11.140625" style="1" hidden="1" customWidth="1"/>
    <col min="17" max="16384" width="9.140625" style="1"/>
  </cols>
  <sheetData>
    <row r="1" spans="1:15" ht="15.75" x14ac:dyDescent="0.25">
      <c r="A1" s="26" t="s">
        <v>543</v>
      </c>
    </row>
    <row r="2" spans="1:15" ht="15.75" x14ac:dyDescent="0.25">
      <c r="A2" s="14" t="s">
        <v>713</v>
      </c>
    </row>
    <row r="3" spans="1:15" ht="15.75" x14ac:dyDescent="0.25">
      <c r="A3" s="14" t="s">
        <v>96</v>
      </c>
    </row>
    <row r="4" spans="1:15" ht="15.75" x14ac:dyDescent="0.25">
      <c r="A4" s="14"/>
    </row>
    <row r="5" spans="1:15" ht="13.5" thickBot="1" x14ac:dyDescent="0.25">
      <c r="C5" s="12" t="s">
        <v>435</v>
      </c>
      <c r="D5" s="17" t="s">
        <v>711</v>
      </c>
      <c r="E5" s="17" t="s">
        <v>696</v>
      </c>
      <c r="F5" s="17" t="s">
        <v>684</v>
      </c>
      <c r="G5" s="17" t="s">
        <v>675</v>
      </c>
      <c r="H5" s="17" t="s">
        <v>670</v>
      </c>
      <c r="I5" s="17" t="s">
        <v>663</v>
      </c>
      <c r="J5" s="17" t="s">
        <v>648</v>
      </c>
      <c r="K5" s="17" t="s">
        <v>635</v>
      </c>
      <c r="L5" s="17" t="s">
        <v>598</v>
      </c>
      <c r="M5" s="17" t="s">
        <v>536</v>
      </c>
      <c r="N5" s="17" t="s">
        <v>521</v>
      </c>
      <c r="O5" s="17" t="s">
        <v>88</v>
      </c>
    </row>
    <row r="6" spans="1:15" ht="13.5" thickTop="1" x14ac:dyDescent="0.2"/>
    <row r="8" spans="1:15" x14ac:dyDescent="0.2">
      <c r="B8" s="1" t="s">
        <v>10</v>
      </c>
      <c r="C8" s="12">
        <v>8</v>
      </c>
      <c r="D8" s="8">
        <f>+'A-Sh BA'!C12</f>
        <v>402531859</v>
      </c>
      <c r="E8" s="8">
        <f>+'A-Sh BA'!D12</f>
        <v>519157790</v>
      </c>
      <c r="F8" s="8">
        <f>+'A-Sh BA'!E12</f>
        <v>537776947</v>
      </c>
      <c r="G8" s="8">
        <f>+'A-Sh BA'!F12</f>
        <v>462882613</v>
      </c>
      <c r="H8" s="8">
        <f>+'A-Sh BA'!G12</f>
        <v>27265876</v>
      </c>
      <c r="I8" s="8">
        <f>+'A-Sh BA'!H12</f>
        <v>15746159</v>
      </c>
      <c r="J8" s="8">
        <f>+'A-Sh BA'!I12</f>
        <v>153095919</v>
      </c>
      <c r="K8" s="8">
        <f>+'A-Sh BA'!J12</f>
        <v>108863657</v>
      </c>
      <c r="L8" s="8">
        <f>+'A-Sh BA'!K12</f>
        <v>47054355</v>
      </c>
      <c r="M8" s="8">
        <f>+'A-Sh BA'!L12</f>
        <v>76859726</v>
      </c>
      <c r="N8" s="8">
        <f>+'A-Sh BA'!M12</f>
        <v>61947030</v>
      </c>
      <c r="O8" s="8">
        <f>+'A-Sh BA'!N12</f>
        <v>78482619</v>
      </c>
    </row>
    <row r="9" spans="1:15" x14ac:dyDescent="0.2">
      <c r="B9" s="1" t="s">
        <v>79</v>
      </c>
      <c r="C9" s="12">
        <v>9</v>
      </c>
      <c r="D9" s="8">
        <f>+'A-Sh BA'!C19</f>
        <v>0</v>
      </c>
      <c r="E9" s="8">
        <f>+'A-Sh BA'!D19</f>
        <v>0</v>
      </c>
      <c r="F9" s="8">
        <f>+'A-Sh BA'!E19</f>
        <v>583335</v>
      </c>
      <c r="G9" s="8">
        <f>+'A-Sh BA'!F19</f>
        <v>0</v>
      </c>
      <c r="H9" s="8">
        <f>+'A-Sh BA'!G19</f>
        <v>0</v>
      </c>
      <c r="I9" s="8">
        <f>+'A-Sh BA'!H19</f>
        <v>0</v>
      </c>
      <c r="J9" s="8">
        <f>+'A-Sh BA'!I19</f>
        <v>0</v>
      </c>
      <c r="K9" s="8">
        <f>+'A-Sh BA'!J19</f>
        <v>0</v>
      </c>
      <c r="L9" s="8">
        <f>+'A-Sh BA'!K19</f>
        <v>0</v>
      </c>
      <c r="M9" s="8">
        <f>+'A-Sh BA'!L19</f>
        <v>0</v>
      </c>
      <c r="N9" s="8">
        <f>+'A-Sh BA'!M19</f>
        <v>0</v>
      </c>
      <c r="O9" s="8">
        <f>+'A-Sh BA'!N19</f>
        <v>0</v>
      </c>
    </row>
    <row r="10" spans="1:15" ht="25.5" x14ac:dyDescent="0.2">
      <c r="B10" s="4" t="s">
        <v>80</v>
      </c>
    </row>
    <row r="11" spans="1:15" ht="25.5" x14ac:dyDescent="0.2">
      <c r="B11" s="4" t="s">
        <v>81</v>
      </c>
    </row>
    <row r="12" spans="1:15" x14ac:dyDescent="0.2">
      <c r="B12" s="1" t="s">
        <v>82</v>
      </c>
      <c r="C12" s="12">
        <v>10</v>
      </c>
      <c r="D12" s="8">
        <f>-'A-Sh BA'!C65-'A-Sh BA'!C68</f>
        <v>-389185566</v>
      </c>
      <c r="E12" s="8">
        <f>-'A-Sh BA'!D65-'A-Sh BA'!D68</f>
        <v>-502269742</v>
      </c>
      <c r="F12" s="8">
        <f>-'A-Sh BA'!E65-'A-Sh BA'!E68</f>
        <v>-528805100</v>
      </c>
      <c r="G12" s="8">
        <f>-'A-Sh BA'!F65-'A-Sh BA'!F68</f>
        <v>-450900558</v>
      </c>
      <c r="H12" s="8">
        <f>-'A-Sh BA'!G65-'A-Sh BA'!G68</f>
        <v>0</v>
      </c>
      <c r="I12" s="8">
        <f>-'A-Sh BA'!H65-'A-Sh BA'!H68</f>
        <v>0</v>
      </c>
      <c r="J12" s="8">
        <f>-'A-Sh BA'!I65-'A-Sh BA'!I68</f>
        <v>-142702565</v>
      </c>
      <c r="K12" s="8">
        <f>-'A-Sh BA'!J65-'A-Sh BA'!J68</f>
        <v>-101943489</v>
      </c>
      <c r="L12" s="8">
        <f>-'A-Sh BA'!K65-'A-Sh BA'!K68</f>
        <v>-42360628</v>
      </c>
      <c r="M12" s="8">
        <f>-'A-Sh BA'!L65-'A-Sh BA'!L68</f>
        <v>-2404665</v>
      </c>
      <c r="N12" s="8">
        <f>-'A-Sh BA'!M65-'A-Sh BA'!M68</f>
        <v>-1349918</v>
      </c>
      <c r="O12" s="8">
        <f>-'A-Sh BA'!N65-'A-Sh BA'!N68</f>
        <v>-1023300</v>
      </c>
    </row>
    <row r="13" spans="1:15" x14ac:dyDescent="0.2">
      <c r="B13" s="1" t="s">
        <v>83</v>
      </c>
      <c r="C13" s="12">
        <v>11</v>
      </c>
      <c r="D13" s="8">
        <f>-'A-Sh BA'!C71-'A-Sh BA'!C76-'A-Sh BA'!C77</f>
        <v>-2797702</v>
      </c>
      <c r="E13" s="8">
        <f>-'A-Sh BA'!D71-'A-Sh BA'!D76-'A-Sh BA'!D77</f>
        <v>-5882938</v>
      </c>
      <c r="F13" s="8">
        <f>-'A-Sh BA'!E71-'A-Sh BA'!E76-'A-Sh BA'!E77</f>
        <v>-3946568</v>
      </c>
      <c r="G13" s="8">
        <f>-'A-Sh BA'!F71-'A-Sh BA'!F76-'A-Sh BA'!F77</f>
        <v>-3632075.63</v>
      </c>
      <c r="H13" s="8">
        <f>-'A-Sh BA'!G71-'A-Sh BA'!G76-'A-Sh BA'!G77</f>
        <v>-20047798</v>
      </c>
      <c r="I13" s="8">
        <f>-'A-Sh BA'!H71-'A-Sh BA'!H76-'A-Sh BA'!H77</f>
        <v>-8968662</v>
      </c>
      <c r="J13" s="8">
        <f>-'A-Sh BA'!I71-'A-Sh BA'!I76-'A-Sh BA'!I77</f>
        <v>-3471659</v>
      </c>
      <c r="K13" s="8">
        <f>-'A-Sh BA'!J71-'A-Sh BA'!J76-'A-Sh BA'!J77</f>
        <v>-1737749</v>
      </c>
      <c r="L13" s="8">
        <f>-'A-Sh BA'!K71-'A-Sh BA'!K76-'A-Sh BA'!K77</f>
        <v>-984636</v>
      </c>
      <c r="M13" s="8">
        <f>-'A-Sh BA'!L71-'A-Sh BA'!L76-'A-Sh BA'!L77</f>
        <v>-70286899</v>
      </c>
      <c r="N13" s="8">
        <f>-'A-Sh BA'!M71-'A-Sh BA'!M76-'A-Sh BA'!M77</f>
        <v>-56043521</v>
      </c>
      <c r="O13" s="8">
        <f>-'A-Sh BA'!N71-'A-Sh BA'!N76-'A-Sh BA'!N77</f>
        <v>-84604265</v>
      </c>
    </row>
    <row r="14" spans="1:15" x14ac:dyDescent="0.2">
      <c r="B14" s="1" t="s">
        <v>11</v>
      </c>
      <c r="C14" s="12">
        <v>12</v>
      </c>
      <c r="D14" s="8">
        <f>-'A-Sh BA'!C72</f>
        <v>-5873179</v>
      </c>
      <c r="E14" s="8">
        <f>-'A-Sh BA'!D72</f>
        <v>-5621209</v>
      </c>
      <c r="F14" s="8">
        <f>-'A-Sh BA'!E72</f>
        <v>-3069745</v>
      </c>
      <c r="G14" s="8">
        <f>-'A-Sh BA'!F72</f>
        <v>-3159435</v>
      </c>
      <c r="H14" s="8">
        <f>-'A-Sh BA'!G72</f>
        <v>-3320598</v>
      </c>
      <c r="I14" s="8">
        <f>-'A-Sh BA'!H72</f>
        <v>-2709788</v>
      </c>
      <c r="J14" s="8">
        <f>-'A-Sh BA'!I72</f>
        <v>-2968393</v>
      </c>
      <c r="K14" s="8">
        <f>-'A-Sh BA'!J72</f>
        <v>-2900664</v>
      </c>
      <c r="L14" s="8">
        <f>-'A-Sh BA'!K72</f>
        <v>-2922498</v>
      </c>
      <c r="M14" s="8">
        <f>-'A-Sh BA'!L72</f>
        <v>-2978174</v>
      </c>
      <c r="N14" s="8">
        <f>-'A-Sh BA'!M72</f>
        <v>-2558830</v>
      </c>
      <c r="O14" s="8">
        <f>-'A-Sh BA'!N72</f>
        <v>-3494674</v>
      </c>
    </row>
    <row r="15" spans="1:15" x14ac:dyDescent="0.2">
      <c r="B15" s="1" t="s">
        <v>84</v>
      </c>
      <c r="D15" s="22">
        <f>-'A-Sh BA'!C81</f>
        <v>-626022</v>
      </c>
      <c r="E15" s="22">
        <f>-'A-Sh BA'!D81</f>
        <v>-194858</v>
      </c>
      <c r="F15" s="22">
        <f>-'A-Sh BA'!E81</f>
        <v>-583209</v>
      </c>
      <c r="G15" s="22">
        <f>-'A-Sh BA'!F81</f>
        <v>-695790</v>
      </c>
      <c r="H15" s="22">
        <f>-'A-Sh BA'!G81</f>
        <v>-866550</v>
      </c>
      <c r="I15" s="22">
        <f>-'A-Sh BA'!H81</f>
        <v>-1083187</v>
      </c>
      <c r="J15" s="22">
        <f>-'A-Sh BA'!I81</f>
        <v>-1351456</v>
      </c>
      <c r="K15" s="22">
        <f>-'A-Sh BA'!J81</f>
        <v>-200430</v>
      </c>
      <c r="L15" s="22">
        <f>-'A-Sh BA'!K81</f>
        <v>-190945</v>
      </c>
      <c r="M15" s="22">
        <f>-'A-Sh BA'!L81</f>
        <v>-238681</v>
      </c>
      <c r="N15" s="22">
        <f>-'A-Sh BA'!M81</f>
        <v>0</v>
      </c>
      <c r="O15" s="22">
        <f>-'A-Sh BA'!N81</f>
        <v>0</v>
      </c>
    </row>
    <row r="16" spans="1:15" ht="13.5" thickBot="1" x14ac:dyDescent="0.25">
      <c r="D16" s="9">
        <f t="shared" ref="D16:I16" si="0">SUM(D8:D15)</f>
        <v>4049390</v>
      </c>
      <c r="E16" s="9">
        <f t="shared" si="0"/>
        <v>5189043</v>
      </c>
      <c r="F16" s="9">
        <f t="shared" si="0"/>
        <v>1955660</v>
      </c>
      <c r="G16" s="9">
        <f t="shared" si="0"/>
        <v>4494754.37</v>
      </c>
      <c r="H16" s="9">
        <f t="shared" si="0"/>
        <v>3030930</v>
      </c>
      <c r="I16" s="9">
        <f t="shared" si="0"/>
        <v>2984522</v>
      </c>
      <c r="J16" s="9">
        <f t="shared" ref="J16:O16" si="1">SUM(J8:J15)</f>
        <v>2601846</v>
      </c>
      <c r="K16" s="9">
        <f t="shared" si="1"/>
        <v>2081325</v>
      </c>
      <c r="L16" s="9">
        <f t="shared" si="1"/>
        <v>595648</v>
      </c>
      <c r="M16" s="9">
        <f t="shared" si="1"/>
        <v>951307</v>
      </c>
      <c r="N16" s="9">
        <f t="shared" si="1"/>
        <v>1994761</v>
      </c>
      <c r="O16" s="9">
        <f t="shared" si="1"/>
        <v>-10639620</v>
      </c>
    </row>
    <row r="17" spans="1:16" s="2" customFormat="1" ht="13.5" thickTop="1" x14ac:dyDescent="0.2">
      <c r="A17" s="3" t="s">
        <v>85</v>
      </c>
      <c r="C17" s="7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</row>
    <row r="18" spans="1:16" s="2" customFormat="1" x14ac:dyDescent="0.2">
      <c r="B18" s="5"/>
      <c r="C18" s="7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</row>
    <row r="19" spans="1:16" s="2" customFormat="1" ht="25.5" x14ac:dyDescent="0.2">
      <c r="B19" s="4" t="s">
        <v>86</v>
      </c>
      <c r="C19" s="7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</row>
    <row r="20" spans="1:16" x14ac:dyDescent="0.2">
      <c r="B20" s="4" t="s">
        <v>87</v>
      </c>
    </row>
    <row r="21" spans="1:16" x14ac:dyDescent="0.2">
      <c r="B21" s="1" t="s">
        <v>12</v>
      </c>
      <c r="C21" s="12">
        <v>13</v>
      </c>
      <c r="D21" s="8">
        <f>+'A-Sh BA'!C36-'A-Sh BA'!C89</f>
        <v>-713211.00000000023</v>
      </c>
      <c r="E21" s="8">
        <f>+'A-Sh BA'!D36-'A-Sh BA'!D89</f>
        <v>-986581.00000000023</v>
      </c>
      <c r="F21" s="8">
        <f>+'A-Sh BA'!E36-'A-Sh BA'!E89</f>
        <v>-585787.00000000023</v>
      </c>
      <c r="G21" s="8">
        <f>+'A-Sh BA'!F36-'A-Sh BA'!F89</f>
        <v>-941998.00000000023</v>
      </c>
      <c r="H21" s="8">
        <f>+'A-Sh BA'!G36-'A-Sh BA'!G89</f>
        <v>-1057901.0000000002</v>
      </c>
      <c r="I21" s="8">
        <f>+'A-Sh BA'!H36-'A-Sh BA'!H89</f>
        <v>-1341647.0000000002</v>
      </c>
      <c r="J21" s="8">
        <f>+'A-Sh BA'!I36-'A-Sh BA'!I89</f>
        <v>-1262992.0000000002</v>
      </c>
      <c r="K21" s="8">
        <f>+'A-Sh BA'!J36-'A-Sh BA'!J89</f>
        <v>-75546.000000000175</v>
      </c>
      <c r="L21" s="8">
        <f>+'A-Sh BA'!K36-'A-Sh BA'!K89</f>
        <v>-1.7462298274040222E-10</v>
      </c>
      <c r="M21" s="8">
        <f>+'A-Sh BA'!L36-'A-Sh BA'!L89</f>
        <v>-3800.0000000001746</v>
      </c>
      <c r="N21" s="8">
        <f>+'A-Sh BA'!M36-'A-Sh BA'!M89</f>
        <v>0</v>
      </c>
      <c r="O21" s="8">
        <f>+'A-Sh BA'!N36-'A-Sh BA'!N89</f>
        <v>3586136</v>
      </c>
      <c r="P21" s="8"/>
    </row>
    <row r="22" spans="1:16" x14ac:dyDescent="0.2">
      <c r="P22" s="8"/>
    </row>
    <row r="23" spans="1:16" ht="13.5" thickBot="1" x14ac:dyDescent="0.25">
      <c r="B23" s="6" t="s">
        <v>13</v>
      </c>
      <c r="C23" s="13"/>
      <c r="D23" s="23">
        <f t="shared" ref="D23:I23" si="2">+D16+D21</f>
        <v>3336179</v>
      </c>
      <c r="E23" s="23">
        <f t="shared" si="2"/>
        <v>4202462</v>
      </c>
      <c r="F23" s="23">
        <f t="shared" si="2"/>
        <v>1369872.9999999998</v>
      </c>
      <c r="G23" s="23">
        <f t="shared" si="2"/>
        <v>3552756.37</v>
      </c>
      <c r="H23" s="23">
        <f t="shared" si="2"/>
        <v>1973028.9999999998</v>
      </c>
      <c r="I23" s="23">
        <f t="shared" si="2"/>
        <v>1642874.9999999998</v>
      </c>
      <c r="J23" s="23">
        <f t="shared" ref="J23:O23" si="3">+J16+J21</f>
        <v>1338853.9999999998</v>
      </c>
      <c r="K23" s="23">
        <f t="shared" si="3"/>
        <v>2005778.9999999998</v>
      </c>
      <c r="L23" s="23">
        <f t="shared" si="3"/>
        <v>595647.99999999977</v>
      </c>
      <c r="M23" s="23">
        <f t="shared" si="3"/>
        <v>947506.99999999977</v>
      </c>
      <c r="N23" s="23">
        <f t="shared" si="3"/>
        <v>1994761</v>
      </c>
      <c r="O23" s="23">
        <f t="shared" si="3"/>
        <v>-7053484</v>
      </c>
    </row>
    <row r="24" spans="1:16" s="2" customFormat="1" ht="13.5" thickTop="1" x14ac:dyDescent="0.2">
      <c r="C24" s="13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</row>
    <row r="25" spans="1:16" s="2" customFormat="1" x14ac:dyDescent="0.2">
      <c r="B25" s="5" t="s">
        <v>14</v>
      </c>
      <c r="C25" s="13">
        <v>14</v>
      </c>
      <c r="D25" s="10">
        <f>-'A-Sh BA'!C102</f>
        <v>-652340.85</v>
      </c>
      <c r="E25" s="10">
        <f>-'A-Sh BA'!D102</f>
        <v>-700163.1</v>
      </c>
      <c r="F25" s="10">
        <f>-'A-Sh BA'!E102</f>
        <v>-491217.75</v>
      </c>
      <c r="G25" s="10">
        <f>-'A-Sh BA'!F102</f>
        <v>-541668.50550000067</v>
      </c>
      <c r="H25" s="10">
        <f>-'A-Sh BA'!G102</f>
        <v>-310570.8</v>
      </c>
      <c r="I25" s="10">
        <f>-'A-Sh BA'!H102</f>
        <v>-248175.15</v>
      </c>
      <c r="J25" s="10">
        <f>-'A-Sh BA'!I102</f>
        <v>-134144.4</v>
      </c>
      <c r="K25" s="10">
        <f>-'A-Sh BA'!J102</f>
        <v>-250317</v>
      </c>
      <c r="L25" s="10">
        <f>-'A-Sh BA'!K102</f>
        <v>-83499.400000000009</v>
      </c>
      <c r="M25" s="10">
        <f>-'A-Sh BA'!L102</f>
        <v>-106565</v>
      </c>
      <c r="N25" s="10">
        <f>-'A-Sh BA'!M102</f>
        <v>-199476</v>
      </c>
      <c r="O25" s="10">
        <f>-'A-Sh BA'!N102</f>
        <v>0</v>
      </c>
    </row>
    <row r="26" spans="1:16" s="2" customFormat="1" x14ac:dyDescent="0.2">
      <c r="B26" s="5"/>
      <c r="C26" s="13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</row>
    <row r="27" spans="1:16" s="2" customFormat="1" ht="13.5" thickBot="1" x14ac:dyDescent="0.25">
      <c r="B27" s="6" t="s">
        <v>15</v>
      </c>
      <c r="C27" s="7"/>
      <c r="D27" s="15">
        <f t="shared" ref="D27:I27" si="4">+D23+D25</f>
        <v>2683838.15</v>
      </c>
      <c r="E27" s="15">
        <f t="shared" si="4"/>
        <v>3502298.9</v>
      </c>
      <c r="F27" s="15">
        <f t="shared" si="4"/>
        <v>878655.24999999977</v>
      </c>
      <c r="G27" s="15">
        <f t="shared" si="4"/>
        <v>3011087.8644999992</v>
      </c>
      <c r="H27" s="15">
        <f t="shared" si="4"/>
        <v>1662458.1999999997</v>
      </c>
      <c r="I27" s="15">
        <f t="shared" si="4"/>
        <v>1394699.8499999999</v>
      </c>
      <c r="J27" s="15">
        <f t="shared" ref="J27:O27" si="5">+J23+J25</f>
        <v>1204709.5999999999</v>
      </c>
      <c r="K27" s="15">
        <f t="shared" si="5"/>
        <v>1755461.9999999998</v>
      </c>
      <c r="L27" s="15">
        <f t="shared" si="5"/>
        <v>512148.59999999974</v>
      </c>
      <c r="M27" s="15">
        <f t="shared" si="5"/>
        <v>840941.99999999977</v>
      </c>
      <c r="N27" s="15">
        <f t="shared" si="5"/>
        <v>1795285</v>
      </c>
      <c r="O27" s="15">
        <f t="shared" si="5"/>
        <v>-7053484</v>
      </c>
    </row>
    <row r="28" spans="1:16" s="2" customFormat="1" ht="13.5" thickTop="1" x14ac:dyDescent="0.2"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</row>
    <row r="29" spans="1:16" s="2" customFormat="1" x14ac:dyDescent="0.2"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</row>
    <row r="30" spans="1:16" s="2" customFormat="1" x14ac:dyDescent="0.2"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</row>
    <row r="31" spans="1:16" s="2" customFormat="1" x14ac:dyDescent="0.2"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</row>
    <row r="32" spans="1:16" s="2" customFormat="1" x14ac:dyDescent="0.2"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</row>
    <row r="33" spans="2:15" s="2" customFormat="1" x14ac:dyDescent="0.2"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</row>
    <row r="34" spans="2:15" s="2" customFormat="1" x14ac:dyDescent="0.2">
      <c r="C34" s="447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</row>
    <row r="35" spans="2:15" s="2" customFormat="1" x14ac:dyDescent="0.2">
      <c r="C35" s="7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2:15" ht="15.75" x14ac:dyDescent="0.25">
      <c r="B36" s="20" t="s">
        <v>437</v>
      </c>
      <c r="C36" s="20"/>
      <c r="D36" s="103" t="s">
        <v>599</v>
      </c>
      <c r="E36" s="103"/>
      <c r="F36" s="103"/>
      <c r="G36" s="103"/>
      <c r="H36" s="103"/>
      <c r="I36" s="103"/>
      <c r="J36" s="103"/>
      <c r="K36" s="103"/>
      <c r="L36" s="103"/>
      <c r="M36" s="103"/>
      <c r="N36" s="58"/>
      <c r="O36" s="58"/>
    </row>
    <row r="37" spans="2:15" ht="14.25" x14ac:dyDescent="0.2">
      <c r="B37" s="20"/>
      <c r="C37" s="20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</row>
    <row r="38" spans="2:15" ht="15" x14ac:dyDescent="0.25">
      <c r="B38" s="19"/>
      <c r="C38" s="19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</row>
    <row r="39" spans="2:15" x14ac:dyDescent="0.2">
      <c r="C39" s="448">
        <v>3</v>
      </c>
    </row>
  </sheetData>
  <phoneticPr fontId="3" type="noConversion"/>
  <pageMargins left="0.45" right="0.55000000000000004" top="0.86" bottom="0.9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2"/>
  <sheetViews>
    <sheetView topLeftCell="A10" zoomScale="80" workbookViewId="0">
      <selection activeCell="N33" sqref="N33"/>
    </sheetView>
  </sheetViews>
  <sheetFormatPr defaultRowHeight="15.75" x14ac:dyDescent="0.25"/>
  <cols>
    <col min="1" max="1" width="3.140625" style="88" customWidth="1"/>
    <col min="2" max="2" width="64.140625" style="88" customWidth="1"/>
    <col min="3" max="3" width="4.5703125" style="88" customWidth="1"/>
    <col min="4" max="5" width="15.7109375" style="106" customWidth="1"/>
    <col min="6" max="15" width="15.7109375" style="106" hidden="1" customWidth="1"/>
    <col min="16" max="16" width="3.28515625" style="107" hidden="1" customWidth="1"/>
    <col min="17" max="17" width="9.85546875" style="88" hidden="1" customWidth="1"/>
    <col min="18" max="18" width="0" style="88" hidden="1" customWidth="1"/>
    <col min="19" max="19" width="13.140625" style="88" bestFit="1" customWidth="1"/>
    <col min="20" max="16384" width="9.140625" style="88"/>
  </cols>
  <sheetData>
    <row r="1" spans="1:18" x14ac:dyDescent="0.25">
      <c r="A1" s="26" t="s">
        <v>541</v>
      </c>
    </row>
    <row r="2" spans="1:18" x14ac:dyDescent="0.25">
      <c r="A2" s="108" t="s">
        <v>25</v>
      </c>
    </row>
    <row r="3" spans="1:18" s="85" customFormat="1" x14ac:dyDescent="0.25">
      <c r="A3" s="109" t="s">
        <v>715</v>
      </c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1"/>
    </row>
    <row r="4" spans="1:18" s="85" customFormat="1" x14ac:dyDescent="0.25">
      <c r="A4" s="89" t="s">
        <v>96</v>
      </c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1"/>
    </row>
    <row r="5" spans="1:18" s="85" customFormat="1" x14ac:dyDescent="0.25"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1"/>
    </row>
    <row r="6" spans="1:18" s="85" customFormat="1" ht="16.5" customHeight="1" thickBot="1" x14ac:dyDescent="0.3">
      <c r="B6" s="112"/>
      <c r="C6" s="112"/>
      <c r="D6" s="114" t="s">
        <v>714</v>
      </c>
      <c r="E6" s="114" t="s">
        <v>697</v>
      </c>
      <c r="F6" s="114" t="s">
        <v>685</v>
      </c>
      <c r="G6" s="114" t="s">
        <v>677</v>
      </c>
      <c r="H6" s="114" t="s">
        <v>671</v>
      </c>
      <c r="I6" s="114" t="s">
        <v>664</v>
      </c>
      <c r="J6" s="114" t="s">
        <v>649</v>
      </c>
      <c r="K6" s="114" t="s">
        <v>636</v>
      </c>
      <c r="L6" s="114" t="s">
        <v>600</v>
      </c>
      <c r="M6" s="114" t="s">
        <v>537</v>
      </c>
      <c r="N6" s="114" t="s">
        <v>522</v>
      </c>
      <c r="O6" s="114" t="s">
        <v>94</v>
      </c>
      <c r="P6" s="111"/>
    </row>
    <row r="7" spans="1:18" s="85" customFormat="1" ht="16.5" thickTop="1" x14ac:dyDescent="0.25">
      <c r="A7" s="90" t="s">
        <v>26</v>
      </c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1"/>
    </row>
    <row r="8" spans="1:18" s="85" customFormat="1" x14ac:dyDescent="0.25">
      <c r="B8" s="85" t="s">
        <v>27</v>
      </c>
      <c r="D8" s="115">
        <f>+'ardh-shpenz'!D23</f>
        <v>3336179</v>
      </c>
      <c r="E8" s="115">
        <f>+'ardh-shpenz'!E23</f>
        <v>4202462</v>
      </c>
      <c r="F8" s="115">
        <f>+'ardh-shpenz'!F23</f>
        <v>1369872.9999999998</v>
      </c>
      <c r="G8" s="115">
        <f>+'ardh-shpenz'!G23</f>
        <v>3552756.37</v>
      </c>
      <c r="H8" s="115">
        <f>+'ardh-shpenz'!H23</f>
        <v>1973028.9999999998</v>
      </c>
      <c r="I8" s="115">
        <f>+'ardh-shpenz'!I23</f>
        <v>1642874.9999999998</v>
      </c>
      <c r="J8" s="115">
        <f>+'ardh-shpenz'!J23</f>
        <v>1338853.9999999998</v>
      </c>
      <c r="K8" s="115">
        <f>+'ardh-shpenz'!K23</f>
        <v>2005778.9999999998</v>
      </c>
      <c r="L8" s="115">
        <f>+'ardh-shpenz'!L23</f>
        <v>595647.99999999977</v>
      </c>
      <c r="M8" s="115">
        <f>+'ardh-shpenz'!M23</f>
        <v>947506.99999999977</v>
      </c>
      <c r="N8" s="115">
        <f>+'ardh-shpenz'!N23</f>
        <v>1994761</v>
      </c>
      <c r="O8" s="115">
        <f>+'ardh-shpenz'!O23</f>
        <v>-7053484</v>
      </c>
      <c r="P8" s="111"/>
    </row>
    <row r="9" spans="1:18" s="85" customFormat="1" x14ac:dyDescent="0.25">
      <c r="B9" s="85" t="s">
        <v>28</v>
      </c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1"/>
    </row>
    <row r="10" spans="1:18" s="85" customFormat="1" x14ac:dyDescent="0.25">
      <c r="B10" s="85" t="s">
        <v>29</v>
      </c>
      <c r="D10" s="115">
        <f>-'ardh-shpenz'!D15</f>
        <v>626022</v>
      </c>
      <c r="E10" s="115">
        <f>-'ardh-shpenz'!E15</f>
        <v>194858</v>
      </c>
      <c r="F10" s="115">
        <f>-'ardh-shpenz'!F15</f>
        <v>583209</v>
      </c>
      <c r="G10" s="115">
        <f>-'ardh-shpenz'!G15</f>
        <v>695790</v>
      </c>
      <c r="H10" s="115">
        <f>-'ardh-shpenz'!H15</f>
        <v>866550</v>
      </c>
      <c r="I10" s="115">
        <f>-'ardh-shpenz'!I15</f>
        <v>1083187</v>
      </c>
      <c r="J10" s="115">
        <f>-'ardh-shpenz'!J15</f>
        <v>1351456</v>
      </c>
      <c r="K10" s="115">
        <f>-'ardh-shpenz'!K15</f>
        <v>200430</v>
      </c>
      <c r="L10" s="115">
        <f>-'ardh-shpenz'!L15</f>
        <v>190945</v>
      </c>
      <c r="M10" s="115">
        <f>-'ardh-shpenz'!M15</f>
        <v>238681</v>
      </c>
      <c r="N10" s="115">
        <f>-'ardh-shpenz'!N15</f>
        <v>0</v>
      </c>
      <c r="O10" s="115">
        <f>-'ardh-shpenz'!O15</f>
        <v>0</v>
      </c>
      <c r="P10" s="111"/>
    </row>
    <row r="11" spans="1:18" s="85" customFormat="1" x14ac:dyDescent="0.25">
      <c r="B11" s="85" t="s">
        <v>30</v>
      </c>
      <c r="D11" s="115">
        <f>+BK!E27-BK!D27+BK!D51-BK!E51</f>
        <v>0</v>
      </c>
      <c r="E11" s="115">
        <f>+BK!F27-BK!E27+BK!E51-BK!F51</f>
        <v>0</v>
      </c>
      <c r="F11" s="115">
        <f>+BK!G27-BK!F27+BK!F51-BK!G51</f>
        <v>0</v>
      </c>
      <c r="G11" s="115">
        <f>+BK!H27-BK!G27+BK!G51-BK!H51</f>
        <v>0</v>
      </c>
      <c r="H11" s="115">
        <f>+BK!I27-BK!H27+BK!H51-BK!I51</f>
        <v>0</v>
      </c>
      <c r="I11" s="115">
        <f>+BK!J27-BK!I27+BK!I51-BK!J51</f>
        <v>0</v>
      </c>
      <c r="J11" s="115">
        <f>+BK!K27-BK!J27+BK!J51-BK!K51</f>
        <v>0</v>
      </c>
      <c r="K11" s="115">
        <f>+BK!L27-BK!K27+BK!K51-BK!L51</f>
        <v>0</v>
      </c>
      <c r="L11" s="115">
        <f>+BK!M27-BK!L27+BK!L51-BK!M51</f>
        <v>0</v>
      </c>
      <c r="M11" s="115">
        <f>+BK!N27-BK!M27+BK!M51-BK!N51</f>
        <v>0</v>
      </c>
      <c r="N11" s="115">
        <f>+BK!O27-BK!N27+BK!N51-BK!O51</f>
        <v>0</v>
      </c>
      <c r="O11" s="115" t="e">
        <f>+BK!#REF!-BK!O27+BK!O51-BK!#REF!</f>
        <v>#REF!</v>
      </c>
      <c r="P11" s="111"/>
      <c r="R11" s="115"/>
    </row>
    <row r="12" spans="1:18" s="85" customFormat="1" x14ac:dyDescent="0.25">
      <c r="B12" s="85" t="s">
        <v>31</v>
      </c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1"/>
    </row>
    <row r="13" spans="1:18" s="85" customFormat="1" x14ac:dyDescent="0.25">
      <c r="B13" s="85" t="s">
        <v>32</v>
      </c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1"/>
    </row>
    <row r="14" spans="1:18" s="85" customFormat="1" x14ac:dyDescent="0.25">
      <c r="B14" s="112"/>
      <c r="C14" s="112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1"/>
    </row>
    <row r="15" spans="1:18" s="85" customFormat="1" ht="31.5" x14ac:dyDescent="0.25">
      <c r="B15" s="116" t="s">
        <v>89</v>
      </c>
      <c r="C15" s="116"/>
      <c r="D15" s="110">
        <f>+BK!E12-BK!D12+BK!E13-BK!D13+BK!E25-BK!D25+BK!E26-BK!D26</f>
        <v>-5218672.4899999984</v>
      </c>
      <c r="E15" s="110">
        <f>+BK!F12-BK!E12+BK!F13-BK!E13+BK!F25-BK!E25+BK!F26-BK!E26</f>
        <v>-7849023.8999999985</v>
      </c>
      <c r="F15" s="110">
        <f>+BK!G12-BK!F12+BK!G13-BK!F13+BK!G25-BK!F25+BK!G26-BK!F26</f>
        <v>4653662.2399999984</v>
      </c>
      <c r="G15" s="110">
        <f>+BK!H12-BK!G12+BK!H13-BK!G13+BK!H25-BK!G25+BK!H26-BK!G26</f>
        <v>-11343697.550000001</v>
      </c>
      <c r="H15" s="110">
        <f>+BK!I12-BK!H12+BK!I13-BK!H13+BK!I25-BK!H25+BK!I26-BK!H26</f>
        <v>-2723412</v>
      </c>
      <c r="I15" s="110">
        <f>+BK!J12-BK!I12+BK!J13-BK!I13+BK!J25-BK!I25+BK!J26-BK!I26</f>
        <v>-1646669.8499999996</v>
      </c>
      <c r="J15" s="110">
        <f>+BK!K12-BK!J12+BK!K13-BK!J13+BK!K25-BK!J25+BK!K26-BK!J26</f>
        <v>-4707035.5999999996</v>
      </c>
      <c r="K15" s="110">
        <f>+BK!L12-BK!K12+BK!L13-BK!K13+BK!L25-BK!K25+BK!L26-BK!K26</f>
        <v>-7693203</v>
      </c>
      <c r="L15" s="110">
        <f>+BK!M12-BK!L12+BK!M13-BK!L13+BK!M25-BK!L25+BK!M26-BK!L26</f>
        <v>-1185733</v>
      </c>
      <c r="M15" s="110">
        <f>+BK!N12-BK!M12+BK!N13-BK!M13+BK!N25-BK!M25+BK!N26-BK!M26</f>
        <v>2076009</v>
      </c>
      <c r="N15" s="110">
        <f>+BK!O12-BK!N12+BK!O13-BK!N13+BK!O25-BK!N25+BK!O26-BK!N26</f>
        <v>-1756570</v>
      </c>
      <c r="O15" s="110" t="e">
        <f>+BK!#REF!-BK!O12+BK!#REF!-BK!O13+BK!#REF!-BK!O25+BK!#REF!-BK!O26</f>
        <v>#REF!</v>
      </c>
      <c r="P15" s="117"/>
    </row>
    <row r="16" spans="1:18" s="85" customFormat="1" x14ac:dyDescent="0.25"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8"/>
    </row>
    <row r="17" spans="1:19" s="85" customFormat="1" x14ac:dyDescent="0.25">
      <c r="B17" s="85" t="s">
        <v>33</v>
      </c>
      <c r="D17" s="115">
        <f>+BK!E18+BK!E19+BK!E20+BK!E21+BK!E22-BK!D22-BK!D21-BK!D20-BK!D19-BK!D18</f>
        <v>0</v>
      </c>
      <c r="E17" s="115">
        <f>+BK!F18+BK!F19+BK!F20+BK!F21+BK!F22-BK!E22-BK!E21-BK!E20-BK!E19-BK!E18</f>
        <v>0</v>
      </c>
      <c r="F17" s="115">
        <f>+BK!G18+BK!G19+BK!G20+BK!G21+BK!G22-BK!F22-BK!F21-BK!F20-BK!F19-BK!F18</f>
        <v>0</v>
      </c>
      <c r="G17" s="115">
        <f>+BK!H18+BK!H19+BK!H20+BK!H21+BK!H22-BK!G22-BK!G21-BK!G20-BK!G19-BK!G18</f>
        <v>0</v>
      </c>
      <c r="H17" s="115">
        <f>+BK!I18+BK!I19+BK!I20+BK!I21+BK!I22-BK!H22-BK!H21-BK!H20-BK!H19-BK!H18</f>
        <v>0</v>
      </c>
      <c r="I17" s="115">
        <f>+BK!J18+BK!J19+BK!J20+BK!J21+BK!J22-BK!I22-BK!I21-BK!I20-BK!I19-BK!I18</f>
        <v>0</v>
      </c>
      <c r="J17" s="115">
        <f>+BK!K18+BK!K19+BK!K20+BK!K21+BK!K22-BK!J22-BK!J21-BK!J20-BK!J19-BK!J18</f>
        <v>0</v>
      </c>
      <c r="K17" s="115">
        <f>+BK!L18+BK!L19+BK!L20+BK!L21+BK!L22-BK!K22-BK!K21-BK!K20-BK!K19-BK!K18</f>
        <v>0</v>
      </c>
      <c r="L17" s="115">
        <f>+BK!M18+BK!M19+BK!M20+BK!M21+BK!M22-BK!L22-BK!L21-BK!L20-BK!L19-BK!L18</f>
        <v>532550</v>
      </c>
      <c r="M17" s="115">
        <f>+BK!N18+BK!N19+BK!N20+BK!N21+BK!N22-BK!M22-BK!M21-BK!M20-BK!M19-BK!M18</f>
        <v>-532550</v>
      </c>
      <c r="N17" s="115">
        <f>+BK!O18+BK!O19+BK!O20+BK!O21+BK!O22-BK!N22-BK!N21-BK!N20-BK!N19-BK!N18</f>
        <v>163309</v>
      </c>
      <c r="O17" s="115" t="e">
        <f>+BK!#REF!+BK!#REF!+BK!#REF!+BK!#REF!+BK!#REF!-BK!O22-BK!O21-BK!O20-BK!O19-BK!O18</f>
        <v>#REF!</v>
      </c>
      <c r="P17" s="119"/>
    </row>
    <row r="18" spans="1:19" s="85" customFormat="1" x14ac:dyDescent="0.25">
      <c r="B18" s="85" t="s">
        <v>123</v>
      </c>
      <c r="D18" s="110">
        <f>BK!D43-BK!E43+BK!D45-BK!E45+BK!D46-BK!E46+BK!D47-BK!E47+BK!D48-BK!E48+BK!D49-BK!E49+BK!D50-BK!E50-D21+'ardh-shpenz'!D25</f>
        <v>5358336.5682999995</v>
      </c>
      <c r="E18" s="110">
        <f>BK!E43-BK!F43+BK!E45-BK!F45+BK!E46-BK!F46+BK!E47-BK!F47+BK!E48-BK!F48+BK!E49-BK!F49+BK!E50-BK!F50-E21+'ardh-shpenz'!E25</f>
        <v>-5065634.0999999996</v>
      </c>
      <c r="F18" s="110">
        <f>BK!F43-BK!G43+BK!F45-BK!G45+BK!F46-BK!G46+BK!F47-BK!G47+BK!F48-BK!G48+BK!F49-BK!G49+BK!F50-BK!G50-F21+'ardh-shpenz'!F25</f>
        <v>-3112451.24</v>
      </c>
      <c r="G18" s="110">
        <f>BK!G43-BK!H43+BK!G45-BK!H45+BK!G46-BK!H46+BK!G47-BK!H47+BK!G48-BK!H48+BK!G49-BK!H49+BK!G50-BK!H50-G21+'ardh-shpenz'!G25</f>
        <v>9885386.1845000014</v>
      </c>
      <c r="H18" s="110">
        <f>BK!H43-BK!I43+BK!H45-BK!I45+BK!H46-BK!I46+BK!H47-BK!I47+BK!H48-BK!I48+BK!H49-BK!I49+BK!H50-BK!I50-H21+'ardh-shpenz'!H25</f>
        <v>-493175.00000000017</v>
      </c>
      <c r="I18" s="110">
        <f>BK!I43-BK!J43+BK!I45-BK!J45+BK!I46-BK!J46+BK!I47-BK!J47+BK!I48-BK!J48+BK!I49-BK!J49+BK!I50-BK!J50-I21+'ardh-shpenz'!I25</f>
        <v>-241418.15</v>
      </c>
      <c r="J18" s="110">
        <f>BK!J43-BK!K43+BK!J45-BK!K45+BK!J46-BK!K46+BK!J47-BK!K47+BK!J48-BK!K48+BK!J49-BK!K49+BK!J50-BK!K50-J21+'ardh-shpenz'!J25</f>
        <v>-3039882.4</v>
      </c>
      <c r="K18" s="110">
        <f>BK!K43-BK!L43+BK!K45-BK!L45+BK!K46-BK!L46+BK!K47-BK!L47+BK!K48-BK!L48+BK!K49-BK!L49+BK!K50-BK!L50-K21+'ardh-shpenz'!K25</f>
        <v>20352784</v>
      </c>
      <c r="L18" s="110">
        <f>BK!L43-BK!M43+BK!L45-BK!M45+BK!L46-BK!M46+BK!L47-BK!M47+BK!L48-BK!M48+BK!L49-BK!M49+BK!L50-BK!M50-L21+'ardh-shpenz'!L25</f>
        <v>-51952.400000000009</v>
      </c>
      <c r="M18" s="110">
        <f>BK!M43-BK!N43+BK!M45-BK!N45+BK!M46-BK!N46+BK!M47-BK!N47+BK!M48-BK!N48+BK!M49-BK!N49+BK!M50-BK!N50-M21+'ardh-shpenz'!M25</f>
        <v>-1557072</v>
      </c>
      <c r="N18" s="110">
        <f>BK!N43-BK!O43+BK!N45-BK!O45+BK!N46-BK!O46+BK!N47-BK!O47+BK!N48-BK!O48+BK!N49-BK!O49+BK!N50-BK!O50-N21+'ardh-shpenz'!N25+'A-Sh BA'!M101</f>
        <v>-11785975</v>
      </c>
      <c r="O18" s="110" t="e">
        <f>BK!O43-BK!#REF!+BK!O45-BK!#REF!+BK!O46-BK!#REF!+BK!O47-BK!#REF!+BK!O48-BK!#REF!+BK!O49-BK!#REF!+BK!O50-BK!#REF!-O21+'ardh-shpenz'!O25</f>
        <v>#REF!</v>
      </c>
      <c r="P18" s="117"/>
    </row>
    <row r="19" spans="1:19" s="85" customFormat="1" x14ac:dyDescent="0.25">
      <c r="B19" s="109" t="s">
        <v>34</v>
      </c>
      <c r="C19" s="109"/>
      <c r="D19" s="120">
        <f t="shared" ref="D19:I19" si="0">SUM(D8:D18)</f>
        <v>4101865.0783000011</v>
      </c>
      <c r="E19" s="120">
        <f t="shared" si="0"/>
        <v>-8517337.9999999981</v>
      </c>
      <c r="F19" s="120">
        <f t="shared" si="0"/>
        <v>3494292.9999999981</v>
      </c>
      <c r="G19" s="120">
        <f t="shared" si="0"/>
        <v>2790235.0045000007</v>
      </c>
      <c r="H19" s="120">
        <f t="shared" si="0"/>
        <v>-377008.00000000017</v>
      </c>
      <c r="I19" s="120">
        <f t="shared" si="0"/>
        <v>837974.00000000035</v>
      </c>
      <c r="J19" s="120">
        <f t="shared" ref="J19:O19" si="1">SUM(J8:J18)</f>
        <v>-5056608</v>
      </c>
      <c r="K19" s="120">
        <f t="shared" si="1"/>
        <v>14865790</v>
      </c>
      <c r="L19" s="120">
        <f t="shared" si="1"/>
        <v>81457.599999999758</v>
      </c>
      <c r="M19" s="120">
        <f t="shared" si="1"/>
        <v>1172575</v>
      </c>
      <c r="N19" s="120">
        <f t="shared" si="1"/>
        <v>-11384475</v>
      </c>
      <c r="O19" s="120" t="e">
        <f t="shared" si="1"/>
        <v>#REF!</v>
      </c>
      <c r="P19" s="121"/>
      <c r="S19" s="122"/>
    </row>
    <row r="20" spans="1:19" s="85" customFormat="1" ht="12.75" customHeight="1" x14ac:dyDescent="0.25">
      <c r="B20" s="85" t="s">
        <v>16</v>
      </c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8"/>
    </row>
    <row r="21" spans="1:19" s="85" customFormat="1" ht="12.75" customHeight="1" x14ac:dyDescent="0.25">
      <c r="B21" s="85" t="s">
        <v>17</v>
      </c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>
        <v>-179264</v>
      </c>
      <c r="O21" s="115"/>
      <c r="P21" s="118"/>
    </row>
    <row r="22" spans="1:19" s="85" customFormat="1" x14ac:dyDescent="0.25"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8"/>
    </row>
    <row r="23" spans="1:19" s="85" customFormat="1" x14ac:dyDescent="0.25">
      <c r="A23" s="123" t="s">
        <v>18</v>
      </c>
      <c r="D23" s="124">
        <f t="shared" ref="D23:I23" si="2">SUM(D19:D22)</f>
        <v>4101865.0783000011</v>
      </c>
      <c r="E23" s="124">
        <f t="shared" si="2"/>
        <v>-8517337.9999999981</v>
      </c>
      <c r="F23" s="124">
        <f t="shared" si="2"/>
        <v>3494292.9999999981</v>
      </c>
      <c r="G23" s="124">
        <f t="shared" si="2"/>
        <v>2790235.0045000007</v>
      </c>
      <c r="H23" s="124">
        <f t="shared" si="2"/>
        <v>-377008.00000000017</v>
      </c>
      <c r="I23" s="124">
        <f t="shared" si="2"/>
        <v>837974.00000000035</v>
      </c>
      <c r="J23" s="124">
        <f t="shared" ref="J23:O23" si="3">SUM(J19:J22)</f>
        <v>-5056608</v>
      </c>
      <c r="K23" s="124">
        <f t="shared" si="3"/>
        <v>14865790</v>
      </c>
      <c r="L23" s="124">
        <f t="shared" si="3"/>
        <v>81457.599999999758</v>
      </c>
      <c r="M23" s="124">
        <f t="shared" si="3"/>
        <v>1172575</v>
      </c>
      <c r="N23" s="124">
        <f t="shared" si="3"/>
        <v>-11563739</v>
      </c>
      <c r="O23" s="124" t="e">
        <f t="shared" si="3"/>
        <v>#REF!</v>
      </c>
      <c r="P23" s="118"/>
    </row>
    <row r="24" spans="1:19" s="85" customFormat="1" x14ac:dyDescent="0.25">
      <c r="A24" s="123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8"/>
    </row>
    <row r="25" spans="1:19" s="85" customFormat="1" x14ac:dyDescent="0.25">
      <c r="B25" s="85" t="s">
        <v>35</v>
      </c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8"/>
    </row>
    <row r="26" spans="1:19" s="85" customFormat="1" x14ac:dyDescent="0.25">
      <c r="B26" s="85" t="s">
        <v>36</v>
      </c>
      <c r="D26" s="115">
        <f>-BK!D33+BK!E33+'ardh-shpenz'!D15</f>
        <v>-3702600</v>
      </c>
      <c r="E26" s="115">
        <f>-BK!E33+BK!F33+'ardh-shpenz'!E15</f>
        <v>0</v>
      </c>
      <c r="F26" s="115">
        <f>-BK!F33+BK!G33+'ardh-shpenz'!F15</f>
        <v>1560886</v>
      </c>
      <c r="G26" s="115">
        <f>-BK!G33+BK!H33+'ardh-shpenz'!G15</f>
        <v>-153117</v>
      </c>
      <c r="H26" s="115">
        <f>-BK!H33+BK!I33+'ardh-shpenz'!H15</f>
        <v>0</v>
      </c>
      <c r="I26" s="115">
        <f>-BK!I33+BK!J33+'ardh-shpenz'!I15</f>
        <v>0</v>
      </c>
      <c r="J26" s="115">
        <f>-BK!J33+BK!K33+'ardh-shpenz'!J15</f>
        <v>-30333</v>
      </c>
      <c r="K26" s="115">
        <f>-BK!K33+BK!L33+'ardh-shpenz'!K15</f>
        <v>-5935340</v>
      </c>
      <c r="L26" s="115">
        <f>-BK!L33+BK!M33+'ardh-shpenz'!L15</f>
        <v>-238371</v>
      </c>
      <c r="M26" s="115">
        <f>-BK!M33+BK!N33+'ardh-shpenz'!M15</f>
        <v>0</v>
      </c>
      <c r="N26" s="115">
        <f>-BK!N33+BK!O33+'ardh-shpenz'!N15</f>
        <v>0</v>
      </c>
      <c r="O26" s="115" t="e">
        <f>-BK!O33+BK!#REF!+'ardh-shpenz'!O15</f>
        <v>#REF!</v>
      </c>
      <c r="P26" s="121"/>
    </row>
    <row r="27" spans="1:19" s="85" customFormat="1" x14ac:dyDescent="0.25">
      <c r="B27" s="85" t="s">
        <v>37</v>
      </c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8"/>
    </row>
    <row r="28" spans="1:19" s="85" customFormat="1" ht="12.75" customHeight="1" x14ac:dyDescent="0.25">
      <c r="B28" s="85" t="s">
        <v>19</v>
      </c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8"/>
    </row>
    <row r="29" spans="1:19" s="85" customFormat="1" ht="12.75" customHeight="1" x14ac:dyDescent="0.25">
      <c r="B29" s="85" t="s">
        <v>20</v>
      </c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18"/>
    </row>
    <row r="30" spans="1:19" s="85" customFormat="1" x14ac:dyDescent="0.25">
      <c r="B30" s="112"/>
      <c r="C30" s="112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8"/>
    </row>
    <row r="31" spans="1:19" s="85" customFormat="1" x14ac:dyDescent="0.25">
      <c r="B31" s="86" t="s">
        <v>90</v>
      </c>
      <c r="C31" s="86"/>
      <c r="D31" s="124">
        <f t="shared" ref="D31:I31" si="4">SUM(D25:D29)</f>
        <v>-3702600</v>
      </c>
      <c r="E31" s="124">
        <f t="shared" si="4"/>
        <v>0</v>
      </c>
      <c r="F31" s="124">
        <f t="shared" si="4"/>
        <v>1560886</v>
      </c>
      <c r="G31" s="124">
        <f t="shared" si="4"/>
        <v>-153117</v>
      </c>
      <c r="H31" s="124">
        <f t="shared" si="4"/>
        <v>0</v>
      </c>
      <c r="I31" s="124">
        <f t="shared" si="4"/>
        <v>0</v>
      </c>
      <c r="J31" s="124">
        <f t="shared" ref="J31:O31" si="5">SUM(J25:J29)</f>
        <v>-30333</v>
      </c>
      <c r="K31" s="124">
        <f t="shared" si="5"/>
        <v>-5935340</v>
      </c>
      <c r="L31" s="124">
        <f t="shared" si="5"/>
        <v>-238371</v>
      </c>
      <c r="M31" s="124">
        <f t="shared" si="5"/>
        <v>0</v>
      </c>
      <c r="N31" s="124">
        <f t="shared" si="5"/>
        <v>0</v>
      </c>
      <c r="O31" s="124" t="e">
        <f t="shared" si="5"/>
        <v>#REF!</v>
      </c>
      <c r="P31" s="118"/>
    </row>
    <row r="32" spans="1:19" s="85" customFormat="1" x14ac:dyDescent="0.25">
      <c r="B32" s="112"/>
      <c r="C32" s="112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8"/>
    </row>
    <row r="33" spans="2:16" s="85" customFormat="1" x14ac:dyDescent="0.25">
      <c r="B33" s="85" t="s">
        <v>92</v>
      </c>
      <c r="D33" s="110">
        <v>0</v>
      </c>
      <c r="E33" s="110">
        <v>0</v>
      </c>
      <c r="F33" s="110">
        <v>0</v>
      </c>
      <c r="G33" s="110">
        <v>0</v>
      </c>
      <c r="H33" s="110">
        <v>0</v>
      </c>
      <c r="I33" s="110">
        <v>0</v>
      </c>
      <c r="J33" s="110">
        <v>0</v>
      </c>
      <c r="K33" s="110">
        <v>0</v>
      </c>
      <c r="L33" s="110">
        <v>0</v>
      </c>
      <c r="M33" s="110">
        <v>0</v>
      </c>
      <c r="N33" s="110">
        <v>0</v>
      </c>
      <c r="O33" s="110">
        <v>0</v>
      </c>
      <c r="P33" s="118"/>
    </row>
    <row r="34" spans="2:16" s="85" customFormat="1" x14ac:dyDescent="0.25">
      <c r="B34" s="85" t="s">
        <v>21</v>
      </c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8"/>
    </row>
    <row r="35" spans="2:16" s="85" customFormat="1" x14ac:dyDescent="0.25">
      <c r="B35" s="85" t="s">
        <v>38</v>
      </c>
      <c r="D35" s="115">
        <f>+BK!D57-BK!E57</f>
        <v>0</v>
      </c>
      <c r="E35" s="115">
        <f>+BK!E57-BK!F57</f>
        <v>0</v>
      </c>
      <c r="F35" s="115">
        <f>+BK!F57-BK!G57</f>
        <v>0</v>
      </c>
      <c r="G35" s="115">
        <f>+BK!G57-BK!H57</f>
        <v>0</v>
      </c>
      <c r="H35" s="115">
        <f>+BK!H57-BK!I57</f>
        <v>0</v>
      </c>
      <c r="I35" s="115">
        <f>+BK!I57-BK!J57</f>
        <v>0</v>
      </c>
      <c r="J35" s="115">
        <f>+BK!J57-BK!K57</f>
        <v>0</v>
      </c>
      <c r="K35" s="115">
        <f>+BK!K57-BK!L57</f>
        <v>0</v>
      </c>
      <c r="L35" s="115">
        <f>+BK!L57-BK!M57</f>
        <v>0</v>
      </c>
      <c r="M35" s="115">
        <f>+BK!M57-BK!N57</f>
        <v>0</v>
      </c>
      <c r="N35" s="115">
        <f>+BK!N57-BK!O57</f>
        <v>0</v>
      </c>
      <c r="O35" s="115" t="e">
        <f>+BK!O57-BK!#REF!</f>
        <v>#REF!</v>
      </c>
      <c r="P35" s="118"/>
    </row>
    <row r="36" spans="2:16" s="85" customFormat="1" x14ac:dyDescent="0.25">
      <c r="B36" s="85" t="s">
        <v>22</v>
      </c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8"/>
    </row>
    <row r="37" spans="2:16" s="85" customFormat="1" ht="15" customHeight="1" x14ac:dyDescent="0.25">
      <c r="B37" s="85" t="s">
        <v>39</v>
      </c>
      <c r="D37" s="126">
        <f>+BK!D64+BK!D65+BK!D66+BK!D67+BK!D68+BK!D69-BK!E64-BK!E65-BK!E66-BK!E67-BK!E68-BK!E69+-BK!E70</f>
        <v>0</v>
      </c>
      <c r="E37" s="126">
        <f>+BK!E64+BK!E65+BK!E66+BK!E67+BK!E68+BK!E69-BK!F64-BK!F65-BK!F66-BK!F67-BK!F68-BK!F69+-BK!F70</f>
        <v>-9.3132257461547852E-10</v>
      </c>
      <c r="F37" s="126">
        <f>+BK!F64+BK!F65+BK!F66+BK!F67+BK!F68+BK!F69-BK!G64-BK!G65-BK!G66-BK!G67-BK!G68-BK!G69+-BK!G70</f>
        <v>0</v>
      </c>
      <c r="G37" s="126">
        <f>+BK!G64+BK!G65+BK!G66+BK!G67+BK!G68+BK!G69-BK!H64-BK!H65-BK!H66-BK!H67-BK!H68-BK!H69+-BK!H70</f>
        <v>0</v>
      </c>
      <c r="H37" s="126">
        <f>+BK!H64+BK!H65+BK!H66+BK!H67+BK!H68+BK!H69-BK!I64-BK!I65-BK!I66-BK!I67-BK!I68-BK!I69+-BK!I70</f>
        <v>0</v>
      </c>
      <c r="I37" s="126">
        <f>+BK!I64+BK!I65+BK!I66+BK!I67+BK!I68+BK!I69-BK!J64-BK!J65-BK!J66-BK!J67-BK!J68-BK!J69+-BK!J70</f>
        <v>0</v>
      </c>
      <c r="J37" s="126">
        <f>+BK!J64+BK!J65+BK!J66+BK!J67+BK!J68+BK!J69-BK!K64-BK!K65-BK!K66-BK!K67-BK!K68-BK!K69+-BK!K70</f>
        <v>0</v>
      </c>
      <c r="K37" s="126">
        <f>+BK!K64+BK!K65+BK!K66+BK!K67+BK!K68+BK!K69-BK!L64-BK!L65-BK!L66-BK!L67-BK!L68-BK!L69+-BK!L70</f>
        <v>-4508236</v>
      </c>
      <c r="L37" s="126">
        <f>+BK!L64+BK!L65+BK!L66+BK!L67+BK!L68+BK!L69-BK!M64-BK!M65-BK!M66-BK!M67-BK!M68-BK!M69+-BK!M70</f>
        <v>0</v>
      </c>
      <c r="M37" s="126">
        <f>+BK!M64+BK!M65+BK!M66+BK!M67+BK!M68+BK!M69-BK!N64-BK!N65-BK!N66-BK!N67-BK!N68-BK!N69+-BK!N70</f>
        <v>0</v>
      </c>
      <c r="N37" s="126">
        <f>+BK!N64+BK!N65+BK!N66+BK!N67+BK!N68+BK!N69-BK!O64-BK!O65-BK!O66-BK!O67-BK!O68-BK!O69+-BK!O70</f>
        <v>11021313</v>
      </c>
      <c r="O37" s="126" t="e">
        <f>+BK!O64+BK!O65+BK!O66+BK!O67+BK!O68+BK!O69-BK!#REF!-BK!#REF!-BK!#REF!-BK!#REF!-BK!#REF!-BK!#REF!+-BK!#REF!</f>
        <v>#REF!</v>
      </c>
      <c r="P37" s="121"/>
    </row>
    <row r="38" spans="2:16" s="85" customFormat="1" x14ac:dyDescent="0.25">
      <c r="B38" s="112"/>
      <c r="C38" s="112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8"/>
    </row>
    <row r="39" spans="2:16" s="85" customFormat="1" x14ac:dyDescent="0.25">
      <c r="B39" s="86" t="s">
        <v>124</v>
      </c>
      <c r="C39" s="86"/>
      <c r="D39" s="124">
        <f t="shared" ref="D39:I39" si="6">SUM(D33:D38)</f>
        <v>0</v>
      </c>
      <c r="E39" s="124">
        <f t="shared" si="6"/>
        <v>-9.3132257461547852E-10</v>
      </c>
      <c r="F39" s="124">
        <f t="shared" si="6"/>
        <v>0</v>
      </c>
      <c r="G39" s="124">
        <f t="shared" si="6"/>
        <v>0</v>
      </c>
      <c r="H39" s="124">
        <f t="shared" si="6"/>
        <v>0</v>
      </c>
      <c r="I39" s="124">
        <f t="shared" si="6"/>
        <v>0</v>
      </c>
      <c r="J39" s="124">
        <f t="shared" ref="J39:O39" si="7">SUM(J33:J38)</f>
        <v>0</v>
      </c>
      <c r="K39" s="124">
        <f t="shared" si="7"/>
        <v>-4508236</v>
      </c>
      <c r="L39" s="124">
        <f t="shared" si="7"/>
        <v>0</v>
      </c>
      <c r="M39" s="124">
        <f t="shared" si="7"/>
        <v>0</v>
      </c>
      <c r="N39" s="124">
        <f t="shared" si="7"/>
        <v>11021313</v>
      </c>
      <c r="O39" s="124" t="e">
        <f t="shared" si="7"/>
        <v>#REF!</v>
      </c>
      <c r="P39" s="118"/>
    </row>
    <row r="40" spans="2:16" s="85" customFormat="1" x14ac:dyDescent="0.25">
      <c r="B40" s="112"/>
      <c r="C40" s="112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8"/>
    </row>
    <row r="41" spans="2:16" s="85" customFormat="1" x14ac:dyDescent="0.25">
      <c r="B41" s="123" t="s">
        <v>23</v>
      </c>
      <c r="C41" s="123"/>
      <c r="D41" s="127">
        <f t="shared" ref="D41:I41" si="8">+D39+D23+D31</f>
        <v>399265.0783000011</v>
      </c>
      <c r="E41" s="127">
        <f t="shared" si="8"/>
        <v>-8517338</v>
      </c>
      <c r="F41" s="127">
        <f t="shared" si="8"/>
        <v>5055178.9999999981</v>
      </c>
      <c r="G41" s="127">
        <f t="shared" si="8"/>
        <v>2637118.0045000007</v>
      </c>
      <c r="H41" s="127">
        <f t="shared" si="8"/>
        <v>-377008.00000000017</v>
      </c>
      <c r="I41" s="127">
        <f t="shared" si="8"/>
        <v>837974.00000000035</v>
      </c>
      <c r="J41" s="127">
        <f t="shared" ref="J41:O41" si="9">+J39+J23+J31</f>
        <v>-5086941</v>
      </c>
      <c r="K41" s="127">
        <f t="shared" si="9"/>
        <v>4422214</v>
      </c>
      <c r="L41" s="127">
        <f t="shared" si="9"/>
        <v>-156913.40000000026</v>
      </c>
      <c r="M41" s="127">
        <f t="shared" si="9"/>
        <v>1172575</v>
      </c>
      <c r="N41" s="127">
        <f t="shared" si="9"/>
        <v>-542426</v>
      </c>
      <c r="O41" s="127" t="e">
        <f t="shared" si="9"/>
        <v>#REF!</v>
      </c>
      <c r="P41" s="118"/>
    </row>
    <row r="42" spans="2:16" s="85" customFormat="1" x14ac:dyDescent="0.25">
      <c r="B42" s="123"/>
      <c r="C42" s="123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8"/>
    </row>
    <row r="43" spans="2:16" s="85" customFormat="1" x14ac:dyDescent="0.25">
      <c r="B43" s="123" t="s">
        <v>91</v>
      </c>
      <c r="C43" s="123"/>
      <c r="D43" s="128">
        <f t="shared" ref="D43:N43" si="10">+E44</f>
        <v>367351.00449999794</v>
      </c>
      <c r="E43" s="128">
        <f t="shared" si="10"/>
        <v>8884689.0044999979</v>
      </c>
      <c r="F43" s="128">
        <f t="shared" si="10"/>
        <v>3829510.0045000007</v>
      </c>
      <c r="G43" s="128">
        <f t="shared" si="10"/>
        <v>1192392.0000000002</v>
      </c>
      <c r="H43" s="128">
        <f t="shared" si="10"/>
        <v>1569400.0000000005</v>
      </c>
      <c r="I43" s="128">
        <f t="shared" si="10"/>
        <v>731426</v>
      </c>
      <c r="J43" s="128">
        <f t="shared" si="10"/>
        <v>5818367</v>
      </c>
      <c r="K43" s="128">
        <f t="shared" si="10"/>
        <v>1396152.9999999995</v>
      </c>
      <c r="L43" s="128">
        <f t="shared" si="10"/>
        <v>1553066</v>
      </c>
      <c r="M43" s="128">
        <f t="shared" si="10"/>
        <v>380491</v>
      </c>
      <c r="N43" s="128">
        <f t="shared" si="10"/>
        <v>922917</v>
      </c>
      <c r="O43" s="128" t="e">
        <f>+#REF!</f>
        <v>#REF!</v>
      </c>
      <c r="P43" s="129"/>
    </row>
    <row r="44" spans="2:16" s="85" customFormat="1" x14ac:dyDescent="0.25">
      <c r="B44" s="123" t="s">
        <v>24</v>
      </c>
      <c r="C44" s="123"/>
      <c r="D44" s="130">
        <f>+D43+D41</f>
        <v>766616.08279999904</v>
      </c>
      <c r="E44" s="130">
        <f>+E43+E41</f>
        <v>367351.00449999794</v>
      </c>
      <c r="F44" s="130">
        <f t="shared" ref="F44:K44" si="11">+F43+F41</f>
        <v>8884689.0044999979</v>
      </c>
      <c r="G44" s="130">
        <f t="shared" si="11"/>
        <v>3829510.0045000007</v>
      </c>
      <c r="H44" s="130">
        <f t="shared" si="11"/>
        <v>1192392.0000000002</v>
      </c>
      <c r="I44" s="130">
        <f t="shared" si="11"/>
        <v>1569400.0000000005</v>
      </c>
      <c r="J44" s="130">
        <f t="shared" si="11"/>
        <v>731426</v>
      </c>
      <c r="K44" s="130">
        <f t="shared" si="11"/>
        <v>5818367</v>
      </c>
      <c r="L44" s="130">
        <f>+L43+L41+0.4</f>
        <v>1396152.9999999995</v>
      </c>
      <c r="M44" s="130">
        <f>+M43+M41</f>
        <v>1553066</v>
      </c>
      <c r="N44" s="130">
        <f>+N43+N41</f>
        <v>380491</v>
      </c>
      <c r="O44" s="130">
        <f>+BK!O8</f>
        <v>922917</v>
      </c>
      <c r="P44" s="131"/>
    </row>
    <row r="45" spans="2:16" s="85" customFormat="1" x14ac:dyDescent="0.25">
      <c r="D45" s="110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1"/>
    </row>
    <row r="46" spans="2:16" s="85" customFormat="1" x14ac:dyDescent="0.25">
      <c r="D46" s="110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7"/>
    </row>
    <row r="49" spans="2:16" x14ac:dyDescent="0.25">
      <c r="B49" s="101"/>
      <c r="C49" s="101"/>
    </row>
    <row r="50" spans="2:16" x14ac:dyDescent="0.25">
      <c r="B50" s="98" t="s">
        <v>437</v>
      </c>
      <c r="C50" s="98"/>
      <c r="D50" s="103" t="s">
        <v>599</v>
      </c>
      <c r="E50" s="103"/>
      <c r="F50" s="103"/>
      <c r="G50" s="103"/>
      <c r="H50" s="103"/>
      <c r="I50" s="103"/>
      <c r="J50" s="103"/>
      <c r="K50" s="103"/>
      <c r="L50" s="103" t="s">
        <v>436</v>
      </c>
      <c r="M50" s="103" t="s">
        <v>436</v>
      </c>
      <c r="N50" s="102"/>
      <c r="O50" s="102"/>
    </row>
    <row r="51" spans="2:16" x14ac:dyDescent="0.25">
      <c r="B51" s="98"/>
      <c r="C51" s="98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03"/>
    </row>
    <row r="52" spans="2:16" x14ac:dyDescent="0.25">
      <c r="B52" s="86"/>
      <c r="C52" s="98">
        <v>4</v>
      </c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104"/>
    </row>
  </sheetData>
  <phoneticPr fontId="3" type="noConversion"/>
  <pageMargins left="0.59" right="0.59" top="0.81" bottom="0.67" header="0.5" footer="0.5"/>
  <pageSetup scale="8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workbookViewId="0">
      <selection activeCell="N33" sqref="N33"/>
    </sheetView>
  </sheetViews>
  <sheetFormatPr defaultRowHeight="12.75" x14ac:dyDescent="0.2"/>
  <cols>
    <col min="1" max="1" width="4.28515625" style="61" customWidth="1"/>
    <col min="2" max="2" width="35.28515625" style="61" customWidth="1"/>
    <col min="3" max="3" width="9.85546875" style="61" bestFit="1" customWidth="1"/>
    <col min="4" max="4" width="11.7109375" style="61" customWidth="1"/>
    <col min="5" max="5" width="9.7109375" style="61" customWidth="1"/>
    <col min="6" max="6" width="9.140625" style="61"/>
    <col min="7" max="7" width="13.140625" style="61" customWidth="1"/>
    <col min="8" max="8" width="10.42578125" style="61" bestFit="1" customWidth="1"/>
    <col min="9" max="9" width="9.85546875" style="61" bestFit="1" customWidth="1"/>
    <col min="10" max="10" width="11.140625" style="61" customWidth="1"/>
    <col min="11" max="11" width="9.85546875" style="61" bestFit="1" customWidth="1"/>
    <col min="12" max="16384" width="9.140625" style="61"/>
  </cols>
  <sheetData>
    <row r="1" spans="1:11" ht="15.75" x14ac:dyDescent="0.25">
      <c r="A1" s="26" t="s">
        <v>540</v>
      </c>
    </row>
    <row r="2" spans="1:11" ht="16.5" x14ac:dyDescent="0.25">
      <c r="A2" s="11" t="s">
        <v>716</v>
      </c>
    </row>
    <row r="3" spans="1:11" ht="16.5" x14ac:dyDescent="0.25">
      <c r="A3" s="11" t="s">
        <v>96</v>
      </c>
    </row>
    <row r="5" spans="1:11" ht="13.5" thickBot="1" x14ac:dyDescent="0.25">
      <c r="B5" s="537"/>
      <c r="C5" s="539" t="s">
        <v>439</v>
      </c>
      <c r="D5" s="539"/>
      <c r="E5" s="539"/>
      <c r="F5" s="539"/>
      <c r="G5" s="539"/>
      <c r="H5" s="539"/>
      <c r="I5" s="540"/>
      <c r="J5" s="60"/>
      <c r="K5" s="134"/>
    </row>
    <row r="6" spans="1:11" ht="63" customHeight="1" thickBot="1" x14ac:dyDescent="0.25">
      <c r="B6" s="538"/>
      <c r="C6" s="356" t="s">
        <v>93</v>
      </c>
      <c r="D6" s="356" t="s">
        <v>440</v>
      </c>
      <c r="E6" s="356" t="s">
        <v>441</v>
      </c>
      <c r="F6" s="356" t="s">
        <v>442</v>
      </c>
      <c r="G6" s="356" t="s">
        <v>443</v>
      </c>
      <c r="H6" s="357" t="s">
        <v>444</v>
      </c>
      <c r="I6" s="358" t="s">
        <v>2</v>
      </c>
      <c r="J6" s="359" t="s">
        <v>445</v>
      </c>
      <c r="K6" s="358" t="s">
        <v>2</v>
      </c>
    </row>
    <row r="7" spans="1:11" ht="26.25" customHeight="1" thickBot="1" x14ac:dyDescent="0.25">
      <c r="A7" s="61" t="s">
        <v>458</v>
      </c>
      <c r="B7" s="139" t="s">
        <v>717</v>
      </c>
      <c r="C7" s="140">
        <v>100000</v>
      </c>
      <c r="D7" s="140"/>
      <c r="E7" s="140"/>
      <c r="F7" s="140"/>
      <c r="G7" s="140"/>
      <c r="H7" s="141">
        <f>+BK!E69</f>
        <v>8746689.7645000033</v>
      </c>
      <c r="I7" s="142">
        <f>+C7+H7+F7</f>
        <v>8846689.7645000033</v>
      </c>
      <c r="J7" s="355"/>
      <c r="K7" s="142">
        <f>+I7</f>
        <v>8846689.7645000033</v>
      </c>
    </row>
    <row r="8" spans="1:11" x14ac:dyDescent="0.2">
      <c r="A8" s="61" t="s">
        <v>160</v>
      </c>
      <c r="B8" s="360" t="s">
        <v>446</v>
      </c>
      <c r="C8" s="361"/>
      <c r="D8" s="361"/>
      <c r="E8" s="361"/>
      <c r="F8" s="361"/>
      <c r="G8" s="361"/>
      <c r="H8" s="362"/>
      <c r="I8" s="363"/>
      <c r="J8" s="364"/>
      <c r="K8" s="363"/>
    </row>
    <row r="9" spans="1:11" x14ac:dyDescent="0.2">
      <c r="A9" s="61" t="s">
        <v>162</v>
      </c>
      <c r="B9" s="64" t="s">
        <v>447</v>
      </c>
      <c r="C9" s="63"/>
      <c r="D9" s="63"/>
      <c r="E9" s="63"/>
      <c r="F9" s="63"/>
      <c r="G9" s="63"/>
      <c r="H9" s="133"/>
      <c r="I9" s="135"/>
      <c r="J9" s="353"/>
      <c r="K9" s="135"/>
    </row>
    <row r="10" spans="1:11" ht="25.5" x14ac:dyDescent="0.2">
      <c r="A10" s="61">
        <v>1</v>
      </c>
      <c r="B10" s="64" t="s">
        <v>448</v>
      </c>
      <c r="C10" s="63"/>
      <c r="D10" s="63"/>
      <c r="E10" s="63"/>
      <c r="F10" s="63"/>
      <c r="G10" s="63"/>
      <c r="H10" s="133"/>
      <c r="I10" s="135"/>
      <c r="J10" s="353"/>
      <c r="K10" s="135"/>
    </row>
    <row r="11" spans="1:11" ht="38.25" x14ac:dyDescent="0.2">
      <c r="A11" s="61">
        <v>2</v>
      </c>
      <c r="B11" s="64" t="s">
        <v>449</v>
      </c>
      <c r="C11" s="63"/>
      <c r="D11" s="63"/>
      <c r="E11" s="63"/>
      <c r="F11" s="63"/>
      <c r="G11" s="63"/>
      <c r="H11" s="133"/>
      <c r="I11" s="135"/>
      <c r="J11" s="353"/>
      <c r="K11" s="135"/>
    </row>
    <row r="12" spans="1:11" x14ac:dyDescent="0.2">
      <c r="A12" s="61">
        <v>3</v>
      </c>
      <c r="B12" s="64" t="s">
        <v>450</v>
      </c>
      <c r="C12" s="63"/>
      <c r="D12" s="63"/>
      <c r="E12" s="63"/>
      <c r="F12" s="63"/>
      <c r="G12" s="63"/>
      <c r="H12" s="133">
        <f>+BK!E70</f>
        <v>3502298.9</v>
      </c>
      <c r="I12" s="135">
        <f>+C12+H12+F12</f>
        <v>3502298.9</v>
      </c>
      <c r="J12" s="353"/>
      <c r="K12" s="135">
        <f>+H12</f>
        <v>3502298.9</v>
      </c>
    </row>
    <row r="13" spans="1:11" x14ac:dyDescent="0.2">
      <c r="A13" s="61">
        <v>4</v>
      </c>
      <c r="B13" s="64" t="s">
        <v>451</v>
      </c>
      <c r="C13" s="63"/>
      <c r="D13" s="63"/>
      <c r="E13" s="63"/>
      <c r="F13" s="63"/>
      <c r="G13" s="63"/>
      <c r="H13" s="133"/>
      <c r="I13" s="135"/>
      <c r="J13" s="353"/>
      <c r="K13" s="135"/>
    </row>
    <row r="14" spans="1:11" ht="25.5" x14ac:dyDescent="0.2">
      <c r="A14" s="61">
        <v>5</v>
      </c>
      <c r="B14" s="64" t="s">
        <v>452</v>
      </c>
      <c r="C14" s="63"/>
      <c r="D14" s="63"/>
      <c r="E14" s="63"/>
      <c r="F14" s="63"/>
      <c r="G14" s="63"/>
      <c r="H14" s="133"/>
      <c r="I14" s="135"/>
      <c r="J14" s="353"/>
      <c r="K14" s="135"/>
    </row>
    <row r="15" spans="1:11" ht="13.5" thickBot="1" x14ac:dyDescent="0.25">
      <c r="A15" s="61">
        <v>6</v>
      </c>
      <c r="B15" s="136" t="s">
        <v>453</v>
      </c>
      <c r="C15" s="137"/>
      <c r="D15" s="137"/>
      <c r="E15" s="137"/>
      <c r="F15" s="137"/>
      <c r="G15" s="137"/>
      <c r="H15" s="138"/>
      <c r="I15" s="352"/>
      <c r="J15" s="354"/>
      <c r="K15" s="352"/>
    </row>
    <row r="16" spans="1:11" ht="13.5" thickBot="1" x14ac:dyDescent="0.25">
      <c r="A16" s="61" t="s">
        <v>138</v>
      </c>
      <c r="B16" s="139" t="s">
        <v>718</v>
      </c>
      <c r="C16" s="140">
        <f>SUM(C7:C15)</f>
        <v>100000</v>
      </c>
      <c r="D16" s="140">
        <f t="shared" ref="D16:K16" si="0">SUM(D7:D15)</f>
        <v>0</v>
      </c>
      <c r="E16" s="140">
        <f t="shared" si="0"/>
        <v>0</v>
      </c>
      <c r="F16" s="140">
        <f t="shared" si="0"/>
        <v>0</v>
      </c>
      <c r="G16" s="140">
        <f t="shared" si="0"/>
        <v>0</v>
      </c>
      <c r="H16" s="141">
        <f t="shared" si="0"/>
        <v>12248988.664500004</v>
      </c>
      <c r="I16" s="142">
        <f t="shared" si="0"/>
        <v>12348988.664500004</v>
      </c>
      <c r="J16" s="365">
        <f t="shared" si="0"/>
        <v>0</v>
      </c>
      <c r="K16" s="366">
        <f t="shared" si="0"/>
        <v>12348988.664500004</v>
      </c>
    </row>
    <row r="17" spans="1:11" ht="25.5" x14ac:dyDescent="0.2">
      <c r="A17" s="61">
        <v>1</v>
      </c>
      <c r="B17" s="360" t="s">
        <v>454</v>
      </c>
      <c r="C17" s="361"/>
      <c r="D17" s="361"/>
      <c r="E17" s="361"/>
      <c r="F17" s="361"/>
      <c r="G17" s="361"/>
      <c r="H17" s="362"/>
      <c r="I17" s="363"/>
      <c r="J17" s="364"/>
      <c r="K17" s="363"/>
    </row>
    <row r="18" spans="1:11" ht="51" x14ac:dyDescent="0.2">
      <c r="A18" s="61">
        <v>2</v>
      </c>
      <c r="B18" s="64" t="s">
        <v>643</v>
      </c>
      <c r="C18" s="63"/>
      <c r="D18" s="63"/>
      <c r="E18" s="63"/>
      <c r="F18" s="63"/>
      <c r="G18" s="63"/>
      <c r="H18" s="133"/>
      <c r="I18" s="135"/>
      <c r="J18" s="353"/>
      <c r="K18" s="135">
        <f>+H18</f>
        <v>0</v>
      </c>
    </row>
    <row r="19" spans="1:11" ht="15.75" customHeight="1" x14ac:dyDescent="0.2">
      <c r="A19" s="61">
        <v>3</v>
      </c>
      <c r="B19" s="62" t="s">
        <v>455</v>
      </c>
      <c r="C19" s="63"/>
      <c r="D19" s="63"/>
      <c r="E19" s="63"/>
      <c r="F19" s="63"/>
      <c r="G19" s="63"/>
      <c r="H19" s="133">
        <f>+BK!D70</f>
        <v>2683838.15</v>
      </c>
      <c r="I19" s="135">
        <f>+H19</f>
        <v>2683838.15</v>
      </c>
      <c r="J19" s="353"/>
      <c r="K19" s="135">
        <f>+I19</f>
        <v>2683838.15</v>
      </c>
    </row>
    <row r="20" spans="1:11" x14ac:dyDescent="0.2">
      <c r="A20" s="61">
        <v>4</v>
      </c>
      <c r="B20" s="64" t="s">
        <v>451</v>
      </c>
      <c r="C20" s="63"/>
      <c r="D20" s="63"/>
      <c r="E20" s="63"/>
      <c r="F20" s="63"/>
      <c r="G20" s="63"/>
      <c r="H20" s="133"/>
      <c r="I20" s="135"/>
      <c r="J20" s="353"/>
      <c r="K20" s="135"/>
    </row>
    <row r="21" spans="1:11" x14ac:dyDescent="0.2">
      <c r="A21" s="61">
        <v>5</v>
      </c>
      <c r="B21" s="64" t="s">
        <v>456</v>
      </c>
      <c r="C21" s="63"/>
      <c r="D21" s="63"/>
      <c r="E21" s="63"/>
      <c r="F21" s="63"/>
      <c r="G21" s="63"/>
      <c r="H21" s="133"/>
      <c r="I21" s="135"/>
      <c r="J21" s="353"/>
      <c r="K21" s="135"/>
    </row>
    <row r="22" spans="1:11" ht="13.5" thickBot="1" x14ac:dyDescent="0.25">
      <c r="A22" s="61">
        <v>6</v>
      </c>
      <c r="B22" s="136" t="s">
        <v>457</v>
      </c>
      <c r="C22" s="137"/>
      <c r="D22" s="137"/>
      <c r="E22" s="137"/>
      <c r="F22" s="137"/>
      <c r="G22" s="137"/>
      <c r="H22" s="138"/>
      <c r="I22" s="352"/>
      <c r="J22" s="354"/>
      <c r="K22" s="352"/>
    </row>
    <row r="23" spans="1:11" ht="13.5" thickBot="1" x14ac:dyDescent="0.25">
      <c r="A23" s="61" t="s">
        <v>148</v>
      </c>
      <c r="B23" s="367" t="s">
        <v>719</v>
      </c>
      <c r="C23" s="368">
        <v>100000</v>
      </c>
      <c r="D23" s="140"/>
      <c r="E23" s="140"/>
      <c r="F23" s="140"/>
      <c r="G23" s="140"/>
      <c r="H23" s="141">
        <f>SUM(H16:H22)</f>
        <v>14932826.814500004</v>
      </c>
      <c r="I23" s="142">
        <f>SUM(I16:I22)</f>
        <v>15032826.814500004</v>
      </c>
      <c r="J23" s="355"/>
      <c r="K23" s="142">
        <f>+K16+K19+K18</f>
        <v>15032826.814500004</v>
      </c>
    </row>
    <row r="27" spans="1:11" ht="15.75" x14ac:dyDescent="0.25">
      <c r="B27" s="98" t="s">
        <v>437</v>
      </c>
      <c r="C27" s="98"/>
      <c r="E27" s="102"/>
      <c r="F27" s="102"/>
      <c r="G27" s="107"/>
      <c r="H27" s="88"/>
      <c r="I27" s="103" t="s">
        <v>436</v>
      </c>
    </row>
    <row r="28" spans="1:11" x14ac:dyDescent="0.2">
      <c r="E28" s="449">
        <v>5</v>
      </c>
      <c r="K28" s="256"/>
    </row>
  </sheetData>
  <mergeCells count="2">
    <mergeCell ref="B5:B6"/>
    <mergeCell ref="C5:I5"/>
  </mergeCells>
  <phoneticPr fontId="3" type="noConversion"/>
  <pageMargins left="0.26" right="0.4" top="1" bottom="1" header="0.5" footer="0.5"/>
  <pageSetup scale="85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6"/>
  <sheetViews>
    <sheetView topLeftCell="C1" workbookViewId="0">
      <selection activeCell="N33" sqref="N33"/>
    </sheetView>
  </sheetViews>
  <sheetFormatPr defaultRowHeight="12.75" x14ac:dyDescent="0.2"/>
  <cols>
    <col min="1" max="1" width="12.140625" style="61" hidden="1" customWidth="1"/>
    <col min="2" max="2" width="9.42578125" style="61" hidden="1" customWidth="1"/>
    <col min="3" max="3" width="30.7109375" style="61" customWidth="1"/>
    <col min="4" max="4" width="21.28515625" style="61" customWidth="1"/>
    <col min="5" max="5" width="3.5703125" style="61" customWidth="1"/>
    <col min="6" max="6" width="9.7109375" style="61" customWidth="1"/>
    <col min="7" max="7" width="10" style="61" customWidth="1"/>
    <col min="8" max="8" width="12.140625" style="61" customWidth="1"/>
    <col min="9" max="9" width="13.5703125" style="61" customWidth="1"/>
    <col min="10" max="10" width="15.7109375" style="61" customWidth="1"/>
    <col min="11" max="11" width="9.140625" style="61"/>
    <col min="12" max="12" width="12.28515625" style="61" customWidth="1"/>
    <col min="13" max="16" width="0" style="61" hidden="1" customWidth="1"/>
    <col min="17" max="17" width="11.140625" style="61" bestFit="1" customWidth="1"/>
    <col min="18" max="18" width="9.5703125" style="61" bestFit="1" customWidth="1"/>
    <col min="19" max="16384" width="9.140625" style="61"/>
  </cols>
  <sheetData>
    <row r="1" spans="1:18" x14ac:dyDescent="0.2">
      <c r="C1" s="3" t="s">
        <v>542</v>
      </c>
    </row>
    <row r="2" spans="1:18" ht="13.5" x14ac:dyDescent="0.25">
      <c r="C2" s="148" t="s">
        <v>502</v>
      </c>
    </row>
    <row r="3" spans="1:18" x14ac:dyDescent="0.2">
      <c r="C3" s="149" t="s">
        <v>720</v>
      </c>
    </row>
    <row r="4" spans="1:18" x14ac:dyDescent="0.2">
      <c r="A4" s="150"/>
      <c r="B4" s="150"/>
      <c r="C4" s="151" t="s">
        <v>96</v>
      </c>
      <c r="D4" s="150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</row>
    <row r="5" spans="1:18" x14ac:dyDescent="0.2">
      <c r="A5" s="150"/>
      <c r="B5" s="150"/>
      <c r="C5" s="150"/>
      <c r="D5" s="150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</row>
    <row r="6" spans="1:18" ht="13.5" thickBot="1" x14ac:dyDescent="0.25">
      <c r="A6" s="150"/>
      <c r="B6" s="150"/>
      <c r="C6" s="150"/>
      <c r="D6" s="150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</row>
    <row r="7" spans="1:18" ht="12.75" customHeight="1" x14ac:dyDescent="0.2">
      <c r="A7" s="543"/>
      <c r="B7" s="543"/>
      <c r="C7" s="154" t="s">
        <v>459</v>
      </c>
      <c r="D7" s="155"/>
      <c r="E7" s="156"/>
      <c r="F7" s="157" t="s">
        <v>460</v>
      </c>
      <c r="G7" s="158" t="s">
        <v>461</v>
      </c>
      <c r="H7" s="159" t="s">
        <v>341</v>
      </c>
      <c r="I7" s="158" t="s">
        <v>462</v>
      </c>
      <c r="J7" s="160" t="s">
        <v>527</v>
      </c>
      <c r="K7" s="147" t="s">
        <v>463</v>
      </c>
      <c r="L7" s="161" t="s">
        <v>464</v>
      </c>
      <c r="M7" s="162"/>
      <c r="N7" s="163"/>
      <c r="O7" s="541" t="s">
        <v>465</v>
      </c>
    </row>
    <row r="8" spans="1:18" ht="13.5" thickBot="1" x14ac:dyDescent="0.25">
      <c r="A8" s="153"/>
      <c r="B8" s="153"/>
      <c r="C8" s="164"/>
      <c r="D8" s="165"/>
      <c r="E8" s="156"/>
      <c r="F8" s="166"/>
      <c r="G8" s="167"/>
      <c r="H8" s="167"/>
      <c r="I8" s="167"/>
      <c r="J8" s="255" t="s">
        <v>528</v>
      </c>
      <c r="K8" s="168"/>
      <c r="L8" s="168"/>
      <c r="M8" s="162"/>
      <c r="N8" s="163"/>
      <c r="O8" s="542"/>
    </row>
    <row r="9" spans="1:18" ht="13.5" thickBot="1" x14ac:dyDescent="0.25">
      <c r="A9" s="153"/>
      <c r="B9" s="153"/>
      <c r="C9" s="153"/>
      <c r="D9" s="153"/>
      <c r="E9" s="156"/>
      <c r="F9" s="169"/>
      <c r="G9" s="169"/>
      <c r="H9" s="170"/>
      <c r="I9" s="169"/>
      <c r="J9" s="170"/>
      <c r="K9" s="170"/>
      <c r="L9" s="162"/>
      <c r="M9" s="162"/>
      <c r="N9" s="163"/>
      <c r="O9" s="171"/>
    </row>
    <row r="10" spans="1:18" x14ac:dyDescent="0.2">
      <c r="A10" s="153"/>
      <c r="B10" s="153"/>
      <c r="C10" s="172"/>
      <c r="D10" s="173"/>
      <c r="E10" s="156"/>
      <c r="F10" s="369"/>
      <c r="G10" s="370"/>
      <c r="H10" s="371"/>
      <c r="I10" s="370"/>
      <c r="J10" s="372"/>
      <c r="K10" s="372"/>
      <c r="L10" s="373"/>
      <c r="M10" s="162"/>
      <c r="N10" s="163"/>
      <c r="O10" s="174"/>
    </row>
    <row r="11" spans="1:18" x14ac:dyDescent="0.2">
      <c r="A11" s="153"/>
      <c r="B11" s="153"/>
      <c r="C11" s="175"/>
      <c r="D11" s="176"/>
      <c r="E11" s="156"/>
      <c r="F11" s="177"/>
      <c r="G11" s="178"/>
      <c r="H11" s="179" t="s">
        <v>524</v>
      </c>
      <c r="I11" s="178"/>
      <c r="J11" s="180"/>
      <c r="K11" s="180"/>
      <c r="L11" s="181"/>
      <c r="M11" s="162"/>
      <c r="N11" s="163"/>
      <c r="O11" s="182"/>
    </row>
    <row r="12" spans="1:18" ht="13.5" thickBot="1" x14ac:dyDescent="0.25">
      <c r="A12" s="153"/>
      <c r="B12" s="153"/>
      <c r="C12" s="175"/>
      <c r="D12" s="176"/>
      <c r="E12" s="183"/>
      <c r="F12" s="184"/>
      <c r="G12" s="185"/>
      <c r="H12" s="186"/>
      <c r="I12" s="185"/>
      <c r="J12" s="187"/>
      <c r="K12" s="187"/>
      <c r="L12" s="188"/>
      <c r="M12" s="162"/>
      <c r="N12" s="163"/>
      <c r="O12" s="189"/>
    </row>
    <row r="13" spans="1:18" ht="13.5" x14ac:dyDescent="0.25">
      <c r="A13" s="190" t="s">
        <v>466</v>
      </c>
      <c r="B13" s="190" t="s">
        <v>467</v>
      </c>
      <c r="C13" s="191" t="s">
        <v>721</v>
      </c>
      <c r="D13" s="192" t="s">
        <v>468</v>
      </c>
      <c r="E13" s="193" t="s">
        <v>469</v>
      </c>
      <c r="F13" s="194"/>
      <c r="G13" s="195"/>
      <c r="H13" s="196"/>
      <c r="I13" s="197"/>
      <c r="J13" s="198">
        <v>3421661</v>
      </c>
      <c r="K13" s="199"/>
      <c r="L13" s="200">
        <f>SUM(F13:K13)</f>
        <v>3421661</v>
      </c>
      <c r="M13" s="201"/>
      <c r="N13" s="202"/>
      <c r="O13" s="200"/>
    </row>
    <row r="14" spans="1:18" ht="14.25" thickBot="1" x14ac:dyDescent="0.3">
      <c r="A14" s="190" t="s">
        <v>466</v>
      </c>
      <c r="B14" s="203" t="s">
        <v>470</v>
      </c>
      <c r="C14" s="204" t="s">
        <v>721</v>
      </c>
      <c r="D14" s="205" t="s">
        <v>471</v>
      </c>
      <c r="E14" s="193" t="s">
        <v>469</v>
      </c>
      <c r="F14" s="212"/>
      <c r="G14" s="213"/>
      <c r="H14" s="214"/>
      <c r="I14" s="213"/>
      <c r="J14" s="455">
        <v>2837088</v>
      </c>
      <c r="K14" s="215"/>
      <c r="L14" s="216">
        <f>SUM(F14:K14)</f>
        <v>2837088</v>
      </c>
      <c r="M14" s="201"/>
      <c r="N14" s="202"/>
      <c r="O14" s="209"/>
      <c r="R14" s="217"/>
    </row>
    <row r="15" spans="1:18" ht="14.25" thickBot="1" x14ac:dyDescent="0.3">
      <c r="A15" s="190" t="s">
        <v>466</v>
      </c>
      <c r="B15" s="203" t="s">
        <v>472</v>
      </c>
      <c r="C15" s="210" t="s">
        <v>721</v>
      </c>
      <c r="D15" s="211" t="s">
        <v>473</v>
      </c>
      <c r="E15" s="193" t="s">
        <v>469</v>
      </c>
      <c r="F15" s="456"/>
      <c r="G15" s="456"/>
      <c r="H15" s="457"/>
      <c r="I15" s="457"/>
      <c r="J15" s="457"/>
      <c r="K15" s="456"/>
      <c r="L15" s="457"/>
      <c r="M15" s="201"/>
      <c r="N15" s="202"/>
      <c r="O15" s="216"/>
      <c r="R15" s="450"/>
    </row>
    <row r="16" spans="1:18" ht="14.25" thickBot="1" x14ac:dyDescent="0.3">
      <c r="A16" s="190"/>
      <c r="B16" s="203"/>
      <c r="C16" s="218"/>
      <c r="D16" s="219"/>
      <c r="E16" s="193"/>
      <c r="F16" s="458"/>
      <c r="G16" s="459"/>
      <c r="H16" s="460"/>
      <c r="I16" s="459"/>
      <c r="J16" s="461"/>
      <c r="K16" s="462"/>
      <c r="L16" s="463"/>
      <c r="M16" s="221"/>
      <c r="N16" s="202"/>
      <c r="O16" s="220"/>
    </row>
    <row r="17" spans="1:17" ht="13.5" x14ac:dyDescent="0.25">
      <c r="A17" s="190" t="s">
        <v>474</v>
      </c>
      <c r="B17" s="190" t="s">
        <v>467</v>
      </c>
      <c r="C17" s="222" t="s">
        <v>722</v>
      </c>
      <c r="D17" s="223" t="s">
        <v>475</v>
      </c>
      <c r="E17" s="193" t="s">
        <v>469</v>
      </c>
      <c r="F17" s="224"/>
      <c r="G17" s="225"/>
      <c r="H17" s="226"/>
      <c r="I17" s="206">
        <v>3702600</v>
      </c>
      <c r="J17" s="207"/>
      <c r="K17" s="208"/>
      <c r="L17" s="209">
        <f>SUM(F17:K17)</f>
        <v>3702600</v>
      </c>
      <c r="M17" s="221"/>
      <c r="N17" s="202"/>
      <c r="O17" s="200"/>
    </row>
    <row r="18" spans="1:17" ht="13.5" x14ac:dyDescent="0.25">
      <c r="A18" s="190" t="s">
        <v>476</v>
      </c>
      <c r="B18" s="190" t="s">
        <v>467</v>
      </c>
      <c r="C18" s="222" t="s">
        <v>723</v>
      </c>
      <c r="D18" s="223" t="s">
        <v>475</v>
      </c>
      <c r="E18" s="193" t="s">
        <v>477</v>
      </c>
      <c r="F18" s="224"/>
      <c r="G18" s="225"/>
      <c r="H18" s="230"/>
      <c r="I18" s="206"/>
      <c r="J18" s="207"/>
      <c r="K18" s="231"/>
      <c r="L18" s="209">
        <f>SUM(F18:K18)</f>
        <v>0</v>
      </c>
      <c r="M18" s="221"/>
      <c r="N18" s="202"/>
      <c r="O18" s="229"/>
    </row>
    <row r="19" spans="1:17" ht="13.5" x14ac:dyDescent="0.25">
      <c r="A19" s="190" t="s">
        <v>478</v>
      </c>
      <c r="B19" s="190" t="s">
        <v>479</v>
      </c>
      <c r="C19" s="222" t="s">
        <v>480</v>
      </c>
      <c r="D19" s="223"/>
      <c r="E19" s="193" t="s">
        <v>481</v>
      </c>
      <c r="F19" s="224"/>
      <c r="G19" s="225"/>
      <c r="H19" s="226"/>
      <c r="I19" s="225"/>
      <c r="J19" s="227"/>
      <c r="K19" s="228"/>
      <c r="L19" s="229">
        <f>SUM(F19:K19)</f>
        <v>0</v>
      </c>
      <c r="M19" s="221"/>
      <c r="N19" s="202"/>
      <c r="O19" s="229"/>
    </row>
    <row r="20" spans="1:17" ht="13.5" x14ac:dyDescent="0.25">
      <c r="A20" s="190"/>
      <c r="B20" s="190"/>
      <c r="C20" s="222"/>
      <c r="D20" s="223"/>
      <c r="E20" s="193"/>
      <c r="F20" s="224"/>
      <c r="G20" s="225"/>
      <c r="H20" s="226"/>
      <c r="I20" s="225"/>
      <c r="J20" s="227"/>
      <c r="K20" s="228"/>
      <c r="L20" s="229"/>
      <c r="M20" s="221"/>
      <c r="N20" s="202"/>
      <c r="O20" s="229"/>
    </row>
    <row r="21" spans="1:17" ht="13.5" x14ac:dyDescent="0.25">
      <c r="A21" s="190" t="s">
        <v>472</v>
      </c>
      <c r="B21" s="190"/>
      <c r="C21" s="222" t="s">
        <v>482</v>
      </c>
      <c r="D21" s="223"/>
      <c r="E21" s="193" t="s">
        <v>469</v>
      </c>
      <c r="F21" s="224"/>
      <c r="G21" s="225"/>
      <c r="H21" s="226"/>
      <c r="I21" s="225"/>
      <c r="J21" s="227"/>
      <c r="K21" s="228"/>
      <c r="L21" s="229">
        <f>SUM(F21:K21)</f>
        <v>0</v>
      </c>
      <c r="M21" s="221"/>
      <c r="N21" s="202"/>
      <c r="O21" s="229"/>
    </row>
    <row r="22" spans="1:17" ht="13.5" x14ac:dyDescent="0.25">
      <c r="A22" s="190" t="s">
        <v>483</v>
      </c>
      <c r="B22" s="190"/>
      <c r="C22" s="222" t="s">
        <v>484</v>
      </c>
      <c r="D22" s="223"/>
      <c r="E22" s="193" t="s">
        <v>469</v>
      </c>
      <c r="F22" s="224"/>
      <c r="G22" s="225"/>
      <c r="H22" s="225"/>
      <c r="I22" s="206">
        <v>509107</v>
      </c>
      <c r="J22" s="207">
        <v>116915</v>
      </c>
      <c r="K22" s="208"/>
      <c r="L22" s="209">
        <f>SUM(F22:K22)</f>
        <v>626022</v>
      </c>
      <c r="M22" s="221"/>
      <c r="N22" s="202"/>
      <c r="O22" s="209"/>
    </row>
    <row r="23" spans="1:17" ht="13.5" x14ac:dyDescent="0.25">
      <c r="A23" s="190"/>
      <c r="B23" s="190"/>
      <c r="C23" s="222"/>
      <c r="D23" s="223"/>
      <c r="E23" s="193"/>
      <c r="F23" s="224"/>
      <c r="G23" s="225"/>
      <c r="H23" s="226"/>
      <c r="I23" s="225"/>
      <c r="J23" s="227"/>
      <c r="K23" s="228"/>
      <c r="L23" s="229"/>
      <c r="M23" s="221"/>
      <c r="N23" s="202"/>
      <c r="O23" s="229"/>
    </row>
    <row r="24" spans="1:17" ht="13.5" x14ac:dyDescent="0.25">
      <c r="A24" s="190" t="s">
        <v>485</v>
      </c>
      <c r="B24" s="203" t="s">
        <v>470</v>
      </c>
      <c r="C24" s="222" t="s">
        <v>486</v>
      </c>
      <c r="D24" s="223"/>
      <c r="E24" s="193" t="s">
        <v>477</v>
      </c>
      <c r="F24" s="224"/>
      <c r="G24" s="225"/>
      <c r="H24" s="226"/>
      <c r="I24" s="206"/>
      <c r="J24" s="207"/>
      <c r="K24" s="208"/>
      <c r="L24" s="209">
        <f>SUM(F24:K24)</f>
        <v>0</v>
      </c>
      <c r="M24" s="221"/>
      <c r="N24" s="202"/>
      <c r="O24" s="229"/>
    </row>
    <row r="25" spans="1:17" ht="13.5" x14ac:dyDescent="0.25">
      <c r="A25" s="190" t="s">
        <v>485</v>
      </c>
      <c r="B25" s="203" t="s">
        <v>472</v>
      </c>
      <c r="C25" s="222" t="s">
        <v>487</v>
      </c>
      <c r="D25" s="223"/>
      <c r="E25" s="193" t="s">
        <v>477</v>
      </c>
      <c r="F25" s="224"/>
      <c r="G25" s="225"/>
      <c r="H25" s="226"/>
      <c r="I25" s="225"/>
      <c r="J25" s="227"/>
      <c r="K25" s="228"/>
      <c r="L25" s="229">
        <f>SUM(F25:K25)</f>
        <v>0</v>
      </c>
      <c r="M25" s="221"/>
      <c r="N25" s="202"/>
      <c r="O25" s="229"/>
    </row>
    <row r="26" spans="1:17" ht="13.5" x14ac:dyDescent="0.25">
      <c r="A26" s="190" t="s">
        <v>478</v>
      </c>
      <c r="B26" s="190" t="s">
        <v>488</v>
      </c>
      <c r="C26" s="222" t="s">
        <v>489</v>
      </c>
      <c r="D26" s="223"/>
      <c r="E26" s="193" t="s">
        <v>481</v>
      </c>
      <c r="F26" s="224"/>
      <c r="G26" s="225"/>
      <c r="H26" s="226"/>
      <c r="I26" s="225"/>
      <c r="J26" s="227"/>
      <c r="K26" s="228"/>
      <c r="L26" s="229">
        <f>SUM(F26:K26)</f>
        <v>0</v>
      </c>
      <c r="M26" s="221"/>
      <c r="N26" s="202"/>
      <c r="O26" s="229"/>
    </row>
    <row r="27" spans="1:17" ht="14.25" thickBot="1" x14ac:dyDescent="0.3">
      <c r="A27" s="190"/>
      <c r="B27" s="190"/>
      <c r="C27" s="232"/>
      <c r="D27" s="233"/>
      <c r="E27" s="193"/>
      <c r="F27" s="234"/>
      <c r="G27" s="235"/>
      <c r="H27" s="236"/>
      <c r="I27" s="235"/>
      <c r="J27" s="237"/>
      <c r="K27" s="238"/>
      <c r="L27" s="239"/>
      <c r="M27" s="221"/>
      <c r="N27" s="202"/>
      <c r="O27" s="239"/>
    </row>
    <row r="28" spans="1:17" ht="13.5" x14ac:dyDescent="0.25">
      <c r="A28" s="190" t="s">
        <v>490</v>
      </c>
      <c r="B28" s="190" t="s">
        <v>491</v>
      </c>
      <c r="C28" s="488" t="s">
        <v>724</v>
      </c>
      <c r="D28" s="489" t="s">
        <v>468</v>
      </c>
      <c r="E28" s="240"/>
      <c r="F28" s="241">
        <f t="shared" ref="F28:K28" si="0">F13+F17+F18+F19</f>
        <v>0</v>
      </c>
      <c r="G28" s="242">
        <f t="shared" si="0"/>
        <v>0</v>
      </c>
      <c r="H28" s="242">
        <f t="shared" si="0"/>
        <v>0</v>
      </c>
      <c r="I28" s="242">
        <f>I13+I17-I18+I19</f>
        <v>3702600</v>
      </c>
      <c r="J28" s="243">
        <f>+J13+J17</f>
        <v>3421661</v>
      </c>
      <c r="K28" s="243">
        <f t="shared" si="0"/>
        <v>0</v>
      </c>
      <c r="L28" s="200">
        <f>SUM(F28:K28)</f>
        <v>7124261</v>
      </c>
      <c r="M28" s="201"/>
      <c r="N28" s="202"/>
      <c r="O28" s="200"/>
    </row>
    <row r="29" spans="1:17" ht="13.5" x14ac:dyDescent="0.25">
      <c r="A29" s="190" t="s">
        <v>490</v>
      </c>
      <c r="B29" s="190" t="s">
        <v>492</v>
      </c>
      <c r="C29" s="490" t="s">
        <v>724</v>
      </c>
      <c r="D29" s="491" t="s">
        <v>471</v>
      </c>
      <c r="E29" s="240"/>
      <c r="F29" s="244">
        <f t="shared" ref="F29:K29" si="1">F14+F22+F24+F26</f>
        <v>0</v>
      </c>
      <c r="G29" s="245">
        <f t="shared" si="1"/>
        <v>0</v>
      </c>
      <c r="H29" s="245">
        <f t="shared" si="1"/>
        <v>0</v>
      </c>
      <c r="I29" s="245">
        <f>I14+I22-I24+I26</f>
        <v>509107</v>
      </c>
      <c r="J29" s="246">
        <f>+J14+J22</f>
        <v>2954003</v>
      </c>
      <c r="K29" s="246">
        <f t="shared" si="1"/>
        <v>0</v>
      </c>
      <c r="L29" s="209">
        <f>SUM(F29:K29)</f>
        <v>3463110</v>
      </c>
      <c r="M29" s="201"/>
      <c r="N29" s="202"/>
      <c r="O29" s="209"/>
    </row>
    <row r="30" spans="1:17" ht="13.5" thickBot="1" x14ac:dyDescent="0.25">
      <c r="A30" s="247" t="s">
        <v>490</v>
      </c>
      <c r="B30" s="190" t="s">
        <v>493</v>
      </c>
      <c r="C30" s="492" t="s">
        <v>724</v>
      </c>
      <c r="D30" s="493" t="s">
        <v>494</v>
      </c>
      <c r="E30" s="248"/>
      <c r="F30" s="249">
        <f t="shared" ref="F30:L30" si="2">F28-F29</f>
        <v>0</v>
      </c>
      <c r="G30" s="250">
        <f t="shared" si="2"/>
        <v>0</v>
      </c>
      <c r="H30" s="250">
        <f t="shared" si="2"/>
        <v>0</v>
      </c>
      <c r="I30" s="250">
        <f t="shared" si="2"/>
        <v>3193493</v>
      </c>
      <c r="J30" s="251">
        <f t="shared" si="2"/>
        <v>467658</v>
      </c>
      <c r="K30" s="251">
        <f t="shared" si="2"/>
        <v>0</v>
      </c>
      <c r="L30" s="451">
        <f t="shared" si="2"/>
        <v>3661151</v>
      </c>
      <c r="M30" s="201"/>
      <c r="N30" s="202"/>
      <c r="O30" s="216"/>
      <c r="Q30" s="374"/>
    </row>
    <row r="31" spans="1:17" x14ac:dyDescent="0.2">
      <c r="A31" s="252"/>
      <c r="B31" s="252"/>
      <c r="C31" s="252"/>
      <c r="D31" s="252"/>
      <c r="E31" s="202"/>
      <c r="F31" s="202"/>
      <c r="G31" s="202"/>
      <c r="H31" s="202"/>
      <c r="I31" s="202"/>
      <c r="J31" s="202"/>
      <c r="K31" s="202"/>
      <c r="L31" s="202"/>
      <c r="M31" s="202"/>
      <c r="N31" s="152"/>
      <c r="O31" s="152"/>
    </row>
    <row r="32" spans="1:17" x14ac:dyDescent="0.2">
      <c r="A32" s="252"/>
      <c r="B32" s="252"/>
      <c r="C32" s="252"/>
      <c r="D32" s="252"/>
      <c r="E32" s="202"/>
      <c r="F32" s="202"/>
      <c r="G32" s="202"/>
      <c r="H32" s="202"/>
      <c r="I32" s="202"/>
      <c r="J32" s="202"/>
      <c r="K32" s="202"/>
      <c r="L32" s="253"/>
      <c r="M32" s="253"/>
      <c r="N32" s="152"/>
      <c r="O32" s="152"/>
    </row>
    <row r="33" spans="1:15" x14ac:dyDescent="0.2">
      <c r="A33" s="252"/>
      <c r="B33" s="252"/>
      <c r="C33" s="252"/>
      <c r="D33" s="252"/>
      <c r="E33" s="202"/>
      <c r="F33" s="202"/>
      <c r="G33" s="202"/>
      <c r="H33" s="202"/>
      <c r="I33" s="202"/>
      <c r="J33" s="253"/>
      <c r="K33" s="202"/>
      <c r="L33" s="253"/>
      <c r="M33" s="253"/>
      <c r="N33" s="152"/>
      <c r="O33" s="152"/>
    </row>
    <row r="34" spans="1:15" x14ac:dyDescent="0.2">
      <c r="A34" s="150"/>
      <c r="B34" s="150"/>
      <c r="C34" s="150"/>
      <c r="D34" s="150"/>
      <c r="E34" s="152"/>
      <c r="F34" s="152"/>
      <c r="G34" s="152"/>
      <c r="H34" s="152"/>
      <c r="I34" s="152"/>
      <c r="J34" s="254"/>
      <c r="K34" s="152"/>
      <c r="L34" s="152"/>
      <c r="M34" s="152"/>
      <c r="N34" s="152"/>
      <c r="O34" s="152"/>
    </row>
    <row r="35" spans="1:15" x14ac:dyDescent="0.2">
      <c r="A35" s="150"/>
      <c r="B35" s="150"/>
      <c r="C35" s="150"/>
      <c r="D35" s="150"/>
      <c r="E35" s="152"/>
      <c r="F35" s="152"/>
      <c r="G35" s="152"/>
      <c r="H35" s="152"/>
      <c r="I35" s="152"/>
      <c r="J35" s="254"/>
      <c r="K35" s="152"/>
      <c r="L35" s="152"/>
      <c r="M35" s="152"/>
      <c r="N35" s="152"/>
      <c r="O35" s="152"/>
    </row>
    <row r="36" spans="1:15" x14ac:dyDescent="0.2">
      <c r="G36" s="449">
        <v>6</v>
      </c>
    </row>
  </sheetData>
  <mergeCells count="2">
    <mergeCell ref="O7:O8"/>
    <mergeCell ref="A7:B7"/>
  </mergeCells>
  <phoneticPr fontId="3" type="noConversion"/>
  <pageMargins left="0.75" right="0.75" top="1" bottom="1" header="0.5" footer="0.5"/>
  <pageSetup scale="88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workbookViewId="0">
      <selection activeCell="N33" sqref="N33"/>
    </sheetView>
  </sheetViews>
  <sheetFormatPr defaultRowHeight="12.75" x14ac:dyDescent="0.2"/>
  <cols>
    <col min="1" max="1" width="10.5703125" customWidth="1"/>
    <col min="2" max="2" width="27.5703125" customWidth="1"/>
    <col min="3" max="3" width="15.85546875" customWidth="1"/>
    <col min="4" max="4" width="7.5703125" customWidth="1"/>
    <col min="5" max="5" width="12" customWidth="1"/>
    <col min="6" max="6" width="20.28515625" customWidth="1"/>
    <col min="9" max="9" width="10" bestFit="1" customWidth="1"/>
  </cols>
  <sheetData>
    <row r="1" spans="1:6" ht="18" x14ac:dyDescent="0.25">
      <c r="B1" s="264" t="s">
        <v>548</v>
      </c>
      <c r="C1" s="265" t="s">
        <v>549</v>
      </c>
      <c r="D1" s="265"/>
    </row>
    <row r="3" spans="1:6" ht="15.75" x14ac:dyDescent="0.25">
      <c r="C3" s="266" t="s">
        <v>710</v>
      </c>
    </row>
    <row r="4" spans="1:6" ht="15.75" x14ac:dyDescent="0.25">
      <c r="C4" s="266"/>
    </row>
    <row r="6" spans="1:6" ht="18" x14ac:dyDescent="0.25">
      <c r="A6" s="267" t="s">
        <v>550</v>
      </c>
    </row>
    <row r="7" spans="1:6" ht="18" x14ac:dyDescent="0.25">
      <c r="A7" s="267" t="s">
        <v>551</v>
      </c>
    </row>
    <row r="8" spans="1:6" ht="18" x14ac:dyDescent="0.25">
      <c r="A8" s="267" t="s">
        <v>601</v>
      </c>
    </row>
    <row r="9" spans="1:6" ht="18" x14ac:dyDescent="0.25">
      <c r="A9" s="267" t="s">
        <v>602</v>
      </c>
    </row>
    <row r="10" spans="1:6" ht="18" x14ac:dyDescent="0.25">
      <c r="A10" s="267" t="s">
        <v>552</v>
      </c>
    </row>
    <row r="11" spans="1:6" ht="13.5" thickBot="1" x14ac:dyDescent="0.25"/>
    <row r="12" spans="1:6" ht="15.75" thickBot="1" x14ac:dyDescent="0.25">
      <c r="A12" s="268" t="s">
        <v>553</v>
      </c>
      <c r="B12" s="269" t="s">
        <v>554</v>
      </c>
      <c r="C12" s="269" t="s">
        <v>555</v>
      </c>
      <c r="D12" s="269" t="s">
        <v>556</v>
      </c>
      <c r="E12" s="269" t="s">
        <v>557</v>
      </c>
      <c r="F12" s="270" t="s">
        <v>558</v>
      </c>
    </row>
    <row r="13" spans="1:6" x14ac:dyDescent="0.2">
      <c r="A13" s="436"/>
      <c r="B13" s="437"/>
      <c r="C13" s="437"/>
      <c r="D13" s="437"/>
      <c r="E13" s="438"/>
      <c r="F13" s="443"/>
    </row>
    <row r="14" spans="1:6" x14ac:dyDescent="0.2">
      <c r="A14" s="439"/>
      <c r="B14" s="271"/>
      <c r="C14" s="271"/>
      <c r="D14" s="271"/>
      <c r="E14" s="272"/>
      <c r="F14" s="444"/>
    </row>
    <row r="15" spans="1:6" x14ac:dyDescent="0.2">
      <c r="A15" s="439"/>
      <c r="B15" s="271"/>
      <c r="C15" s="271"/>
      <c r="D15" s="271"/>
      <c r="E15" s="272"/>
      <c r="F15" s="444"/>
    </row>
    <row r="16" spans="1:6" x14ac:dyDescent="0.2">
      <c r="A16" s="439"/>
      <c r="B16" s="271"/>
      <c r="C16" s="271"/>
      <c r="D16" s="271"/>
      <c r="E16" s="272"/>
      <c r="F16" s="444"/>
    </row>
    <row r="17" spans="1:7" ht="13.5" thickBot="1" x14ac:dyDescent="0.25">
      <c r="A17" s="440"/>
      <c r="B17" s="441"/>
      <c r="C17" s="441"/>
      <c r="D17" s="441"/>
      <c r="E17" s="442"/>
      <c r="F17" s="445"/>
    </row>
    <row r="18" spans="1:7" ht="18.75" thickBot="1" x14ac:dyDescent="0.3">
      <c r="A18" s="273"/>
      <c r="B18" s="274" t="s">
        <v>559</v>
      </c>
      <c r="C18" s="275"/>
      <c r="D18" s="275"/>
      <c r="E18" s="275"/>
      <c r="F18" s="276">
        <f>SUM(F13:F17)</f>
        <v>0</v>
      </c>
    </row>
    <row r="20" spans="1:7" ht="20.25" x14ac:dyDescent="0.3">
      <c r="E20" s="277" t="s">
        <v>560</v>
      </c>
    </row>
    <row r="21" spans="1:7" x14ac:dyDescent="0.2">
      <c r="E21" s="544" t="s">
        <v>592</v>
      </c>
      <c r="F21" s="544"/>
      <c r="G21" s="544"/>
    </row>
    <row r="23" spans="1:7" x14ac:dyDescent="0.2">
      <c r="A23" s="278" t="s">
        <v>561</v>
      </c>
    </row>
    <row r="24" spans="1:7" x14ac:dyDescent="0.2">
      <c r="A24" s="278" t="s">
        <v>562</v>
      </c>
    </row>
    <row r="35" spans="4:4" x14ac:dyDescent="0.2">
      <c r="D35" s="279">
        <v>7</v>
      </c>
    </row>
  </sheetData>
  <mergeCells count="1">
    <mergeCell ref="E21:G21"/>
  </mergeCells>
  <phoneticPr fontId="3" type="noConversion"/>
  <pageMargins left="0.75" right="0.75" top="1" bottom="1" header="0.5" footer="0.5"/>
  <pageSetup paperSize="9" scale="84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workbookViewId="0">
      <selection activeCell="N33" sqref="N33"/>
    </sheetView>
  </sheetViews>
  <sheetFormatPr defaultRowHeight="12.75" x14ac:dyDescent="0.2"/>
  <cols>
    <col min="1" max="1" width="7.42578125" customWidth="1"/>
    <col min="2" max="2" width="14.42578125" customWidth="1"/>
    <col min="3" max="3" width="20.85546875" customWidth="1"/>
    <col min="4" max="6" width="14.42578125" customWidth="1"/>
    <col min="7" max="7" width="17.28515625" customWidth="1"/>
    <col min="8" max="9" width="14.42578125" customWidth="1"/>
    <col min="10" max="10" width="17.28515625" customWidth="1"/>
    <col min="11" max="12" width="30" customWidth="1"/>
    <col min="13" max="13" width="22.5703125" customWidth="1"/>
    <col min="14" max="14" width="17.28515625" customWidth="1"/>
    <col min="19" max="19" width="17.85546875" customWidth="1"/>
  </cols>
  <sheetData>
    <row r="1" spans="1:13" ht="18" x14ac:dyDescent="0.25">
      <c r="A1" s="267" t="s">
        <v>550</v>
      </c>
    </row>
    <row r="2" spans="1:13" ht="18" x14ac:dyDescent="0.25">
      <c r="A2" s="267" t="s">
        <v>551</v>
      </c>
    </row>
    <row r="3" spans="1:13" ht="18" x14ac:dyDescent="0.25">
      <c r="A3" s="424" t="s">
        <v>639</v>
      </c>
      <c r="F3" s="266" t="s">
        <v>746</v>
      </c>
    </row>
    <row r="5" spans="1:13" ht="15.75" x14ac:dyDescent="0.25">
      <c r="A5" s="522" t="s">
        <v>159</v>
      </c>
      <c r="B5" s="523" t="s">
        <v>747</v>
      </c>
      <c r="C5" s="523" t="s">
        <v>748</v>
      </c>
      <c r="D5" s="523" t="s">
        <v>749</v>
      </c>
      <c r="E5" s="523" t="s">
        <v>750</v>
      </c>
      <c r="F5" s="523" t="s">
        <v>751</v>
      </c>
      <c r="G5" s="523" t="s">
        <v>752</v>
      </c>
      <c r="H5" s="523" t="s">
        <v>753</v>
      </c>
      <c r="I5" s="523" t="s">
        <v>640</v>
      </c>
      <c r="J5" s="523" t="s">
        <v>754</v>
      </c>
      <c r="K5" s="523" t="s">
        <v>755</v>
      </c>
      <c r="L5" s="523" t="s">
        <v>756</v>
      </c>
      <c r="M5" s="523" t="s">
        <v>757</v>
      </c>
    </row>
    <row r="6" spans="1:13" ht="15.95" customHeight="1" thickBot="1" x14ac:dyDescent="0.25">
      <c r="A6" s="425">
        <v>1</v>
      </c>
      <c r="B6" s="524" t="s">
        <v>758</v>
      </c>
      <c r="C6" s="524" t="s">
        <v>759</v>
      </c>
      <c r="D6" s="426" t="s">
        <v>760</v>
      </c>
      <c r="E6" s="524" t="s">
        <v>763</v>
      </c>
      <c r="F6" s="521" t="s">
        <v>743</v>
      </c>
      <c r="G6" s="524" t="s">
        <v>761</v>
      </c>
      <c r="H6" s="524">
        <v>1471492</v>
      </c>
      <c r="I6" s="524">
        <v>30</v>
      </c>
      <c r="J6" s="250">
        <v>3193493</v>
      </c>
      <c r="K6" s="206">
        <v>3702600</v>
      </c>
      <c r="L6" s="525">
        <v>2008</v>
      </c>
      <c r="M6" s="526" t="s">
        <v>762</v>
      </c>
    </row>
    <row r="7" spans="1:13" ht="15.95" customHeight="1" x14ac:dyDescent="0.2">
      <c r="A7" s="427"/>
      <c r="B7" s="527"/>
      <c r="C7" s="527"/>
      <c r="D7" s="527"/>
      <c r="E7" s="527"/>
      <c r="F7" s="428"/>
      <c r="G7" s="527"/>
      <c r="H7" s="527"/>
      <c r="I7" s="527"/>
      <c r="J7" s="528"/>
      <c r="K7" s="528"/>
      <c r="L7" s="529"/>
      <c r="M7" s="528"/>
    </row>
    <row r="8" spans="1:13" ht="15.95" customHeight="1" x14ac:dyDescent="0.2">
      <c r="A8" s="427"/>
      <c r="B8" s="527"/>
      <c r="C8" s="527"/>
      <c r="D8" s="527"/>
      <c r="E8" s="527"/>
      <c r="F8" s="527"/>
      <c r="G8" s="527"/>
      <c r="H8" s="527"/>
      <c r="I8" s="527"/>
      <c r="J8" s="428"/>
      <c r="K8" s="428"/>
      <c r="L8" s="529"/>
      <c r="M8" s="431"/>
    </row>
    <row r="9" spans="1:13" ht="15.95" customHeight="1" x14ac:dyDescent="0.2">
      <c r="A9" s="427"/>
      <c r="B9" s="527"/>
      <c r="C9" s="527"/>
      <c r="D9" s="527"/>
      <c r="E9" s="527"/>
      <c r="F9" s="527"/>
      <c r="G9" s="527"/>
      <c r="H9" s="527"/>
      <c r="I9" s="527"/>
      <c r="J9" s="428"/>
      <c r="K9" s="428"/>
      <c r="L9" s="529"/>
      <c r="M9" s="431"/>
    </row>
    <row r="10" spans="1:13" ht="15.95" customHeight="1" x14ac:dyDescent="0.2">
      <c r="A10" s="427"/>
      <c r="B10" s="527"/>
      <c r="C10" s="527"/>
      <c r="D10" s="527"/>
      <c r="E10" s="527"/>
      <c r="F10" s="527"/>
      <c r="G10" s="527"/>
      <c r="H10" s="527"/>
      <c r="I10" s="527"/>
      <c r="J10" s="428"/>
      <c r="K10" s="428"/>
      <c r="L10" s="529"/>
      <c r="M10" s="431"/>
    </row>
    <row r="11" spans="1:13" ht="15.95" customHeight="1" x14ac:dyDescent="0.2">
      <c r="A11" s="427"/>
      <c r="B11" s="527"/>
      <c r="C11" s="527"/>
      <c r="D11" s="527"/>
      <c r="E11" s="527"/>
      <c r="F11" s="527"/>
      <c r="G11" s="527"/>
      <c r="H11" s="527"/>
      <c r="I11" s="527"/>
      <c r="J11" s="428"/>
      <c r="K11" s="428"/>
      <c r="L11" s="529"/>
      <c r="M11" s="431"/>
    </row>
    <row r="12" spans="1:13" ht="15.95" customHeight="1" x14ac:dyDescent="0.2">
      <c r="A12" s="427"/>
      <c r="B12" s="527"/>
      <c r="C12" s="527"/>
      <c r="D12" s="527"/>
      <c r="E12" s="527"/>
      <c r="F12" s="527"/>
      <c r="G12" s="527"/>
      <c r="H12" s="527"/>
      <c r="I12" s="527"/>
      <c r="J12" s="428"/>
      <c r="K12" s="428"/>
      <c r="L12" s="529"/>
      <c r="M12" s="431"/>
    </row>
    <row r="13" spans="1:13" ht="15.95" customHeight="1" x14ac:dyDescent="0.2">
      <c r="A13" s="427"/>
      <c r="B13" s="527"/>
      <c r="C13" s="527"/>
      <c r="D13" s="527"/>
      <c r="E13" s="527"/>
      <c r="F13" s="527"/>
      <c r="G13" s="527"/>
      <c r="H13" s="527"/>
      <c r="I13" s="527"/>
      <c r="J13" s="428"/>
      <c r="K13" s="428"/>
      <c r="L13" s="529"/>
      <c r="M13" s="431"/>
    </row>
    <row r="14" spans="1:13" ht="15.95" customHeight="1" x14ac:dyDescent="0.2">
      <c r="A14" s="427"/>
      <c r="B14" s="527"/>
      <c r="C14" s="527"/>
      <c r="D14" s="527"/>
      <c r="E14" s="527"/>
      <c r="F14" s="527"/>
      <c r="G14" s="527"/>
      <c r="H14" s="527"/>
      <c r="I14" s="527"/>
      <c r="J14" s="428"/>
      <c r="K14" s="428"/>
      <c r="L14" s="529"/>
      <c r="M14" s="431"/>
    </row>
    <row r="15" spans="1:13" ht="15.95" customHeight="1" x14ac:dyDescent="0.2">
      <c r="A15" s="427"/>
      <c r="B15" s="527"/>
      <c r="C15" s="527"/>
      <c r="D15" s="527"/>
      <c r="E15" s="527"/>
      <c r="F15" s="527"/>
      <c r="G15" s="527"/>
      <c r="H15" s="527"/>
      <c r="I15" s="527"/>
      <c r="J15" s="428"/>
      <c r="K15" s="428"/>
      <c r="L15" s="529"/>
      <c r="M15" s="431"/>
    </row>
    <row r="16" spans="1:13" ht="15.95" customHeight="1" x14ac:dyDescent="0.2">
      <c r="A16" s="427"/>
      <c r="B16" s="527"/>
      <c r="C16" s="527"/>
      <c r="D16" s="527"/>
      <c r="E16" s="527"/>
      <c r="F16" s="527"/>
      <c r="G16" s="527"/>
      <c r="H16" s="527"/>
      <c r="I16" s="527"/>
      <c r="J16" s="428"/>
      <c r="K16" s="428"/>
      <c r="L16" s="529"/>
      <c r="M16" s="431"/>
    </row>
    <row r="17" spans="1:13" ht="15.95" customHeight="1" x14ac:dyDescent="0.2">
      <c r="A17" s="427"/>
      <c r="B17" s="527"/>
      <c r="C17" s="527"/>
      <c r="D17" s="527"/>
      <c r="E17" s="527"/>
      <c r="F17" s="527"/>
      <c r="G17" s="527"/>
      <c r="H17" s="527"/>
      <c r="I17" s="527"/>
      <c r="J17" s="428"/>
      <c r="K17" s="428"/>
      <c r="L17" s="529"/>
      <c r="M17" s="431"/>
    </row>
    <row r="18" spans="1:13" ht="15.95" customHeight="1" x14ac:dyDescent="0.2">
      <c r="A18" s="427"/>
      <c r="B18" s="527"/>
      <c r="C18" s="527"/>
      <c r="D18" s="527"/>
      <c r="E18" s="527"/>
      <c r="F18" s="527"/>
      <c r="G18" s="527"/>
      <c r="H18" s="527"/>
      <c r="I18" s="527"/>
      <c r="J18" s="428"/>
      <c r="K18" s="428"/>
      <c r="L18" s="529"/>
      <c r="M18" s="431"/>
    </row>
    <row r="19" spans="1:13" ht="15.95" customHeight="1" x14ac:dyDescent="0.2">
      <c r="A19" s="427"/>
      <c r="B19" s="527"/>
      <c r="C19" s="527"/>
      <c r="D19" s="527"/>
      <c r="E19" s="527"/>
      <c r="F19" s="527"/>
      <c r="G19" s="527"/>
      <c r="H19" s="527"/>
      <c r="I19" s="527"/>
      <c r="J19" s="428"/>
      <c r="K19" s="428"/>
      <c r="L19" s="529"/>
      <c r="M19" s="431"/>
    </row>
    <row r="20" spans="1:13" ht="15.95" customHeight="1" x14ac:dyDescent="0.2">
      <c r="A20" s="427"/>
      <c r="B20" s="527"/>
      <c r="C20" s="527"/>
      <c r="D20" s="527"/>
      <c r="E20" s="527"/>
      <c r="F20" s="527"/>
      <c r="G20" s="527"/>
      <c r="H20" s="527"/>
      <c r="I20" s="527"/>
      <c r="J20" s="428"/>
      <c r="K20" s="428"/>
      <c r="L20" s="529"/>
      <c r="M20" s="431"/>
    </row>
    <row r="21" spans="1:13" ht="15.95" customHeight="1" x14ac:dyDescent="0.2">
      <c r="A21" s="427"/>
      <c r="B21" s="527"/>
      <c r="C21" s="527"/>
      <c r="D21" s="527"/>
      <c r="E21" s="527"/>
      <c r="F21" s="527"/>
      <c r="G21" s="527"/>
      <c r="H21" s="527"/>
      <c r="I21" s="527"/>
      <c r="J21" s="428"/>
      <c r="K21" s="428"/>
      <c r="L21" s="529"/>
      <c r="M21" s="431"/>
    </row>
    <row r="22" spans="1:13" ht="15.95" customHeight="1" thickBot="1" x14ac:dyDescent="0.25">
      <c r="A22" s="429"/>
      <c r="B22" s="530"/>
      <c r="C22" s="530"/>
      <c r="D22" s="530"/>
      <c r="E22" s="530"/>
      <c r="F22" s="530"/>
      <c r="G22" s="530"/>
      <c r="H22" s="530"/>
      <c r="I22" s="530"/>
      <c r="J22" s="430"/>
      <c r="K22" s="430"/>
      <c r="L22" s="531"/>
      <c r="M22" s="432"/>
    </row>
    <row r="23" spans="1:13" ht="15.95" customHeight="1" thickBot="1" x14ac:dyDescent="0.25">
      <c r="A23" s="433"/>
      <c r="B23" s="532"/>
      <c r="C23" s="532"/>
      <c r="D23" s="532"/>
      <c r="E23" s="532"/>
      <c r="F23" s="532"/>
      <c r="G23" s="532"/>
      <c r="H23" s="532"/>
      <c r="I23" s="532"/>
      <c r="J23" s="533">
        <f>SUM(J6:J22)</f>
        <v>3193493</v>
      </c>
      <c r="K23" s="434"/>
      <c r="L23" s="534"/>
      <c r="M23" s="435">
        <f>SUM(M6:M22)</f>
        <v>0</v>
      </c>
    </row>
    <row r="25" spans="1:13" ht="15.75" x14ac:dyDescent="0.25">
      <c r="A25" s="378" t="s">
        <v>641</v>
      </c>
      <c r="J25" s="267"/>
      <c r="K25" s="267"/>
      <c r="L25" s="267"/>
    </row>
    <row r="27" spans="1:13" ht="15" x14ac:dyDescent="0.2">
      <c r="J27" s="267"/>
    </row>
    <row r="32" spans="1:13" x14ac:dyDescent="0.2">
      <c r="J32" s="318">
        <v>8</v>
      </c>
    </row>
  </sheetData>
  <phoneticPr fontId="3" type="noConversion"/>
  <pageMargins left="0.75" right="0.75" top="1" bottom="1" header="0.5" footer="0.5"/>
  <pageSetup paperSize="9" scale="37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3"/>
  <sheetViews>
    <sheetView topLeftCell="A16" workbookViewId="0">
      <selection activeCell="N33" sqref="N33"/>
    </sheetView>
  </sheetViews>
  <sheetFormatPr defaultRowHeight="12.75" x14ac:dyDescent="0.2"/>
  <cols>
    <col min="1" max="1" width="8.28515625" style="1" customWidth="1"/>
    <col min="2" max="2" width="25.5703125" style="1" customWidth="1"/>
    <col min="3" max="3" width="9.85546875" style="1" customWidth="1"/>
    <col min="4" max="4" width="9.5703125" style="1" customWidth="1"/>
    <col min="5" max="5" width="14" style="1" customWidth="1"/>
    <col min="6" max="6" width="17.28515625" style="1" customWidth="1"/>
    <col min="7" max="8" width="9.140625" style="1"/>
    <col min="9" max="9" width="16.140625" style="1" customWidth="1"/>
    <col min="10" max="10" width="11.140625" style="1" bestFit="1" customWidth="1"/>
    <col min="11" max="16384" width="9.140625" style="1"/>
  </cols>
  <sheetData>
    <row r="1" spans="1:6" ht="15.75" x14ac:dyDescent="0.25">
      <c r="A1" s="26" t="s">
        <v>593</v>
      </c>
      <c r="B1" s="26"/>
      <c r="D1" s="26" t="s">
        <v>741</v>
      </c>
    </row>
    <row r="2" spans="1:6" ht="13.5" thickBot="1" x14ac:dyDescent="0.25">
      <c r="A2" s="281" t="s">
        <v>742</v>
      </c>
      <c r="B2" s="281"/>
    </row>
    <row r="3" spans="1:6" ht="13.5" thickBot="1" x14ac:dyDescent="0.25">
      <c r="A3" s="282" t="s">
        <v>563</v>
      </c>
      <c r="B3" s="283" t="s">
        <v>564</v>
      </c>
      <c r="C3" s="283" t="s">
        <v>565</v>
      </c>
      <c r="D3" s="283" t="s">
        <v>566</v>
      </c>
      <c r="E3" s="283" t="s">
        <v>567</v>
      </c>
      <c r="F3" s="284" t="s">
        <v>568</v>
      </c>
    </row>
    <row r="4" spans="1:6" x14ac:dyDescent="0.2">
      <c r="A4" s="285">
        <v>1</v>
      </c>
      <c r="B4" s="285" t="s">
        <v>569</v>
      </c>
      <c r="C4" s="285" t="s">
        <v>570</v>
      </c>
      <c r="D4" s="285">
        <v>1</v>
      </c>
      <c r="E4" s="286">
        <v>1065000</v>
      </c>
      <c r="F4" s="286">
        <f>SUM(D4*E4)</f>
        <v>1065000</v>
      </c>
    </row>
    <row r="5" spans="1:6" x14ac:dyDescent="0.2">
      <c r="A5" s="285">
        <v>2</v>
      </c>
      <c r="B5" s="285" t="s">
        <v>571</v>
      </c>
      <c r="C5" s="285" t="s">
        <v>570</v>
      </c>
      <c r="D5" s="285">
        <v>1</v>
      </c>
      <c r="E5" s="286">
        <v>46970</v>
      </c>
      <c r="F5" s="286">
        <f>SUM(D5*E5)</f>
        <v>46970</v>
      </c>
    </row>
    <row r="6" spans="1:6" x14ac:dyDescent="0.2">
      <c r="A6" s="285">
        <v>3</v>
      </c>
      <c r="B6" s="285" t="s">
        <v>572</v>
      </c>
      <c r="C6" s="285" t="s">
        <v>570</v>
      </c>
      <c r="D6" s="285">
        <v>1</v>
      </c>
      <c r="E6" s="286">
        <v>87333</v>
      </c>
      <c r="F6" s="286">
        <f>SUM(D6*E6)</f>
        <v>87333</v>
      </c>
    </row>
    <row r="7" spans="1:6" x14ac:dyDescent="0.2">
      <c r="A7" s="285">
        <v>4</v>
      </c>
      <c r="B7" s="285" t="s">
        <v>573</v>
      </c>
      <c r="C7" s="285" t="s">
        <v>570</v>
      </c>
      <c r="D7" s="285">
        <v>6</v>
      </c>
      <c r="E7" s="286">
        <v>35000</v>
      </c>
      <c r="F7" s="286">
        <f>+D7*E7</f>
        <v>210000</v>
      </c>
    </row>
    <row r="8" spans="1:6" x14ac:dyDescent="0.2">
      <c r="A8" s="285">
        <v>5</v>
      </c>
      <c r="B8" s="285" t="s">
        <v>574</v>
      </c>
      <c r="C8" s="285" t="s">
        <v>570</v>
      </c>
      <c r="D8" s="285">
        <v>8</v>
      </c>
      <c r="E8" s="286">
        <v>16667</v>
      </c>
      <c r="F8" s="286">
        <f>+D8*E8</f>
        <v>133336</v>
      </c>
    </row>
    <row r="9" spans="1:6" x14ac:dyDescent="0.2">
      <c r="A9" s="285">
        <v>6</v>
      </c>
      <c r="B9" s="285" t="s">
        <v>575</v>
      </c>
      <c r="C9" s="285" t="s">
        <v>570</v>
      </c>
      <c r="D9" s="285">
        <v>3</v>
      </c>
      <c r="E9" s="286">
        <v>85000</v>
      </c>
      <c r="F9" s="286">
        <f>+D9*E9</f>
        <v>255000</v>
      </c>
    </row>
    <row r="10" spans="1:6" x14ac:dyDescent="0.2">
      <c r="A10" s="285">
        <v>7</v>
      </c>
      <c r="B10" s="285" t="s">
        <v>576</v>
      </c>
      <c r="C10" s="285" t="s">
        <v>570</v>
      </c>
      <c r="D10" s="285">
        <v>2</v>
      </c>
      <c r="E10" s="286">
        <v>1583.33</v>
      </c>
      <c r="F10" s="286">
        <f>SUM(D10*E10)</f>
        <v>3166.66</v>
      </c>
    </row>
    <row r="11" spans="1:6" x14ac:dyDescent="0.2">
      <c r="A11" s="285">
        <v>8</v>
      </c>
      <c r="B11" s="285" t="s">
        <v>577</v>
      </c>
      <c r="C11" s="285" t="s">
        <v>570</v>
      </c>
      <c r="D11" s="285">
        <v>2</v>
      </c>
      <c r="E11" s="286">
        <v>195500</v>
      </c>
      <c r="F11" s="286">
        <f>SUM(D11*E11)</f>
        <v>391000</v>
      </c>
    </row>
    <row r="12" spans="1:6" x14ac:dyDescent="0.2">
      <c r="A12" s="285">
        <v>9</v>
      </c>
      <c r="B12" s="285" t="s">
        <v>578</v>
      </c>
      <c r="C12" s="287" t="s">
        <v>570</v>
      </c>
      <c r="D12" s="287">
        <v>2</v>
      </c>
      <c r="E12" s="288">
        <v>21667</v>
      </c>
      <c r="F12" s="286">
        <f>+D12*E12</f>
        <v>43334</v>
      </c>
    </row>
    <row r="13" spans="1:6" x14ac:dyDescent="0.2">
      <c r="A13" s="285">
        <v>10</v>
      </c>
      <c r="B13" s="285" t="s">
        <v>579</v>
      </c>
      <c r="C13" s="287" t="s">
        <v>570</v>
      </c>
      <c r="D13" s="287">
        <v>1</v>
      </c>
      <c r="E13" s="288">
        <v>82000</v>
      </c>
      <c r="F13" s="286">
        <f>+D13*E13</f>
        <v>82000</v>
      </c>
    </row>
    <row r="14" spans="1:6" ht="13.5" thickBot="1" x14ac:dyDescent="0.25">
      <c r="A14" s="285">
        <v>11</v>
      </c>
      <c r="B14" s="285" t="s">
        <v>580</v>
      </c>
      <c r="C14" s="285" t="s">
        <v>570</v>
      </c>
      <c r="D14" s="285">
        <v>4</v>
      </c>
      <c r="E14" s="286">
        <v>54050</v>
      </c>
      <c r="F14" s="286">
        <f>SUM(D14*E14)</f>
        <v>216200</v>
      </c>
    </row>
    <row r="15" spans="1:6" ht="13.5" thickBot="1" x14ac:dyDescent="0.25">
      <c r="A15" s="289"/>
      <c r="B15" s="290" t="s">
        <v>2</v>
      </c>
      <c r="C15" s="291"/>
      <c r="D15" s="291"/>
      <c r="E15" s="292"/>
      <c r="F15" s="293">
        <f>SUM(F4:F14)</f>
        <v>2533339.66</v>
      </c>
    </row>
    <row r="16" spans="1:6" ht="6.75" customHeight="1" x14ac:dyDescent="0.2"/>
    <row r="17" spans="1:6" ht="13.5" thickBot="1" x14ac:dyDescent="0.25">
      <c r="A17" s="281" t="s">
        <v>594</v>
      </c>
      <c r="B17" s="281" t="s">
        <v>583</v>
      </c>
    </row>
    <row r="18" spans="1:6" ht="13.5" thickBot="1" x14ac:dyDescent="0.25">
      <c r="A18" s="282" t="s">
        <v>563</v>
      </c>
      <c r="B18" s="283" t="s">
        <v>564</v>
      </c>
      <c r="C18" s="283" t="s">
        <v>565</v>
      </c>
      <c r="D18" s="283" t="s">
        <v>566</v>
      </c>
      <c r="E18" s="283" t="s">
        <v>567</v>
      </c>
      <c r="F18" s="284" t="s">
        <v>568</v>
      </c>
    </row>
    <row r="19" spans="1:6" x14ac:dyDescent="0.2">
      <c r="A19" s="285">
        <v>1</v>
      </c>
      <c r="B19" s="285" t="s">
        <v>605</v>
      </c>
      <c r="C19" s="285" t="s">
        <v>570</v>
      </c>
      <c r="D19" s="285">
        <v>2</v>
      </c>
      <c r="E19" s="286">
        <v>28250</v>
      </c>
      <c r="F19" s="286">
        <f>SUM(D19*E19)</f>
        <v>56500</v>
      </c>
    </row>
    <row r="20" spans="1:6" x14ac:dyDescent="0.2">
      <c r="A20" s="285">
        <v>2</v>
      </c>
      <c r="B20" s="285" t="s">
        <v>606</v>
      </c>
      <c r="C20" s="285" t="s">
        <v>570</v>
      </c>
      <c r="D20" s="285">
        <v>1</v>
      </c>
      <c r="E20" s="286">
        <v>55417</v>
      </c>
      <c r="F20" s="286">
        <f>SUM(D20*E20)</f>
        <v>55417</v>
      </c>
    </row>
    <row r="21" spans="1:6" x14ac:dyDescent="0.2">
      <c r="A21" s="285">
        <v>3</v>
      </c>
      <c r="B21" s="285" t="s">
        <v>606</v>
      </c>
      <c r="C21" s="285" t="s">
        <v>570</v>
      </c>
      <c r="D21" s="285">
        <v>1</v>
      </c>
      <c r="E21" s="286">
        <v>45750</v>
      </c>
      <c r="F21" s="286">
        <f>SUM(D21*E21)</f>
        <v>45750</v>
      </c>
    </row>
    <row r="22" spans="1:6" x14ac:dyDescent="0.2">
      <c r="A22" s="285">
        <v>4</v>
      </c>
      <c r="B22" s="285" t="s">
        <v>607</v>
      </c>
      <c r="C22" s="285" t="s">
        <v>570</v>
      </c>
      <c r="D22" s="285">
        <v>1</v>
      </c>
      <c r="E22" s="286">
        <v>48250</v>
      </c>
      <c r="F22" s="286">
        <f>SUM(D22*E22)</f>
        <v>48250</v>
      </c>
    </row>
    <row r="23" spans="1:6" ht="13.5" thickBot="1" x14ac:dyDescent="0.25">
      <c r="A23" s="285">
        <v>5</v>
      </c>
      <c r="B23" s="285" t="s">
        <v>608</v>
      </c>
      <c r="C23" s="285" t="s">
        <v>570</v>
      </c>
      <c r="D23" s="285">
        <v>1</v>
      </c>
      <c r="E23" s="286">
        <v>32454</v>
      </c>
      <c r="F23" s="286">
        <f>SUM(D23*E23)</f>
        <v>32454</v>
      </c>
    </row>
    <row r="24" spans="1:6" ht="13.5" thickBot="1" x14ac:dyDescent="0.25">
      <c r="A24" s="289"/>
      <c r="B24" s="290" t="s">
        <v>2</v>
      </c>
      <c r="C24" s="291"/>
      <c r="D24" s="291"/>
      <c r="E24" s="292"/>
      <c r="F24" s="293">
        <f>SUM(F19:F23)</f>
        <v>238371</v>
      </c>
    </row>
    <row r="25" spans="1:6" ht="13.5" thickBot="1" x14ac:dyDescent="0.25"/>
    <row r="26" spans="1:6" ht="13.5" thickBot="1" x14ac:dyDescent="0.25">
      <c r="A26" s="289"/>
      <c r="B26" s="290" t="s">
        <v>603</v>
      </c>
      <c r="C26" s="291"/>
      <c r="D26" s="291"/>
      <c r="E26" s="292"/>
      <c r="F26" s="293">
        <f>+F15+F24</f>
        <v>2771710.66</v>
      </c>
    </row>
    <row r="27" spans="1:6" ht="5.25" customHeight="1" x14ac:dyDescent="0.2">
      <c r="A27" s="2"/>
      <c r="B27" s="375"/>
      <c r="C27" s="2"/>
      <c r="D27" s="2"/>
      <c r="E27" s="376"/>
      <c r="F27" s="377"/>
    </row>
    <row r="28" spans="1:6" ht="13.5" thickBot="1" x14ac:dyDescent="0.25">
      <c r="A28" s="281" t="s">
        <v>637</v>
      </c>
      <c r="B28" s="281" t="s">
        <v>583</v>
      </c>
    </row>
    <row r="29" spans="1:6" ht="13.5" thickBot="1" x14ac:dyDescent="0.25">
      <c r="A29" s="282" t="s">
        <v>563</v>
      </c>
      <c r="B29" s="283" t="s">
        <v>564</v>
      </c>
      <c r="C29" s="283" t="s">
        <v>565</v>
      </c>
      <c r="D29" s="283" t="s">
        <v>566</v>
      </c>
      <c r="E29" s="283" t="s">
        <v>567</v>
      </c>
      <c r="F29" s="284" t="s">
        <v>568</v>
      </c>
    </row>
    <row r="30" spans="1:6" x14ac:dyDescent="0.2">
      <c r="A30" s="285">
        <v>1</v>
      </c>
      <c r="B30" s="285" t="s">
        <v>638</v>
      </c>
      <c r="C30" s="285" t="s">
        <v>570</v>
      </c>
      <c r="D30" s="285">
        <v>1</v>
      </c>
      <c r="E30" s="286">
        <v>37700</v>
      </c>
      <c r="F30" s="286">
        <f>SUM(D30*E30)</f>
        <v>37700</v>
      </c>
    </row>
    <row r="31" spans="1:6" ht="13.5" thickBot="1" x14ac:dyDescent="0.25">
      <c r="A31" s="285">
        <v>2</v>
      </c>
      <c r="B31" s="285" t="s">
        <v>638</v>
      </c>
      <c r="C31" s="285" t="s">
        <v>570</v>
      </c>
      <c r="D31" s="285">
        <v>1</v>
      </c>
      <c r="E31" s="286">
        <v>85000</v>
      </c>
      <c r="F31" s="286">
        <f>SUM(D31*E31)</f>
        <v>85000</v>
      </c>
    </row>
    <row r="32" spans="1:6" ht="13.5" thickBot="1" x14ac:dyDescent="0.25">
      <c r="A32" s="289"/>
      <c r="B32" s="290" t="s">
        <v>2</v>
      </c>
      <c r="C32" s="291"/>
      <c r="D32" s="291"/>
      <c r="E32" s="292"/>
      <c r="F32" s="293">
        <f>SUM(F30:F31)</f>
        <v>122700</v>
      </c>
    </row>
    <row r="33" spans="1:6" x14ac:dyDescent="0.2">
      <c r="A33" s="2"/>
      <c r="B33" s="375"/>
      <c r="C33" s="2"/>
      <c r="D33" s="2"/>
      <c r="E33" s="376"/>
      <c r="F33" s="377"/>
    </row>
    <row r="34" spans="1:6" ht="13.5" thickBot="1" x14ac:dyDescent="0.25">
      <c r="A34" s="281" t="s">
        <v>647</v>
      </c>
      <c r="B34" s="281" t="s">
        <v>583</v>
      </c>
    </row>
    <row r="35" spans="1:6" ht="13.5" thickBot="1" x14ac:dyDescent="0.25">
      <c r="A35" s="282" t="s">
        <v>563</v>
      </c>
      <c r="B35" s="283" t="s">
        <v>564</v>
      </c>
      <c r="C35" s="283" t="s">
        <v>565</v>
      </c>
      <c r="D35" s="283" t="s">
        <v>566</v>
      </c>
      <c r="E35" s="283" t="s">
        <v>567</v>
      </c>
      <c r="F35" s="284" t="s">
        <v>568</v>
      </c>
    </row>
    <row r="36" spans="1:6" ht="13.5" thickBot="1" x14ac:dyDescent="0.25">
      <c r="A36" s="285">
        <v>1</v>
      </c>
      <c r="B36" s="285" t="s">
        <v>654</v>
      </c>
      <c r="C36" s="285" t="s">
        <v>570</v>
      </c>
      <c r="D36" s="285">
        <v>2</v>
      </c>
      <c r="E36" s="286">
        <v>15166</v>
      </c>
      <c r="F36" s="286">
        <v>30333</v>
      </c>
    </row>
    <row r="37" spans="1:6" ht="13.5" thickBot="1" x14ac:dyDescent="0.25">
      <c r="A37" s="289"/>
      <c r="B37" s="290" t="s">
        <v>2</v>
      </c>
      <c r="C37" s="291"/>
      <c r="D37" s="291"/>
      <c r="E37" s="292"/>
      <c r="F37" s="293">
        <f>SUM(F36:F36)</f>
        <v>30333</v>
      </c>
    </row>
    <row r="38" spans="1:6" ht="5.25" customHeight="1" x14ac:dyDescent="0.2">
      <c r="A38" s="2"/>
      <c r="B38" s="375"/>
      <c r="C38" s="2"/>
      <c r="D38" s="2"/>
      <c r="E38" s="376"/>
      <c r="F38" s="377"/>
    </row>
    <row r="39" spans="1:6" ht="13.5" thickBot="1" x14ac:dyDescent="0.25">
      <c r="A39" s="281" t="s">
        <v>676</v>
      </c>
      <c r="B39" s="281" t="s">
        <v>583</v>
      </c>
    </row>
    <row r="40" spans="1:6" ht="13.5" thickBot="1" x14ac:dyDescent="0.25">
      <c r="A40" s="282" t="s">
        <v>563</v>
      </c>
      <c r="B40" s="283" t="s">
        <v>564</v>
      </c>
      <c r="C40" s="283" t="s">
        <v>565</v>
      </c>
      <c r="D40" s="283" t="s">
        <v>566</v>
      </c>
      <c r="E40" s="283" t="s">
        <v>567</v>
      </c>
      <c r="F40" s="284" t="s">
        <v>568</v>
      </c>
    </row>
    <row r="41" spans="1:6" x14ac:dyDescent="0.2">
      <c r="A41" s="285">
        <v>1</v>
      </c>
      <c r="B41" s="285" t="s">
        <v>680</v>
      </c>
      <c r="C41" s="285" t="s">
        <v>570</v>
      </c>
      <c r="D41" s="285">
        <v>1</v>
      </c>
      <c r="E41" s="286">
        <v>68550</v>
      </c>
      <c r="F41" s="286">
        <f>+D41*E41</f>
        <v>68550</v>
      </c>
    </row>
    <row r="42" spans="1:6" ht="13.5" thickBot="1" x14ac:dyDescent="0.25">
      <c r="A42" s="285">
        <v>1</v>
      </c>
      <c r="B42" s="285" t="s">
        <v>607</v>
      </c>
      <c r="C42" s="285" t="s">
        <v>570</v>
      </c>
      <c r="D42" s="285">
        <v>1</v>
      </c>
      <c r="E42" s="286">
        <v>84567</v>
      </c>
      <c r="F42" s="286">
        <f>+D42*E42</f>
        <v>84567</v>
      </c>
    </row>
    <row r="43" spans="1:6" ht="13.5" thickBot="1" x14ac:dyDescent="0.25">
      <c r="A43" s="289"/>
      <c r="B43" s="290" t="s">
        <v>2</v>
      </c>
      <c r="C43" s="291"/>
      <c r="D43" s="291"/>
      <c r="E43" s="292"/>
      <c r="F43" s="293">
        <f>SUM(F41:F42)</f>
        <v>153117</v>
      </c>
    </row>
    <row r="44" spans="1:6" ht="13.5" thickBot="1" x14ac:dyDescent="0.25">
      <c r="A44" s="281" t="s">
        <v>683</v>
      </c>
      <c r="B44" s="281" t="s">
        <v>583</v>
      </c>
    </row>
    <row r="45" spans="1:6" ht="13.5" thickBot="1" x14ac:dyDescent="0.25">
      <c r="A45" s="282" t="s">
        <v>563</v>
      </c>
      <c r="B45" s="283" t="s">
        <v>564</v>
      </c>
      <c r="C45" s="283" t="s">
        <v>565</v>
      </c>
      <c r="D45" s="283" t="s">
        <v>566</v>
      </c>
      <c r="E45" s="283" t="s">
        <v>567</v>
      </c>
      <c r="F45" s="284" t="s">
        <v>568</v>
      </c>
    </row>
    <row r="46" spans="1:6" ht="15" customHeight="1" thickBot="1" x14ac:dyDescent="0.25">
      <c r="A46" s="285">
        <v>1</v>
      </c>
      <c r="B46" s="285" t="s">
        <v>638</v>
      </c>
      <c r="C46" s="285" t="s">
        <v>570</v>
      </c>
      <c r="D46" s="285">
        <v>3</v>
      </c>
      <c r="E46" s="286">
        <v>114600</v>
      </c>
      <c r="F46" s="286">
        <f>+D46*E46</f>
        <v>343800</v>
      </c>
    </row>
    <row r="47" spans="1:6" ht="13.5" thickBot="1" x14ac:dyDescent="0.25">
      <c r="A47" s="289"/>
      <c r="B47" s="290" t="s">
        <v>2</v>
      </c>
      <c r="C47" s="291"/>
      <c r="D47" s="291"/>
      <c r="E47" s="292"/>
      <c r="F47" s="293">
        <f>SUM(F46:F46)</f>
        <v>343800</v>
      </c>
    </row>
    <row r="48" spans="1:6" ht="13.5" thickBot="1" x14ac:dyDescent="0.25">
      <c r="A48" s="281" t="s">
        <v>695</v>
      </c>
      <c r="B48" s="281" t="s">
        <v>583</v>
      </c>
    </row>
    <row r="49" spans="1:6" ht="13.5" thickBot="1" x14ac:dyDescent="0.25">
      <c r="A49" s="282" t="s">
        <v>563</v>
      </c>
      <c r="B49" s="283" t="s">
        <v>564</v>
      </c>
      <c r="C49" s="283" t="s">
        <v>565</v>
      </c>
      <c r="D49" s="283" t="s">
        <v>566</v>
      </c>
      <c r="E49" s="283" t="s">
        <v>567</v>
      </c>
      <c r="F49" s="284" t="s">
        <v>568</v>
      </c>
    </row>
    <row r="50" spans="1:6" ht="13.5" thickBot="1" x14ac:dyDescent="0.25">
      <c r="A50" s="289"/>
      <c r="B50" s="290" t="s">
        <v>2</v>
      </c>
      <c r="C50" s="291"/>
      <c r="D50" s="291"/>
      <c r="E50" s="292"/>
      <c r="F50" s="293">
        <v>0</v>
      </c>
    </row>
    <row r="51" spans="1:6" ht="13.5" thickBot="1" x14ac:dyDescent="0.25">
      <c r="A51" s="281" t="s">
        <v>708</v>
      </c>
      <c r="B51" s="281" t="s">
        <v>583</v>
      </c>
    </row>
    <row r="52" spans="1:6" ht="13.5" thickBot="1" x14ac:dyDescent="0.25">
      <c r="A52" s="282" t="s">
        <v>563</v>
      </c>
      <c r="B52" s="283" t="s">
        <v>564</v>
      </c>
      <c r="C52" s="283" t="s">
        <v>565</v>
      </c>
      <c r="D52" s="283" t="s">
        <v>566</v>
      </c>
      <c r="E52" s="283" t="s">
        <v>567</v>
      </c>
      <c r="F52" s="284" t="s">
        <v>568</v>
      </c>
    </row>
    <row r="53" spans="1:6" ht="13.5" thickBot="1" x14ac:dyDescent="0.25">
      <c r="A53" s="285">
        <v>1</v>
      </c>
      <c r="B53" s="285" t="s">
        <v>744</v>
      </c>
      <c r="C53" s="285" t="s">
        <v>570</v>
      </c>
      <c r="D53" s="285">
        <v>1</v>
      </c>
      <c r="E53" s="286">
        <v>3702600</v>
      </c>
      <c r="F53" s="293">
        <f>+'Aq&amp;AM'!I17</f>
        <v>3702600</v>
      </c>
    </row>
    <row r="54" spans="1:6" ht="19.5" thickBot="1" x14ac:dyDescent="0.35">
      <c r="A54" s="494"/>
      <c r="B54" s="495" t="s">
        <v>603</v>
      </c>
      <c r="C54" s="496"/>
      <c r="D54" s="496"/>
      <c r="E54" s="497"/>
      <c r="F54" s="498">
        <f>+F26+F32+F37+F43+F47+F50+F53</f>
        <v>7124260.6600000001</v>
      </c>
    </row>
    <row r="55" spans="1:6" x14ac:dyDescent="0.2">
      <c r="A55" s="2"/>
      <c r="B55" s="375"/>
      <c r="C55" s="2"/>
      <c r="D55" s="2"/>
      <c r="E55" s="376"/>
      <c r="F55" s="377"/>
    </row>
    <row r="56" spans="1:6" x14ac:dyDescent="0.2">
      <c r="A56" s="2"/>
      <c r="B56" s="375"/>
      <c r="C56" s="2"/>
      <c r="D56" s="3">
        <v>9</v>
      </c>
      <c r="E56" s="376"/>
      <c r="F56" s="377"/>
    </row>
    <row r="57" spans="1:6" x14ac:dyDescent="0.2">
      <c r="A57" s="2"/>
      <c r="B57" s="375"/>
      <c r="C57" s="2"/>
      <c r="D57" s="2"/>
      <c r="E57" s="376"/>
      <c r="F57" s="377"/>
    </row>
    <row r="58" spans="1:6" ht="20.25" x14ac:dyDescent="0.3">
      <c r="C58" s="277" t="s">
        <v>560</v>
      </c>
    </row>
    <row r="59" spans="1:6" x14ac:dyDescent="0.2">
      <c r="C59" s="544" t="s">
        <v>592</v>
      </c>
      <c r="D59" s="544"/>
      <c r="E59" s="544"/>
    </row>
    <row r="60" spans="1:6" x14ac:dyDescent="0.2">
      <c r="F60" s="294"/>
    </row>
    <row r="61" spans="1:6" x14ac:dyDescent="0.2">
      <c r="F61" s="294"/>
    </row>
    <row r="63" spans="1:6" x14ac:dyDescent="0.2">
      <c r="F63" s="294"/>
    </row>
  </sheetData>
  <mergeCells count="1">
    <mergeCell ref="C59:E59"/>
  </mergeCells>
  <phoneticPr fontId="3" type="noConversion"/>
  <pageMargins left="0.23622047244094491" right="0.23622047244094491" top="0.74803149606299213" bottom="0.74803149606299213" header="0.31496062992125984" footer="0.31496062992125984"/>
  <pageSetup paperSize="9" scale="9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faq1</vt:lpstr>
      <vt:lpstr>BK</vt:lpstr>
      <vt:lpstr>ardh-shpenz</vt:lpstr>
      <vt:lpstr>cash-flow</vt:lpstr>
      <vt:lpstr>kap vet</vt:lpstr>
      <vt:lpstr>Aq&amp;AM</vt:lpstr>
      <vt:lpstr>mallra</vt:lpstr>
      <vt:lpstr>inv auto</vt:lpstr>
      <vt:lpstr>aktive fikse</vt:lpstr>
      <vt:lpstr>aktv udhez</vt:lpstr>
      <vt:lpstr>BA</vt:lpstr>
      <vt:lpstr>A-Sh BA</vt:lpstr>
      <vt:lpstr>tjera</vt:lpstr>
      <vt:lpstr>fdp</vt:lpstr>
      <vt:lpstr>banka</vt:lpstr>
    </vt:vector>
  </TitlesOfParts>
  <Company>Compaq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Ervin</cp:lastModifiedBy>
  <cp:lastPrinted>2020-07-24T13:47:38Z</cp:lastPrinted>
  <dcterms:created xsi:type="dcterms:W3CDTF">2008-12-17T10:29:05Z</dcterms:created>
  <dcterms:modified xsi:type="dcterms:W3CDTF">2020-07-31T22:44:53Z</dcterms:modified>
</cp:coreProperties>
</file>