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8475" windowHeight="5640" tabRatio="9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aktivet sips udhez" sheetId="16" state="hidden" r:id="rId7"/>
    <sheet name="inv auto" sheetId="21" state="hidden" r:id="rId8"/>
    <sheet name="inv asete" sheetId="25" state="hidden" r:id="rId9"/>
    <sheet name="inv mall" sheetId="22" state="hidden" r:id="rId10"/>
    <sheet name="Bilanci Alpha" sheetId="11" state="hidden" r:id="rId11"/>
    <sheet name="Ardh shpenz alpha" sheetId="12" state="hidden" r:id="rId12"/>
    <sheet name="fdp18" sheetId="23" state="hidden" r:id="rId13"/>
    <sheet name="tjera" sheetId="6" state="hidden" r:id="rId14"/>
  </sheets>
  <calcPr calcId="124519"/>
</workbook>
</file>

<file path=xl/calcChain.xml><?xml version="1.0" encoding="utf-8"?>
<calcChain xmlns="http://schemas.openxmlformats.org/spreadsheetml/2006/main">
  <c r="C202" i="6"/>
  <c r="C201"/>
  <c r="C210"/>
  <c r="C236"/>
  <c r="C228"/>
  <c r="C225"/>
  <c r="C224"/>
  <c r="C231"/>
  <c r="C218"/>
  <c r="C221"/>
  <c r="C213"/>
  <c r="C193"/>
  <c r="C192"/>
  <c r="C195"/>
  <c r="C171"/>
  <c r="C174"/>
  <c r="C161"/>
  <c r="C159"/>
  <c r="C160"/>
  <c r="C153"/>
  <c r="C152"/>
  <c r="C154"/>
  <c r="C147"/>
  <c r="C137"/>
  <c r="C131"/>
  <c r="C118"/>
  <c r="C132"/>
  <c r="C104"/>
  <c r="C103"/>
  <c r="C102"/>
  <c r="C89"/>
  <c r="C93"/>
  <c r="C79"/>
  <c r="C12"/>
  <c r="C19"/>
  <c r="C88"/>
  <c r="C97"/>
  <c r="C8"/>
  <c r="C7"/>
  <c r="C6"/>
  <c r="C9"/>
  <c r="F337" i="25"/>
  <c r="F297"/>
  <c r="F298"/>
  <c r="F299"/>
  <c r="F300"/>
  <c r="F301"/>
  <c r="F302"/>
  <c r="F303"/>
  <c r="F304"/>
  <c r="F305"/>
  <c r="F306"/>
  <c r="F307"/>
  <c r="D40" i="11"/>
  <c r="D49"/>
  <c r="D105"/>
  <c r="D98"/>
  <c r="D89"/>
  <c r="D78"/>
  <c r="D48"/>
  <c r="D38"/>
  <c r="D31"/>
  <c r="D18"/>
  <c r="D10"/>
  <c r="D58"/>
  <c r="C103" i="12"/>
  <c r="C73"/>
  <c r="C66"/>
  <c r="C78"/>
  <c r="K101" i="23"/>
  <c r="D35" i="3"/>
  <c r="D21" i="2"/>
  <c r="C232" i="6"/>
  <c r="D12" i="2"/>
  <c r="C188" i="6"/>
  <c r="D9" i="2"/>
  <c r="C182" i="6"/>
  <c r="D70" i="1"/>
  <c r="H19" i="13"/>
  <c r="I19"/>
  <c r="K19"/>
  <c r="D68" i="1"/>
  <c r="D67"/>
  <c r="D66"/>
  <c r="D65"/>
  <c r="D64"/>
  <c r="D61"/>
  <c r="D50"/>
  <c r="D48"/>
  <c r="D47"/>
  <c r="C101" i="6"/>
  <c r="D46" i="1"/>
  <c r="C100" i="6"/>
  <c r="D45" i="1"/>
  <c r="C98" i="6"/>
  <c r="D43" i="1"/>
  <c r="C99" i="6"/>
  <c r="D55" i="1"/>
  <c r="C107" i="6"/>
  <c r="D27" i="1"/>
  <c r="D26"/>
  <c r="C94" i="6"/>
  <c r="D21" i="1"/>
  <c r="D20"/>
  <c r="C13" i="6"/>
  <c r="D19" i="1"/>
  <c r="D18"/>
  <c r="D23"/>
  <c r="D13"/>
  <c r="C21" i="6"/>
  <c r="D12" i="1"/>
  <c r="C20" i="6"/>
  <c r="C23"/>
  <c r="D16" i="1"/>
  <c r="C24" i="6"/>
  <c r="D8" i="1"/>
  <c r="C10" i="6"/>
  <c r="D10" i="1"/>
  <c r="M85" i="23"/>
  <c r="K85"/>
  <c r="I85"/>
  <c r="H85"/>
  <c r="I87"/>
  <c r="C85"/>
  <c r="B85"/>
  <c r="B87"/>
  <c r="N84"/>
  <c r="L84"/>
  <c r="J84"/>
  <c r="O84"/>
  <c r="D84"/>
  <c r="P84"/>
  <c r="N83"/>
  <c r="L83"/>
  <c r="J83"/>
  <c r="O83"/>
  <c r="D83"/>
  <c r="P83"/>
  <c r="N82"/>
  <c r="L82"/>
  <c r="J82"/>
  <c r="O82"/>
  <c r="D82"/>
  <c r="P82"/>
  <c r="N81"/>
  <c r="L81"/>
  <c r="J81"/>
  <c r="O81"/>
  <c r="D81"/>
  <c r="P81"/>
  <c r="N80"/>
  <c r="L80"/>
  <c r="J80"/>
  <c r="O80"/>
  <c r="D80"/>
  <c r="P80"/>
  <c r="N79"/>
  <c r="L79"/>
  <c r="J79"/>
  <c r="O79"/>
  <c r="D79"/>
  <c r="P79"/>
  <c r="N78"/>
  <c r="L78"/>
  <c r="J78"/>
  <c r="O78"/>
  <c r="D78"/>
  <c r="P78"/>
  <c r="N77"/>
  <c r="L77"/>
  <c r="J77"/>
  <c r="O77"/>
  <c r="D77"/>
  <c r="P77"/>
  <c r="N76"/>
  <c r="L76"/>
  <c r="J76"/>
  <c r="O76"/>
  <c r="D76"/>
  <c r="P76"/>
  <c r="N75"/>
  <c r="L75"/>
  <c r="J75"/>
  <c r="O75"/>
  <c r="D75"/>
  <c r="P75"/>
  <c r="N74"/>
  <c r="L74"/>
  <c r="J74"/>
  <c r="O74"/>
  <c r="D74"/>
  <c r="P74"/>
  <c r="N73"/>
  <c r="N85"/>
  <c r="L73"/>
  <c r="L85"/>
  <c r="J73"/>
  <c r="J85"/>
  <c r="E73"/>
  <c r="E74"/>
  <c r="E75"/>
  <c r="E76"/>
  <c r="E77"/>
  <c r="E78"/>
  <c r="E79"/>
  <c r="E80"/>
  <c r="E81"/>
  <c r="E82"/>
  <c r="E83"/>
  <c r="E84"/>
  <c r="D73"/>
  <c r="D85"/>
  <c r="C91" i="12"/>
  <c r="C83"/>
  <c r="D15" i="2"/>
  <c r="C79" i="12"/>
  <c r="D13" i="2"/>
  <c r="C214" i="6"/>
  <c r="C215"/>
  <c r="C74" i="12"/>
  <c r="D14" i="2"/>
  <c r="C196" i="6"/>
  <c r="C90" i="12"/>
  <c r="C98"/>
  <c r="C62"/>
  <c r="C17"/>
  <c r="C34"/>
  <c r="C43"/>
  <c r="C99"/>
  <c r="C102"/>
  <c r="C12"/>
  <c r="D8" i="2"/>
  <c r="C175" i="6"/>
  <c r="D33" i="1"/>
  <c r="D36"/>
  <c r="D203" i="6"/>
  <c r="E102" i="11"/>
  <c r="D73" i="12"/>
  <c r="F324" i="25"/>
  <c r="F325"/>
  <c r="F326"/>
  <c r="F327"/>
  <c r="F328"/>
  <c r="F330"/>
  <c r="F331"/>
  <c r="E329"/>
  <c r="F329"/>
  <c r="E323"/>
  <c r="F323"/>
  <c r="F322"/>
  <c r="F321"/>
  <c r="F320"/>
  <c r="D209" i="6"/>
  <c r="D201"/>
  <c r="D210"/>
  <c r="D236"/>
  <c r="D228"/>
  <c r="D225"/>
  <c r="D224"/>
  <c r="D231"/>
  <c r="D218"/>
  <c r="D221"/>
  <c r="D213"/>
  <c r="D193"/>
  <c r="D192"/>
  <c r="D195"/>
  <c r="D171"/>
  <c r="D174"/>
  <c r="D161"/>
  <c r="D159"/>
  <c r="D160"/>
  <c r="D153"/>
  <c r="D152"/>
  <c r="D154"/>
  <c r="D147"/>
  <c r="D137"/>
  <c r="D136"/>
  <c r="D131"/>
  <c r="D118"/>
  <c r="D132"/>
  <c r="D104"/>
  <c r="D103"/>
  <c r="D102"/>
  <c r="D89"/>
  <c r="D93"/>
  <c r="D79"/>
  <c r="D12"/>
  <c r="D19"/>
  <c r="D88"/>
  <c r="D97"/>
  <c r="D8"/>
  <c r="D7"/>
  <c r="D6"/>
  <c r="D9"/>
  <c r="E40" i="11"/>
  <c r="E23"/>
  <c r="D78" i="12"/>
  <c r="I63" i="23"/>
  <c r="K63"/>
  <c r="M63"/>
  <c r="H63"/>
  <c r="H65"/>
  <c r="G68"/>
  <c r="E51"/>
  <c r="E52"/>
  <c r="E53"/>
  <c r="E54"/>
  <c r="E55"/>
  <c r="E56"/>
  <c r="E57"/>
  <c r="E58"/>
  <c r="E59"/>
  <c r="E60"/>
  <c r="E61"/>
  <c r="E62"/>
  <c r="E35" i="3"/>
  <c r="E21" i="2"/>
  <c r="D232" i="6"/>
  <c r="E12" i="2"/>
  <c r="D188" i="6"/>
  <c r="E9" i="2"/>
  <c r="D182" i="6"/>
  <c r="E68" i="1"/>
  <c r="E67"/>
  <c r="E66"/>
  <c r="E65"/>
  <c r="E64"/>
  <c r="E61"/>
  <c r="E50"/>
  <c r="E48"/>
  <c r="E47"/>
  <c r="D101" i="6"/>
  <c r="E46" i="1"/>
  <c r="D100" i="6"/>
  <c r="D142"/>
  <c r="D139"/>
  <c r="D141"/>
  <c r="E45" i="1"/>
  <c r="D98" i="6"/>
  <c r="E43" i="1"/>
  <c r="D99" i="6"/>
  <c r="D106"/>
  <c r="E55" i="1"/>
  <c r="D107" i="6"/>
  <c r="E27" i="1"/>
  <c r="D11" i="3"/>
  <c r="E26" i="1"/>
  <c r="D94" i="6"/>
  <c r="E21" i="1"/>
  <c r="E20"/>
  <c r="D13" i="6"/>
  <c r="E19" i="1"/>
  <c r="E18"/>
  <c r="D17" i="3"/>
  <c r="E23" i="1"/>
  <c r="E13"/>
  <c r="D21" i="6"/>
  <c r="E12" i="1"/>
  <c r="D15" i="3"/>
  <c r="D20" i="6"/>
  <c r="D23"/>
  <c r="E16" i="1"/>
  <c r="D24" i="6"/>
  <c r="E98" i="11"/>
  <c r="E89"/>
  <c r="E48"/>
  <c r="E8" i="1"/>
  <c r="D10" i="6"/>
  <c r="E10" i="1"/>
  <c r="E29"/>
  <c r="E38" i="11"/>
  <c r="E31"/>
  <c r="E18"/>
  <c r="E33" i="1"/>
  <c r="E36"/>
  <c r="E10" i="11"/>
  <c r="E58"/>
  <c r="D91" i="12"/>
  <c r="D83"/>
  <c r="E15" i="2"/>
  <c r="D79" i="12"/>
  <c r="E13" i="2"/>
  <c r="D214" i="6"/>
  <c r="D215"/>
  <c r="D74" i="12"/>
  <c r="E14" i="2"/>
  <c r="D196" i="6"/>
  <c r="D66" i="12"/>
  <c r="D90"/>
  <c r="D98"/>
  <c r="D62"/>
  <c r="D17"/>
  <c r="D34"/>
  <c r="D43"/>
  <c r="D99"/>
  <c r="D102"/>
  <c r="D103"/>
  <c r="D104"/>
  <c r="D12"/>
  <c r="E8" i="2"/>
  <c r="D175" i="6"/>
  <c r="C63" i="23"/>
  <c r="B63"/>
  <c r="B65"/>
  <c r="N62"/>
  <c r="L62"/>
  <c r="J62"/>
  <c r="O62"/>
  <c r="D62"/>
  <c r="P62"/>
  <c r="N61"/>
  <c r="L61"/>
  <c r="J61"/>
  <c r="O61"/>
  <c r="D61"/>
  <c r="P61"/>
  <c r="N60"/>
  <c r="L60"/>
  <c r="J60"/>
  <c r="O60"/>
  <c r="D60"/>
  <c r="P60"/>
  <c r="N59"/>
  <c r="L59"/>
  <c r="J59"/>
  <c r="O59"/>
  <c r="D59"/>
  <c r="P59"/>
  <c r="N58"/>
  <c r="L58"/>
  <c r="J58"/>
  <c r="O58"/>
  <c r="D58"/>
  <c r="P58"/>
  <c r="N57"/>
  <c r="L57"/>
  <c r="J57"/>
  <c r="O57"/>
  <c r="D57"/>
  <c r="P57"/>
  <c r="N56"/>
  <c r="L56"/>
  <c r="J56"/>
  <c r="O56"/>
  <c r="D56"/>
  <c r="P56"/>
  <c r="N55"/>
  <c r="L55"/>
  <c r="J55"/>
  <c r="O55"/>
  <c r="D55"/>
  <c r="P55"/>
  <c r="N54"/>
  <c r="L54"/>
  <c r="J54"/>
  <c r="O54"/>
  <c r="D54"/>
  <c r="P54"/>
  <c r="N53"/>
  <c r="L53"/>
  <c r="J53"/>
  <c r="O53"/>
  <c r="D53"/>
  <c r="P53"/>
  <c r="N52"/>
  <c r="L52"/>
  <c r="J52"/>
  <c r="O52"/>
  <c r="D52"/>
  <c r="P52"/>
  <c r="N51"/>
  <c r="N63"/>
  <c r="L51"/>
  <c r="L63"/>
  <c r="J51"/>
  <c r="J63"/>
  <c r="D51"/>
  <c r="D63"/>
  <c r="E236" i="6"/>
  <c r="E201"/>
  <c r="E208"/>
  <c r="E210"/>
  <c r="E205"/>
  <c r="E118"/>
  <c r="F102" i="11"/>
  <c r="F43"/>
  <c r="E132" i="6"/>
  <c r="E124"/>
  <c r="E79"/>
  <c r="F319" i="25"/>
  <c r="F318"/>
  <c r="F317"/>
  <c r="F316"/>
  <c r="F315"/>
  <c r="F314"/>
  <c r="F313"/>
  <c r="E228" i="6"/>
  <c r="E225"/>
  <c r="E224"/>
  <c r="E231"/>
  <c r="E218"/>
  <c r="E221"/>
  <c r="E213"/>
  <c r="E193"/>
  <c r="E192"/>
  <c r="E195"/>
  <c r="E171"/>
  <c r="E174"/>
  <c r="E161"/>
  <c r="E159"/>
  <c r="E160"/>
  <c r="E153"/>
  <c r="E152"/>
  <c r="E154"/>
  <c r="E147"/>
  <c r="E137"/>
  <c r="E136"/>
  <c r="E131"/>
  <c r="E104"/>
  <c r="E103"/>
  <c r="E102"/>
  <c r="E89"/>
  <c r="E93"/>
  <c r="E12"/>
  <c r="E19"/>
  <c r="E88"/>
  <c r="E97"/>
  <c r="E135"/>
  <c r="E151"/>
  <c r="E158"/>
  <c r="E170"/>
  <c r="E177"/>
  <c r="E184"/>
  <c r="E191"/>
  <c r="E199"/>
  <c r="E217"/>
  <c r="E223"/>
  <c r="E234"/>
  <c r="E128"/>
  <c r="E133"/>
  <c r="E145"/>
  <c r="E8"/>
  <c r="E7"/>
  <c r="E6"/>
  <c r="E9"/>
  <c r="F49" i="11"/>
  <c r="F23"/>
  <c r="F20"/>
  <c r="E103" i="12"/>
  <c r="E73"/>
  <c r="E78"/>
  <c r="E26" i="23"/>
  <c r="E27"/>
  <c r="E28"/>
  <c r="E29"/>
  <c r="E30"/>
  <c r="E31"/>
  <c r="E32"/>
  <c r="E33"/>
  <c r="E34"/>
  <c r="E35"/>
  <c r="E36"/>
  <c r="H29"/>
  <c r="F35" i="3"/>
  <c r="F12" i="2"/>
  <c r="E188" i="6"/>
  <c r="F9" i="2"/>
  <c r="E182" i="6"/>
  <c r="F68" i="1"/>
  <c r="F67"/>
  <c r="F66"/>
  <c r="F65"/>
  <c r="F64"/>
  <c r="F61"/>
  <c r="F50"/>
  <c r="F48"/>
  <c r="F47"/>
  <c r="E101" i="6"/>
  <c r="F46" i="1"/>
  <c r="E100" i="6"/>
  <c r="E139"/>
  <c r="E141"/>
  <c r="F45" i="1"/>
  <c r="E98" i="6"/>
  <c r="F43" i="1"/>
  <c r="E99" i="6"/>
  <c r="E106"/>
  <c r="F55" i="1"/>
  <c r="F27"/>
  <c r="E11" i="3"/>
  <c r="F26" i="1"/>
  <c r="E94" i="6"/>
  <c r="F21" i="1"/>
  <c r="F20"/>
  <c r="E13" i="6"/>
  <c r="F19" i="1"/>
  <c r="F18"/>
  <c r="E17" i="3"/>
  <c r="F23" i="1"/>
  <c r="F13"/>
  <c r="E21" i="6"/>
  <c r="F12" i="1"/>
  <c r="F16"/>
  <c r="F98" i="11"/>
  <c r="F89"/>
  <c r="F48"/>
  <c r="F8" i="1"/>
  <c r="E10" i="6"/>
  <c r="F10" i="1"/>
  <c r="F29"/>
  <c r="F38" i="11"/>
  <c r="F31"/>
  <c r="F18"/>
  <c r="F33" i="1"/>
  <c r="F36"/>
  <c r="F10" i="11"/>
  <c r="F58"/>
  <c r="E91" i="12"/>
  <c r="F21" i="2"/>
  <c r="E232" i="6"/>
  <c r="E83" i="12"/>
  <c r="F15" i="2"/>
  <c r="E79" i="12"/>
  <c r="F13" i="2"/>
  <c r="E214" i="6"/>
  <c r="E215"/>
  <c r="E74" i="12"/>
  <c r="F14" i="2"/>
  <c r="E196" i="6"/>
  <c r="E66" i="12"/>
  <c r="E90"/>
  <c r="E98"/>
  <c r="E62"/>
  <c r="E17"/>
  <c r="E34"/>
  <c r="E43"/>
  <c r="E99"/>
  <c r="E102"/>
  <c r="E12"/>
  <c r="F8" i="2"/>
  <c r="E175" i="6"/>
  <c r="M37" i="23"/>
  <c r="K37"/>
  <c r="K40"/>
  <c r="I37"/>
  <c r="H37"/>
  <c r="H39"/>
  <c r="C37"/>
  <c r="N36"/>
  <c r="L36"/>
  <c r="J36"/>
  <c r="O36"/>
  <c r="D36"/>
  <c r="P36"/>
  <c r="B37"/>
  <c r="B39"/>
  <c r="G42"/>
  <c r="N35"/>
  <c r="L35"/>
  <c r="J35"/>
  <c r="O35"/>
  <c r="D35"/>
  <c r="P35"/>
  <c r="N34"/>
  <c r="L34"/>
  <c r="J34"/>
  <c r="O34"/>
  <c r="D34"/>
  <c r="P34"/>
  <c r="N33"/>
  <c r="L33"/>
  <c r="J33"/>
  <c r="O33"/>
  <c r="D33"/>
  <c r="P33"/>
  <c r="N32"/>
  <c r="L32"/>
  <c r="J32"/>
  <c r="O32"/>
  <c r="D32"/>
  <c r="P32"/>
  <c r="N31"/>
  <c r="L31"/>
  <c r="J31"/>
  <c r="O31"/>
  <c r="D31"/>
  <c r="P31"/>
  <c r="N30"/>
  <c r="L30"/>
  <c r="J30"/>
  <c r="O30"/>
  <c r="D30"/>
  <c r="P30"/>
  <c r="N29"/>
  <c r="L29"/>
  <c r="J29"/>
  <c r="O29"/>
  <c r="D29"/>
  <c r="P29"/>
  <c r="N28"/>
  <c r="L28"/>
  <c r="J28"/>
  <c r="O28"/>
  <c r="D28"/>
  <c r="P28"/>
  <c r="N27"/>
  <c r="L27"/>
  <c r="J27"/>
  <c r="O27"/>
  <c r="D27"/>
  <c r="P27"/>
  <c r="N26"/>
  <c r="L26"/>
  <c r="J26"/>
  <c r="O26"/>
  <c r="D26"/>
  <c r="P26"/>
  <c r="N25"/>
  <c r="N37"/>
  <c r="L25"/>
  <c r="L37"/>
  <c r="J25"/>
  <c r="J37"/>
  <c r="D25"/>
  <c r="D37"/>
  <c r="E104" i="12"/>
  <c r="F25" i="2"/>
  <c r="E107" i="12"/>
  <c r="F78" i="11"/>
  <c r="O25" i="23"/>
  <c r="O37"/>
  <c r="F236" i="6"/>
  <c r="F203"/>
  <c r="F73" i="12"/>
  <c r="F210" i="6"/>
  <c r="F201"/>
  <c r="F293" i="25"/>
  <c r="F295"/>
  <c r="F296"/>
  <c r="F308"/>
  <c r="F309"/>
  <c r="F310"/>
  <c r="F312"/>
  <c r="F294"/>
  <c r="E293"/>
  <c r="F292"/>
  <c r="F291"/>
  <c r="E288"/>
  <c r="F288"/>
  <c r="G43" i="11"/>
  <c r="F228" i="6"/>
  <c r="F227"/>
  <c r="F225"/>
  <c r="F224"/>
  <c r="F231"/>
  <c r="F218"/>
  <c r="F221"/>
  <c r="F213"/>
  <c r="F193"/>
  <c r="F192"/>
  <c r="F195"/>
  <c r="F171"/>
  <c r="F174"/>
  <c r="F161"/>
  <c r="F159"/>
  <c r="F160"/>
  <c r="F153"/>
  <c r="F152"/>
  <c r="F154"/>
  <c r="F147"/>
  <c r="F137"/>
  <c r="F136"/>
  <c r="F104"/>
  <c r="F103"/>
  <c r="F102"/>
  <c r="F89"/>
  <c r="F93"/>
  <c r="F12"/>
  <c r="F19"/>
  <c r="F88"/>
  <c r="F97"/>
  <c r="F135"/>
  <c r="F145"/>
  <c r="F151"/>
  <c r="F158"/>
  <c r="F8"/>
  <c r="F7"/>
  <c r="F6"/>
  <c r="F9"/>
  <c r="G103" i="11"/>
  <c r="G20"/>
  <c r="G23"/>
  <c r="B15" i="23"/>
  <c r="F14" i="12"/>
  <c r="F78"/>
  <c r="G35" i="3"/>
  <c r="G68" i="1"/>
  <c r="G67"/>
  <c r="G66"/>
  <c r="G65"/>
  <c r="G64"/>
  <c r="G61"/>
  <c r="G50"/>
  <c r="G48"/>
  <c r="G47"/>
  <c r="F101" i="6"/>
  <c r="G46" i="1"/>
  <c r="F100" i="6"/>
  <c r="F139"/>
  <c r="F141"/>
  <c r="G45" i="1"/>
  <c r="F98" i="6"/>
  <c r="G43" i="1"/>
  <c r="F18" i="3"/>
  <c r="F99" i="6"/>
  <c r="G55" i="1"/>
  <c r="G27"/>
  <c r="F11" i="3"/>
  <c r="G26" i="1"/>
  <c r="F94" i="6"/>
  <c r="G21" i="1"/>
  <c r="G20"/>
  <c r="F13" i="6"/>
  <c r="G19" i="1"/>
  <c r="G18"/>
  <c r="F17" i="3"/>
  <c r="G23" i="1"/>
  <c r="G12"/>
  <c r="F20" i="6"/>
  <c r="G12" i="2"/>
  <c r="F188" i="6"/>
  <c r="G9" i="2"/>
  <c r="F182" i="6"/>
  <c r="G98" i="11"/>
  <c r="G89"/>
  <c r="G48"/>
  <c r="G8" i="1"/>
  <c r="G10"/>
  <c r="G18" i="11"/>
  <c r="G33" i="1"/>
  <c r="G36"/>
  <c r="G10" i="11"/>
  <c r="F62" i="12"/>
  <c r="G62"/>
  <c r="H62"/>
  <c r="F91"/>
  <c r="G21" i="2"/>
  <c r="F232" i="6"/>
  <c r="F83" i="12"/>
  <c r="G15" i="2"/>
  <c r="F79" i="12"/>
  <c r="G13" i="2"/>
  <c r="F214" i="6"/>
  <c r="F74" i="12"/>
  <c r="G14" i="2"/>
  <c r="F196" i="6"/>
  <c r="F66" i="12"/>
  <c r="F90"/>
  <c r="F98"/>
  <c r="F17"/>
  <c r="F34"/>
  <c r="F43"/>
  <c r="F99"/>
  <c r="F102"/>
  <c r="F103"/>
  <c r="F12"/>
  <c r="G8" i="2"/>
  <c r="F175" i="6"/>
  <c r="K16" i="23"/>
  <c r="L15"/>
  <c r="L14"/>
  <c r="L13"/>
  <c r="L12"/>
  <c r="L11"/>
  <c r="L10"/>
  <c r="L9"/>
  <c r="L8"/>
  <c r="L7"/>
  <c r="L6"/>
  <c r="L5"/>
  <c r="L4"/>
  <c r="L16"/>
  <c r="F338" i="25"/>
  <c r="F290"/>
  <c r="F289"/>
  <c r="F287"/>
  <c r="E286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E257"/>
  <c r="F257"/>
  <c r="E256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28"/>
  <c r="F225"/>
  <c r="F224"/>
  <c r="F223"/>
  <c r="F222"/>
  <c r="F221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6"/>
  <c r="F125"/>
  <c r="F123"/>
  <c r="F122"/>
  <c r="F121"/>
  <c r="F120"/>
  <c r="F118"/>
  <c r="E117"/>
  <c r="E116"/>
  <c r="F115"/>
  <c r="F112"/>
  <c r="F111"/>
  <c r="F110"/>
  <c r="F109"/>
  <c r="F108"/>
  <c r="F107"/>
  <c r="F106"/>
  <c r="F105"/>
  <c r="F104"/>
  <c r="F103"/>
  <c r="F101"/>
  <c r="F100"/>
  <c r="F99"/>
  <c r="F98"/>
  <c r="F97"/>
  <c r="F96"/>
  <c r="F95"/>
  <c r="F94"/>
  <c r="F92"/>
  <c r="F91"/>
  <c r="F90"/>
  <c r="F87"/>
  <c r="E84"/>
  <c r="F83"/>
  <c r="E82"/>
  <c r="F81"/>
  <c r="F80"/>
  <c r="E80"/>
  <c r="E79"/>
  <c r="F66"/>
  <c r="F65"/>
  <c r="F64"/>
  <c r="F63"/>
  <c r="F62"/>
  <c r="F61"/>
  <c r="F60"/>
  <c r="F59"/>
  <c r="F58"/>
  <c r="F57"/>
  <c r="F56"/>
  <c r="F55"/>
  <c r="F54"/>
  <c r="F53"/>
  <c r="F52"/>
  <c r="F5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E15"/>
  <c r="F14"/>
  <c r="F13"/>
  <c r="F12"/>
  <c r="F11"/>
  <c r="F10"/>
  <c r="F9"/>
  <c r="E8"/>
  <c r="F7"/>
  <c r="E6"/>
  <c r="F5"/>
  <c r="G119" i="6"/>
  <c r="G112"/>
  <c r="G204"/>
  <c r="G210"/>
  <c r="G201"/>
  <c r="G136"/>
  <c r="G137"/>
  <c r="H102" i="11"/>
  <c r="H107"/>
  <c r="H78"/>
  <c r="H49"/>
  <c r="H43"/>
  <c r="H40"/>
  <c r="H23"/>
  <c r="H20"/>
  <c r="G103" i="12"/>
  <c r="G94"/>
  <c r="G73"/>
  <c r="G78"/>
  <c r="G236" i="6"/>
  <c r="G228"/>
  <c r="G227"/>
  <c r="G225"/>
  <c r="G224"/>
  <c r="G231"/>
  <c r="G218"/>
  <c r="G221"/>
  <c r="G213"/>
  <c r="G193"/>
  <c r="G192"/>
  <c r="G195"/>
  <c r="G171"/>
  <c r="G174"/>
  <c r="G161"/>
  <c r="G159"/>
  <c r="G160"/>
  <c r="G153"/>
  <c r="G152"/>
  <c r="G154"/>
  <c r="G147"/>
  <c r="G131"/>
  <c r="G104"/>
  <c r="G103"/>
  <c r="G102"/>
  <c r="G89"/>
  <c r="G93"/>
  <c r="G12"/>
  <c r="G19"/>
  <c r="G88"/>
  <c r="G97"/>
  <c r="G124"/>
  <c r="G128"/>
  <c r="G135"/>
  <c r="G145"/>
  <c r="G151"/>
  <c r="G158"/>
  <c r="G8"/>
  <c r="G7"/>
  <c r="G6"/>
  <c r="G9"/>
  <c r="H35" i="3"/>
  <c r="H12" i="2"/>
  <c r="G188" i="6"/>
  <c r="H9" i="2"/>
  <c r="H68" i="1"/>
  <c r="H67"/>
  <c r="H66"/>
  <c r="H65"/>
  <c r="H64"/>
  <c r="H61"/>
  <c r="H50"/>
  <c r="H48"/>
  <c r="H47"/>
  <c r="G101" i="6"/>
  <c r="H46" i="1"/>
  <c r="G100" i="6"/>
  <c r="G139"/>
  <c r="G141"/>
  <c r="H45" i="1"/>
  <c r="G98" i="6"/>
  <c r="H43" i="1"/>
  <c r="G99" i="6"/>
  <c r="G106"/>
  <c r="H55" i="1"/>
  <c r="H27"/>
  <c r="G11" i="3"/>
  <c r="H26" i="1"/>
  <c r="G94" i="6"/>
  <c r="H21" i="1"/>
  <c r="H20"/>
  <c r="G13" i="6"/>
  <c r="H19" i="1"/>
  <c r="H18"/>
  <c r="G17" i="3"/>
  <c r="H23" i="1"/>
  <c r="H13"/>
  <c r="G21" i="6"/>
  <c r="H12" i="1"/>
  <c r="G20" i="6"/>
  <c r="H16" i="1"/>
  <c r="H98" i="11"/>
  <c r="H89"/>
  <c r="H48"/>
  <c r="H8" i="1"/>
  <c r="H38" i="11"/>
  <c r="H31"/>
  <c r="H58"/>
  <c r="H18"/>
  <c r="H33" i="1"/>
  <c r="H10" i="11"/>
  <c r="G91" i="12"/>
  <c r="H21" i="2"/>
  <c r="G232" i="6"/>
  <c r="G83" i="12"/>
  <c r="H15" i="2"/>
  <c r="G79" i="12"/>
  <c r="H13" i="2"/>
  <c r="G214" i="6"/>
  <c r="G74" i="12"/>
  <c r="G66"/>
  <c r="G90"/>
  <c r="G98"/>
  <c r="G17"/>
  <c r="G34"/>
  <c r="G43"/>
  <c r="G99"/>
  <c r="G102"/>
  <c r="G12"/>
  <c r="H8" i="2"/>
  <c r="H205" i="6"/>
  <c r="H210"/>
  <c r="H201"/>
  <c r="I102" i="11"/>
  <c r="I49"/>
  <c r="I98"/>
  <c r="I43"/>
  <c r="I40"/>
  <c r="I23"/>
  <c r="I20"/>
  <c r="I105"/>
  <c r="H73" i="12"/>
  <c r="H94"/>
  <c r="H91"/>
  <c r="H78"/>
  <c r="H17"/>
  <c r="H34"/>
  <c r="H43"/>
  <c r="H12"/>
  <c r="J4" i="23"/>
  <c r="N6"/>
  <c r="N7"/>
  <c r="N8"/>
  <c r="N9"/>
  <c r="N10"/>
  <c r="N11"/>
  <c r="N12"/>
  <c r="N13"/>
  <c r="N14"/>
  <c r="N15"/>
  <c r="N5"/>
  <c r="J6"/>
  <c r="O6"/>
  <c r="J7"/>
  <c r="O7"/>
  <c r="J8"/>
  <c r="O8"/>
  <c r="J9"/>
  <c r="O9"/>
  <c r="J10"/>
  <c r="O10"/>
  <c r="J11"/>
  <c r="O11"/>
  <c r="J12"/>
  <c r="J13"/>
  <c r="J14"/>
  <c r="J15"/>
  <c r="J5"/>
  <c r="O5"/>
  <c r="N4"/>
  <c r="O4"/>
  <c r="H16"/>
  <c r="J16"/>
  <c r="I16"/>
  <c r="N16"/>
  <c r="M16"/>
  <c r="C16"/>
  <c r="B16"/>
  <c r="B18"/>
  <c r="D15"/>
  <c r="D14"/>
  <c r="D13"/>
  <c r="D12"/>
  <c r="D11"/>
  <c r="D10"/>
  <c r="D9"/>
  <c r="D8"/>
  <c r="D7"/>
  <c r="D6"/>
  <c r="D5"/>
  <c r="D4"/>
  <c r="P4"/>
  <c r="D16"/>
  <c r="H236" i="6"/>
  <c r="H228"/>
  <c r="H227"/>
  <c r="H225"/>
  <c r="H224"/>
  <c r="H231"/>
  <c r="H218"/>
  <c r="H221"/>
  <c r="H213"/>
  <c r="H193"/>
  <c r="H192"/>
  <c r="H195"/>
  <c r="H171"/>
  <c r="H174"/>
  <c r="H161"/>
  <c r="H159"/>
  <c r="H160"/>
  <c r="H153"/>
  <c r="H152"/>
  <c r="H154"/>
  <c r="H147"/>
  <c r="H131"/>
  <c r="H104"/>
  <c r="H103"/>
  <c r="H102"/>
  <c r="H89"/>
  <c r="H93"/>
  <c r="H12"/>
  <c r="H19"/>
  <c r="H88"/>
  <c r="H97"/>
  <c r="H124"/>
  <c r="H128"/>
  <c r="H135"/>
  <c r="H145"/>
  <c r="H151"/>
  <c r="H158"/>
  <c r="H8"/>
  <c r="H7"/>
  <c r="H6"/>
  <c r="H9"/>
  <c r="G39" i="16"/>
  <c r="G23"/>
  <c r="D39"/>
  <c r="D23"/>
  <c r="I89" i="11"/>
  <c r="I77"/>
  <c r="I48"/>
  <c r="I38"/>
  <c r="I31"/>
  <c r="I18"/>
  <c r="I10"/>
  <c r="H83" i="12"/>
  <c r="H79"/>
  <c r="H74"/>
  <c r="I35" i="3"/>
  <c r="I15" i="2"/>
  <c r="I14"/>
  <c r="H196" i="6"/>
  <c r="I13" i="2"/>
  <c r="H214" i="6"/>
  <c r="I12" i="2"/>
  <c r="H188" i="6"/>
  <c r="I9" i="2"/>
  <c r="H182" i="6"/>
  <c r="I8" i="2"/>
  <c r="H175" i="6"/>
  <c r="I16" i="2"/>
  <c r="I69" i="1"/>
  <c r="I68"/>
  <c r="I67"/>
  <c r="I66"/>
  <c r="I65"/>
  <c r="I64"/>
  <c r="I61"/>
  <c r="I50"/>
  <c r="I48"/>
  <c r="I47"/>
  <c r="H101" i="6"/>
  <c r="I46" i="1"/>
  <c r="H100" i="6"/>
  <c r="H139"/>
  <c r="H141"/>
  <c r="I45" i="1"/>
  <c r="H98" i="6"/>
  <c r="I43" i="1"/>
  <c r="H99" i="6"/>
  <c r="I55" i="1"/>
  <c r="I33"/>
  <c r="I36"/>
  <c r="I27"/>
  <c r="H11" i="3"/>
  <c r="I26" i="1"/>
  <c r="H94" i="6"/>
  <c r="I21" i="1"/>
  <c r="I20"/>
  <c r="H13" i="6"/>
  <c r="I19" i="1"/>
  <c r="I18"/>
  <c r="H17" i="3"/>
  <c r="I23" i="1"/>
  <c r="I13"/>
  <c r="H21" i="6"/>
  <c r="I12" i="1"/>
  <c r="H20" i="6"/>
  <c r="I16" i="1"/>
  <c r="I8"/>
  <c r="H10" i="6"/>
  <c r="I10" i="1"/>
  <c r="I89" i="6"/>
  <c r="I153"/>
  <c r="I103"/>
  <c r="I152"/>
  <c r="I102"/>
  <c r="I201"/>
  <c r="I203"/>
  <c r="I236"/>
  <c r="I210"/>
  <c r="I7"/>
  <c r="I6"/>
  <c r="I228"/>
  <c r="I227"/>
  <c r="I225"/>
  <c r="I224"/>
  <c r="I231"/>
  <c r="I218"/>
  <c r="I221"/>
  <c r="I213"/>
  <c r="I193"/>
  <c r="I192"/>
  <c r="I195"/>
  <c r="I171"/>
  <c r="I174"/>
  <c r="I161"/>
  <c r="I159"/>
  <c r="I160"/>
  <c r="I147"/>
  <c r="I131"/>
  <c r="I104"/>
  <c r="I93"/>
  <c r="I12"/>
  <c r="I19"/>
  <c r="I88"/>
  <c r="I97"/>
  <c r="I124"/>
  <c r="I128"/>
  <c r="I135"/>
  <c r="I145"/>
  <c r="I151"/>
  <c r="I158"/>
  <c r="I8"/>
  <c r="I9"/>
  <c r="K15" i="13"/>
  <c r="J35" i="3"/>
  <c r="J25" i="2"/>
  <c r="J21"/>
  <c r="I232" i="6"/>
  <c r="J15" i="2"/>
  <c r="J10" i="3"/>
  <c r="J14" i="2"/>
  <c r="I196" i="6"/>
  <c r="J13" i="2"/>
  <c r="I214" i="6"/>
  <c r="J12" i="2"/>
  <c r="I188" i="6"/>
  <c r="J9" i="2"/>
  <c r="I182" i="6"/>
  <c r="J8" i="2"/>
  <c r="I175" i="6"/>
  <c r="J16" i="2"/>
  <c r="J23"/>
  <c r="I235" i="6"/>
  <c r="J27" i="2"/>
  <c r="J70" i="1"/>
  <c r="J69"/>
  <c r="J68"/>
  <c r="J67"/>
  <c r="J66"/>
  <c r="J65"/>
  <c r="J64"/>
  <c r="J71"/>
  <c r="J61"/>
  <c r="J50"/>
  <c r="J48"/>
  <c r="J47"/>
  <c r="I101" i="6"/>
  <c r="J46" i="1"/>
  <c r="I100" i="6"/>
  <c r="I139"/>
  <c r="I141"/>
  <c r="J45" i="1"/>
  <c r="I98" i="6"/>
  <c r="J43" i="1"/>
  <c r="I99" i="6"/>
  <c r="J55" i="1"/>
  <c r="J33"/>
  <c r="J36"/>
  <c r="J27"/>
  <c r="I11" i="3"/>
  <c r="J26" i="1"/>
  <c r="I94" i="6"/>
  <c r="J21" i="1"/>
  <c r="J20"/>
  <c r="I13" i="6"/>
  <c r="J19" i="1"/>
  <c r="J18"/>
  <c r="I17" i="3"/>
  <c r="J23" i="1"/>
  <c r="J13"/>
  <c r="I21" i="6"/>
  <c r="J12" i="1"/>
  <c r="I20" i="6"/>
  <c r="I23"/>
  <c r="J16" i="1"/>
  <c r="J8"/>
  <c r="I10" i="6"/>
  <c r="J10" i="1"/>
  <c r="J112" i="11"/>
  <c r="J68"/>
  <c r="J58"/>
  <c r="J119"/>
  <c r="J205" i="6"/>
  <c r="J201"/>
  <c r="J210"/>
  <c r="J213"/>
  <c r="J228"/>
  <c r="J227"/>
  <c r="J225"/>
  <c r="J224"/>
  <c r="J231"/>
  <c r="J218"/>
  <c r="J221"/>
  <c r="J193"/>
  <c r="J192"/>
  <c r="J195"/>
  <c r="J171"/>
  <c r="J174"/>
  <c r="J161"/>
  <c r="J159"/>
  <c r="J160"/>
  <c r="J147"/>
  <c r="J104"/>
  <c r="J93"/>
  <c r="J12"/>
  <c r="J19"/>
  <c r="J88"/>
  <c r="J97"/>
  <c r="J8"/>
  <c r="J9"/>
  <c r="I21" i="13"/>
  <c r="I20"/>
  <c r="I22"/>
  <c r="K20"/>
  <c r="K21"/>
  <c r="K22"/>
  <c r="D23"/>
  <c r="E23"/>
  <c r="K13"/>
  <c r="K35" i="3"/>
  <c r="K25" i="2"/>
  <c r="K21"/>
  <c r="J232" i="6"/>
  <c r="K15" i="2"/>
  <c r="K14"/>
  <c r="J196" i="6"/>
  <c r="K13" i="2"/>
  <c r="J214" i="6"/>
  <c r="K12" i="2"/>
  <c r="J188" i="6"/>
  <c r="K9" i="2"/>
  <c r="K8"/>
  <c r="K16"/>
  <c r="K23"/>
  <c r="J235" i="6"/>
  <c r="J237"/>
  <c r="J239"/>
  <c r="J241"/>
  <c r="K70" i="1"/>
  <c r="K69"/>
  <c r="K68"/>
  <c r="K67"/>
  <c r="K66"/>
  <c r="K65"/>
  <c r="K64"/>
  <c r="K71"/>
  <c r="K61"/>
  <c r="K50"/>
  <c r="J103" i="6"/>
  <c r="K48" i="1"/>
  <c r="J152" i="6"/>
  <c r="J154"/>
  <c r="K47" i="1"/>
  <c r="J101" i="6"/>
  <c r="K46" i="1"/>
  <c r="J100" i="6"/>
  <c r="J139"/>
  <c r="J141"/>
  <c r="K45" i="1"/>
  <c r="J98" i="6"/>
  <c r="K43" i="1"/>
  <c r="J129" i="6"/>
  <c r="J131"/>
  <c r="K55" i="1"/>
  <c r="K33"/>
  <c r="K36"/>
  <c r="K27"/>
  <c r="J11" i="3"/>
  <c r="K26" i="1"/>
  <c r="J94" i="6"/>
  <c r="K21" i="1"/>
  <c r="K20"/>
  <c r="J13" i="6"/>
  <c r="K19" i="1"/>
  <c r="K18"/>
  <c r="J17" i="3"/>
  <c r="K23" i="1"/>
  <c r="K13"/>
  <c r="J21" i="6"/>
  <c r="K12" i="1"/>
  <c r="J20" i="6"/>
  <c r="J23"/>
  <c r="K16" i="1"/>
  <c r="K8"/>
  <c r="J10" i="6"/>
  <c r="K10" i="1"/>
  <c r="K112" i="11"/>
  <c r="K68"/>
  <c r="K58"/>
  <c r="K119"/>
  <c r="E13" i="21"/>
  <c r="F24" i="22"/>
  <c r="F23"/>
  <c r="F22"/>
  <c r="F21"/>
  <c r="F20"/>
  <c r="F19"/>
  <c r="F18"/>
  <c r="F17"/>
  <c r="F16"/>
  <c r="F15"/>
  <c r="F14"/>
  <c r="F13"/>
  <c r="F12"/>
  <c r="F30"/>
  <c r="K205" i="6"/>
  <c r="K236"/>
  <c r="K210"/>
  <c r="K161"/>
  <c r="F42" i="16"/>
  <c r="E27"/>
  <c r="D28"/>
  <c r="D27"/>
  <c r="D26"/>
  <c r="E12"/>
  <c r="F44"/>
  <c r="D12"/>
  <c r="F11"/>
  <c r="F43"/>
  <c r="F49"/>
  <c r="E11"/>
  <c r="E43"/>
  <c r="D11"/>
  <c r="D43"/>
  <c r="E10"/>
  <c r="D10"/>
  <c r="D42"/>
  <c r="G48"/>
  <c r="G47"/>
  <c r="G46"/>
  <c r="G45"/>
  <c r="G41"/>
  <c r="G40"/>
  <c r="F33"/>
  <c r="D33"/>
  <c r="G32"/>
  <c r="G31"/>
  <c r="G30"/>
  <c r="G27"/>
  <c r="G25"/>
  <c r="G24"/>
  <c r="F17"/>
  <c r="E17"/>
  <c r="D17"/>
  <c r="G16"/>
  <c r="G15"/>
  <c r="G14"/>
  <c r="G13"/>
  <c r="G12"/>
  <c r="G11"/>
  <c r="G10"/>
  <c r="G9"/>
  <c r="G8"/>
  <c r="G17"/>
  <c r="K12" i="6"/>
  <c r="K19"/>
  <c r="K88"/>
  <c r="K97"/>
  <c r="K124"/>
  <c r="K128"/>
  <c r="K135"/>
  <c r="K145"/>
  <c r="K151"/>
  <c r="K158"/>
  <c r="K228"/>
  <c r="K227"/>
  <c r="K225"/>
  <c r="K224"/>
  <c r="K231"/>
  <c r="K218"/>
  <c r="K221"/>
  <c r="K213"/>
  <c r="K193"/>
  <c r="K192"/>
  <c r="K195"/>
  <c r="K171"/>
  <c r="K174"/>
  <c r="K167"/>
  <c r="K166"/>
  <c r="K159"/>
  <c r="K160"/>
  <c r="K147"/>
  <c r="K142"/>
  <c r="K132"/>
  <c r="K104"/>
  <c r="K92"/>
  <c r="K93"/>
  <c r="K24"/>
  <c r="K17"/>
  <c r="K8"/>
  <c r="K7"/>
  <c r="K6"/>
  <c r="K9"/>
  <c r="L35" i="3"/>
  <c r="L25" i="2"/>
  <c r="L21"/>
  <c r="K232" i="6"/>
  <c r="L15" i="2"/>
  <c r="L10" i="3"/>
  <c r="L14" i="2"/>
  <c r="K196" i="6"/>
  <c r="L13" i="2"/>
  <c r="K214" i="6"/>
  <c r="L12" i="2"/>
  <c r="K188" i="6"/>
  <c r="L9" i="2"/>
  <c r="K178" i="6"/>
  <c r="K181"/>
  <c r="L8" i="2"/>
  <c r="L16"/>
  <c r="L23"/>
  <c r="K235" i="6"/>
  <c r="L70" i="1"/>
  <c r="L69"/>
  <c r="L68"/>
  <c r="L67"/>
  <c r="L66"/>
  <c r="L65"/>
  <c r="L64"/>
  <c r="L71"/>
  <c r="L61"/>
  <c r="L50"/>
  <c r="K103" i="6"/>
  <c r="K149"/>
  <c r="L48" i="1"/>
  <c r="K155" i="6"/>
  <c r="L47" i="1"/>
  <c r="K101" i="6"/>
  <c r="L46" i="1"/>
  <c r="K100" i="6"/>
  <c r="K139"/>
  <c r="K141"/>
  <c r="L45" i="1"/>
  <c r="L43"/>
  <c r="K129" i="6"/>
  <c r="K131"/>
  <c r="L55" i="1"/>
  <c r="L33"/>
  <c r="L36"/>
  <c r="L27"/>
  <c r="K11" i="3"/>
  <c r="L26" i="1"/>
  <c r="K94" i="6"/>
  <c r="L21" i="1"/>
  <c r="L20"/>
  <c r="K13" i="6"/>
  <c r="K15"/>
  <c r="L19" i="1"/>
  <c r="L18"/>
  <c r="L23"/>
  <c r="L13"/>
  <c r="K21" i="6"/>
  <c r="L12" i="1"/>
  <c r="L16"/>
  <c r="L8"/>
  <c r="K10" i="6"/>
  <c r="L10" i="1"/>
  <c r="L112" i="11"/>
  <c r="L68"/>
  <c r="L58"/>
  <c r="L119"/>
  <c r="H28" i="14"/>
  <c r="E28" i="16"/>
  <c r="E26"/>
  <c r="L167" i="6"/>
  <c r="F16" i="13"/>
  <c r="F23"/>
  <c r="C16"/>
  <c r="C23"/>
  <c r="M15" i="2"/>
  <c r="M70" i="1"/>
  <c r="M8" i="2"/>
  <c r="M9"/>
  <c r="M12"/>
  <c r="M13"/>
  <c r="M14"/>
  <c r="M21"/>
  <c r="L232" i="6"/>
  <c r="L228"/>
  <c r="L227"/>
  <c r="L225"/>
  <c r="L224"/>
  <c r="L218"/>
  <c r="L205"/>
  <c r="L201"/>
  <c r="L214"/>
  <c r="L196"/>
  <c r="L193"/>
  <c r="L192"/>
  <c r="L188"/>
  <c r="L185"/>
  <c r="L182"/>
  <c r="L175"/>
  <c r="L171"/>
  <c r="L159"/>
  <c r="M48" i="1"/>
  <c r="L155" i="6"/>
  <c r="L152"/>
  <c r="M43" i="1"/>
  <c r="L129" i="6"/>
  <c r="L104"/>
  <c r="M50" i="1"/>
  <c r="L103" i="6"/>
  <c r="L102"/>
  <c r="M47" i="1"/>
  <c r="L101" i="6"/>
  <c r="M46" i="1"/>
  <c r="L100" i="6"/>
  <c r="L99"/>
  <c r="M45" i="1"/>
  <c r="L98" i="6"/>
  <c r="M26" i="1"/>
  <c r="M27"/>
  <c r="L11" i="3"/>
  <c r="L94" i="6"/>
  <c r="M13" i="1"/>
  <c r="L21" i="6"/>
  <c r="M12" i="1"/>
  <c r="L20" i="6"/>
  <c r="M20" i="1"/>
  <c r="L13" i="6"/>
  <c r="L8"/>
  <c r="L7"/>
  <c r="L6"/>
  <c r="N70" i="1"/>
  <c r="N66"/>
  <c r="N67"/>
  <c r="N64"/>
  <c r="N8"/>
  <c r="N44" i="3"/>
  <c r="M43"/>
  <c r="M35"/>
  <c r="M64" i="1"/>
  <c r="M65"/>
  <c r="M66"/>
  <c r="M67"/>
  <c r="M68"/>
  <c r="M69"/>
  <c r="N65"/>
  <c r="N68"/>
  <c r="N69"/>
  <c r="M37" i="3"/>
  <c r="M39"/>
  <c r="M10"/>
  <c r="N27" i="1"/>
  <c r="M11" i="3"/>
  <c r="N12" i="1"/>
  <c r="N13"/>
  <c r="N26"/>
  <c r="M15" i="3"/>
  <c r="N18" i="1"/>
  <c r="N19"/>
  <c r="N20"/>
  <c r="N21"/>
  <c r="M21"/>
  <c r="M19"/>
  <c r="M18"/>
  <c r="L17" i="3"/>
  <c r="M17"/>
  <c r="N43" i="1"/>
  <c r="N45"/>
  <c r="N46"/>
  <c r="N47"/>
  <c r="N48"/>
  <c r="N50"/>
  <c r="M25" i="2"/>
  <c r="M18" i="3"/>
  <c r="M33" i="1"/>
  <c r="N33"/>
  <c r="M26" i="3"/>
  <c r="M31"/>
  <c r="P12" i="1"/>
  <c r="P13"/>
  <c r="P26"/>
  <c r="N15" i="3"/>
  <c r="L231" i="6"/>
  <c r="L221"/>
  <c r="L213"/>
  <c r="L195"/>
  <c r="L187"/>
  <c r="L181"/>
  <c r="L174"/>
  <c r="L166"/>
  <c r="L160"/>
  <c r="L154"/>
  <c r="L147"/>
  <c r="L142"/>
  <c r="L141"/>
  <c r="L132"/>
  <c r="L131"/>
  <c r="L149"/>
  <c r="L106"/>
  <c r="L107"/>
  <c r="L92"/>
  <c r="L93"/>
  <c r="L24"/>
  <c r="L161"/>
  <c r="L23"/>
  <c r="L17"/>
  <c r="L15"/>
  <c r="L9"/>
  <c r="M71" i="1"/>
  <c r="M61"/>
  <c r="M55"/>
  <c r="M36"/>
  <c r="M23"/>
  <c r="M16"/>
  <c r="M8"/>
  <c r="L10" i="6"/>
  <c r="M10" i="1"/>
  <c r="M112" i="11"/>
  <c r="M68"/>
  <c r="M58"/>
  <c r="M119"/>
  <c r="N58"/>
  <c r="N112"/>
  <c r="N119"/>
  <c r="R8" i="1"/>
  <c r="P43" i="3"/>
  <c r="P57" i="1"/>
  <c r="R57"/>
  <c r="P35" i="3"/>
  <c r="P15" i="2"/>
  <c r="P33" i="1"/>
  <c r="R33"/>
  <c r="P26" i="3"/>
  <c r="P25" i="2"/>
  <c r="P43" i="1"/>
  <c r="R43"/>
  <c r="P45"/>
  <c r="R45"/>
  <c r="P46"/>
  <c r="R46"/>
  <c r="P47"/>
  <c r="R47"/>
  <c r="P48"/>
  <c r="R48"/>
  <c r="P50"/>
  <c r="R50"/>
  <c r="P18" i="3"/>
  <c r="R18" i="1"/>
  <c r="R19"/>
  <c r="R20"/>
  <c r="R21"/>
  <c r="P21"/>
  <c r="P20"/>
  <c r="P19"/>
  <c r="P18"/>
  <c r="P17" i="3"/>
  <c r="R12" i="1"/>
  <c r="R13"/>
  <c r="R26"/>
  <c r="P15" i="3"/>
  <c r="R70" i="1"/>
  <c r="R69"/>
  <c r="R68"/>
  <c r="R67"/>
  <c r="R66"/>
  <c r="R27"/>
  <c r="R71"/>
  <c r="R61"/>
  <c r="R55"/>
  <c r="R73"/>
  <c r="R23"/>
  <c r="R16"/>
  <c r="R10"/>
  <c r="R29"/>
  <c r="R36"/>
  <c r="R38"/>
  <c r="R79"/>
  <c r="P27"/>
  <c r="P11" i="3"/>
  <c r="P112" i="11"/>
  <c r="P119"/>
  <c r="P94" i="6"/>
  <c r="N94"/>
  <c r="N92"/>
  <c r="P39" i="3"/>
  <c r="P8" i="2"/>
  <c r="P9"/>
  <c r="P12"/>
  <c r="P13"/>
  <c r="P14"/>
  <c r="P16"/>
  <c r="P21"/>
  <c r="P23"/>
  <c r="P8" i="3"/>
  <c r="P10"/>
  <c r="P19"/>
  <c r="P23"/>
  <c r="P31"/>
  <c r="P41"/>
  <c r="P8" i="1"/>
  <c r="P44" i="3"/>
  <c r="N43"/>
  <c r="N35"/>
  <c r="P66" i="1"/>
  <c r="P67"/>
  <c r="P68"/>
  <c r="P69"/>
  <c r="P70"/>
  <c r="N37" i="3"/>
  <c r="N39"/>
  <c r="N8" i="2"/>
  <c r="N9"/>
  <c r="N12"/>
  <c r="N13"/>
  <c r="N14"/>
  <c r="N15"/>
  <c r="N16"/>
  <c r="N21"/>
  <c r="N23"/>
  <c r="N8" i="3"/>
  <c r="N10"/>
  <c r="N12"/>
  <c r="N17"/>
  <c r="N25" i="2"/>
  <c r="N18" i="3"/>
  <c r="N19"/>
  <c r="N23"/>
  <c r="N26"/>
  <c r="N31"/>
  <c r="N41"/>
  <c r="P220" i="6"/>
  <c r="P221"/>
  <c r="P210"/>
  <c r="P201"/>
  <c r="N218"/>
  <c r="N221"/>
  <c r="N220"/>
  <c r="P229"/>
  <c r="P228"/>
  <c r="P227"/>
  <c r="P225"/>
  <c r="P224"/>
  <c r="P193"/>
  <c r="P192"/>
  <c r="N193"/>
  <c r="N192"/>
  <c r="P171"/>
  <c r="N171"/>
  <c r="P159"/>
  <c r="N159"/>
  <c r="P164"/>
  <c r="P166"/>
  <c r="P167"/>
  <c r="P152"/>
  <c r="P154"/>
  <c r="N152"/>
  <c r="P132"/>
  <c r="P99"/>
  <c r="P20"/>
  <c r="P13"/>
  <c r="P8"/>
  <c r="P10"/>
  <c r="P7"/>
  <c r="P6"/>
  <c r="F28" i="14"/>
  <c r="G28"/>
  <c r="I28"/>
  <c r="J28"/>
  <c r="K28"/>
  <c r="L28"/>
  <c r="F29"/>
  <c r="G29"/>
  <c r="I29"/>
  <c r="J29"/>
  <c r="K29"/>
  <c r="K30"/>
  <c r="J30"/>
  <c r="I30"/>
  <c r="G30"/>
  <c r="F30"/>
  <c r="L26"/>
  <c r="L25"/>
  <c r="L24"/>
  <c r="L22"/>
  <c r="L21"/>
  <c r="L19"/>
  <c r="L18"/>
  <c r="L17"/>
  <c r="L14"/>
  <c r="L13"/>
  <c r="P71" i="1"/>
  <c r="P61"/>
  <c r="P55"/>
  <c r="P73"/>
  <c r="P23"/>
  <c r="P16"/>
  <c r="P10"/>
  <c r="P29"/>
  <c r="P36"/>
  <c r="P38"/>
  <c r="P79"/>
  <c r="N71"/>
  <c r="N61"/>
  <c r="N55"/>
  <c r="N73"/>
  <c r="N23"/>
  <c r="N16"/>
  <c r="N10"/>
  <c r="N29"/>
  <c r="N36"/>
  <c r="N38"/>
  <c r="N79"/>
  <c r="O112" i="11"/>
  <c r="O119"/>
  <c r="N236" i="6"/>
  <c r="N68" i="11"/>
  <c r="N213" i="6"/>
  <c r="P174"/>
  <c r="N174"/>
  <c r="N214"/>
  <c r="P213"/>
  <c r="N160"/>
  <c r="N21"/>
  <c r="N161"/>
  <c r="P21"/>
  <c r="N227"/>
  <c r="N228"/>
  <c r="N225"/>
  <c r="N224"/>
  <c r="N195"/>
  <c r="P187"/>
  <c r="N185"/>
  <c r="N187"/>
  <c r="P175"/>
  <c r="N175"/>
  <c r="N167"/>
  <c r="N166"/>
  <c r="N154"/>
  <c r="P155"/>
  <c r="N155"/>
  <c r="N147"/>
  <c r="P141"/>
  <c r="N141"/>
  <c r="N142"/>
  <c r="N131"/>
  <c r="N132"/>
  <c r="P131"/>
  <c r="P104"/>
  <c r="N98"/>
  <c r="N99"/>
  <c r="N100"/>
  <c r="N101"/>
  <c r="N102"/>
  <c r="N103"/>
  <c r="N104"/>
  <c r="P98"/>
  <c r="P100"/>
  <c r="P103"/>
  <c r="P147"/>
  <c r="P149"/>
  <c r="N149"/>
  <c r="P93"/>
  <c r="N93"/>
  <c r="N13"/>
  <c r="P9"/>
  <c r="N6"/>
  <c r="N7"/>
  <c r="P102"/>
  <c r="N20"/>
  <c r="P188"/>
  <c r="P214"/>
  <c r="N232"/>
  <c r="N231"/>
  <c r="P195"/>
  <c r="N181"/>
  <c r="P182"/>
  <c r="N182"/>
  <c r="P160"/>
  <c r="N23"/>
  <c r="P17"/>
  <c r="N17"/>
  <c r="N10"/>
  <c r="P181"/>
  <c r="P231"/>
  <c r="P232"/>
  <c r="N188"/>
  <c r="P24"/>
  <c r="N15"/>
  <c r="P23"/>
  <c r="P196"/>
  <c r="N196"/>
  <c r="P15"/>
  <c r="N9"/>
  <c r="B10"/>
  <c r="N106"/>
  <c r="N27" i="2"/>
  <c r="N235" i="6"/>
  <c r="P27" i="2"/>
  <c r="P235" i="6"/>
  <c r="P101"/>
  <c r="P106"/>
  <c r="P107"/>
  <c r="P142"/>
  <c r="N24"/>
  <c r="N107"/>
  <c r="P237"/>
  <c r="P239"/>
  <c r="P241"/>
  <c r="P244"/>
  <c r="N237"/>
  <c r="N239"/>
  <c r="N241"/>
  <c r="L220"/>
  <c r="M29" i="1"/>
  <c r="M38"/>
  <c r="M73"/>
  <c r="M79"/>
  <c r="M16" i="2"/>
  <c r="M23"/>
  <c r="L235" i="6"/>
  <c r="M8" i="3"/>
  <c r="M19"/>
  <c r="M23"/>
  <c r="M41"/>
  <c r="M44"/>
  <c r="L43"/>
  <c r="M27" i="2"/>
  <c r="L237" i="6"/>
  <c r="L239"/>
  <c r="L241"/>
  <c r="K220"/>
  <c r="L37" i="3"/>
  <c r="L18"/>
  <c r="L39"/>
  <c r="L15"/>
  <c r="L26"/>
  <c r="L31"/>
  <c r="L29" i="1"/>
  <c r="L38"/>
  <c r="L73"/>
  <c r="L79"/>
  <c r="K162" i="6"/>
  <c r="E42" i="16"/>
  <c r="G26"/>
  <c r="G42"/>
  <c r="H29" i="14"/>
  <c r="K17" i="3"/>
  <c r="K15"/>
  <c r="K18"/>
  <c r="K26"/>
  <c r="K31"/>
  <c r="K10"/>
  <c r="K8"/>
  <c r="K19"/>
  <c r="K23"/>
  <c r="K29" i="1"/>
  <c r="K38"/>
  <c r="K73"/>
  <c r="K79"/>
  <c r="K20" i="6"/>
  <c r="K23"/>
  <c r="K98"/>
  <c r="K99"/>
  <c r="K102"/>
  <c r="K152"/>
  <c r="K154"/>
  <c r="K237"/>
  <c r="K239"/>
  <c r="K241"/>
  <c r="L8" i="3"/>
  <c r="L19"/>
  <c r="L23"/>
  <c r="L41"/>
  <c r="L44"/>
  <c r="K43"/>
  <c r="L27" i="2"/>
  <c r="K175" i="6"/>
  <c r="K182"/>
  <c r="K185"/>
  <c r="K187"/>
  <c r="L29" i="14"/>
  <c r="L30"/>
  <c r="H30"/>
  <c r="K106" i="6"/>
  <c r="K170"/>
  <c r="K184"/>
  <c r="K191"/>
  <c r="J124"/>
  <c r="J128"/>
  <c r="J135"/>
  <c r="J145"/>
  <c r="J151"/>
  <c r="J158"/>
  <c r="J99"/>
  <c r="J102"/>
  <c r="K27" i="2"/>
  <c r="J175" i="6"/>
  <c r="J178"/>
  <c r="J181"/>
  <c r="J182"/>
  <c r="J185"/>
  <c r="J187"/>
  <c r="J220"/>
  <c r="J162"/>
  <c r="E44" i="16"/>
  <c r="E49"/>
  <c r="E33"/>
  <c r="D44"/>
  <c r="G44"/>
  <c r="J170" i="6"/>
  <c r="J184"/>
  <c r="J191"/>
  <c r="J106"/>
  <c r="I184"/>
  <c r="I191"/>
  <c r="I199"/>
  <c r="I217"/>
  <c r="I223"/>
  <c r="I234"/>
  <c r="I170"/>
  <c r="I177"/>
  <c r="I162"/>
  <c r="I220"/>
  <c r="G28" i="16"/>
  <c r="G33"/>
  <c r="J29" i="1"/>
  <c r="J38"/>
  <c r="J73"/>
  <c r="J79"/>
  <c r="K37" i="3"/>
  <c r="K39"/>
  <c r="K41"/>
  <c r="K44"/>
  <c r="J43"/>
  <c r="J18"/>
  <c r="J15"/>
  <c r="I237" i="6"/>
  <c r="I239"/>
  <c r="I241"/>
  <c r="J8" i="3"/>
  <c r="I58" i="11"/>
  <c r="I15" i="3"/>
  <c r="I26"/>
  <c r="I31"/>
  <c r="I10"/>
  <c r="I29" i="1"/>
  <c r="I38"/>
  <c r="J26" i="3"/>
  <c r="J31"/>
  <c r="J37"/>
  <c r="J39"/>
  <c r="G43" i="16"/>
  <c r="G49"/>
  <c r="D49"/>
  <c r="I106" i="6"/>
  <c r="J19" i="3"/>
  <c r="J23"/>
  <c r="J41"/>
  <c r="J44"/>
  <c r="I43"/>
  <c r="I178" i="6"/>
  <c r="I181"/>
  <c r="I185"/>
  <c r="I187"/>
  <c r="I154"/>
  <c r="H184"/>
  <c r="H191"/>
  <c r="H199"/>
  <c r="H217"/>
  <c r="H223"/>
  <c r="H234"/>
  <c r="H170"/>
  <c r="H177"/>
  <c r="H162"/>
  <c r="H220"/>
  <c r="I37" i="3"/>
  <c r="I39"/>
  <c r="H23" i="6"/>
  <c r="H106"/>
  <c r="H66" i="12"/>
  <c r="H90"/>
  <c r="G184" i="6"/>
  <c r="G191"/>
  <c r="G199"/>
  <c r="G217"/>
  <c r="G223"/>
  <c r="G234"/>
  <c r="G170"/>
  <c r="G177"/>
  <c r="G162"/>
  <c r="G220"/>
  <c r="G104" i="12"/>
  <c r="H25" i="2"/>
  <c r="H18" i="3"/>
  <c r="G107" i="12"/>
  <c r="H70" i="1"/>
  <c r="I21" i="2"/>
  <c r="H98" i="12"/>
  <c r="H99"/>
  <c r="H102"/>
  <c r="H178" i="6"/>
  <c r="H181"/>
  <c r="H185"/>
  <c r="H187"/>
  <c r="H103" i="12"/>
  <c r="H104"/>
  <c r="I25" i="2"/>
  <c r="I18" i="3"/>
  <c r="H107" i="12"/>
  <c r="I78" i="11"/>
  <c r="H77"/>
  <c r="G77"/>
  <c r="H232" i="6"/>
  <c r="I23" i="2"/>
  <c r="H235" i="6"/>
  <c r="I8" i="3"/>
  <c r="I19"/>
  <c r="I23"/>
  <c r="I41"/>
  <c r="I44"/>
  <c r="H43"/>
  <c r="I27" i="2"/>
  <c r="I70" i="1"/>
  <c r="I68" i="11"/>
  <c r="I67"/>
  <c r="I112"/>
  <c r="I119"/>
  <c r="I71" i="1"/>
  <c r="I73"/>
  <c r="I79"/>
  <c r="H237" i="6"/>
  <c r="H239"/>
  <c r="H241"/>
  <c r="G10"/>
  <c r="H10" i="1"/>
  <c r="H29"/>
  <c r="G23" i="6"/>
  <c r="H15" i="3"/>
  <c r="H36" i="1"/>
  <c r="H38"/>
  <c r="H26" i="3"/>
  <c r="H31"/>
  <c r="H10"/>
  <c r="H14" i="2"/>
  <c r="G196" i="6"/>
  <c r="G175"/>
  <c r="H16" i="2"/>
  <c r="H23"/>
  <c r="G235" i="6"/>
  <c r="H8" i="3"/>
  <c r="H27" i="2"/>
  <c r="G237" i="6"/>
  <c r="G239"/>
  <c r="G241"/>
  <c r="H19" i="3"/>
  <c r="H23"/>
  <c r="H69" i="1"/>
  <c r="H68" i="11"/>
  <c r="H67"/>
  <c r="H112"/>
  <c r="H119"/>
  <c r="G178" i="6"/>
  <c r="G181"/>
  <c r="G182"/>
  <c r="G185"/>
  <c r="G187"/>
  <c r="O15" i="23"/>
  <c r="P15"/>
  <c r="O14"/>
  <c r="P14"/>
  <c r="O13"/>
  <c r="P13"/>
  <c r="O12"/>
  <c r="P12"/>
  <c r="H18"/>
  <c r="H37" i="3"/>
  <c r="H39"/>
  <c r="H41"/>
  <c r="H44"/>
  <c r="G43"/>
  <c r="H71" i="1"/>
  <c r="H73"/>
  <c r="H79"/>
  <c r="F10" i="6"/>
  <c r="F162"/>
  <c r="F220"/>
  <c r="F104" i="12"/>
  <c r="G26" i="3"/>
  <c r="G31"/>
  <c r="G10"/>
  <c r="G16" i="2"/>
  <c r="G23"/>
  <c r="G13" i="1"/>
  <c r="F21" i="6"/>
  <c r="G38" i="11"/>
  <c r="G31"/>
  <c r="G58"/>
  <c r="G8" i="3"/>
  <c r="F235" i="6"/>
  <c r="F237"/>
  <c r="F239"/>
  <c r="F241"/>
  <c r="G25" i="2"/>
  <c r="F107" i="12"/>
  <c r="G78" i="11"/>
  <c r="G15" i="3"/>
  <c r="G16" i="1"/>
  <c r="G29"/>
  <c r="G38"/>
  <c r="G70"/>
  <c r="G18" i="3"/>
  <c r="G27" i="2"/>
  <c r="E311" i="25"/>
  <c r="G19" i="3"/>
  <c r="G23"/>
  <c r="F23" i="6"/>
  <c r="F106"/>
  <c r="P11" i="23"/>
  <c r="P10"/>
  <c r="P9"/>
  <c r="P8"/>
  <c r="P7"/>
  <c r="P6"/>
  <c r="P25"/>
  <c r="P37"/>
  <c r="P5"/>
  <c r="O16"/>
  <c r="P16"/>
  <c r="G69" i="1"/>
  <c r="G68" i="11"/>
  <c r="G67"/>
  <c r="G112"/>
  <c r="G119"/>
  <c r="F178" i="6"/>
  <c r="F181"/>
  <c r="F185"/>
  <c r="F187"/>
  <c r="G71" i="1"/>
  <c r="G73"/>
  <c r="G79"/>
  <c r="G37" i="3"/>
  <c r="G39"/>
  <c r="G41"/>
  <c r="G44"/>
  <c r="F43"/>
  <c r="G122" i="6"/>
  <c r="E20"/>
  <c r="E23"/>
  <c r="E162"/>
  <c r="E220"/>
  <c r="F38" i="1"/>
  <c r="F26" i="3"/>
  <c r="F31"/>
  <c r="F10"/>
  <c r="F16" i="2"/>
  <c r="F23"/>
  <c r="E235" i="6"/>
  <c r="F70" i="1"/>
  <c r="F8" i="3"/>
  <c r="F27" i="2"/>
  <c r="F184" i="6"/>
  <c r="F191"/>
  <c r="F199"/>
  <c r="F217"/>
  <c r="F223"/>
  <c r="F234"/>
  <c r="F170"/>
  <c r="F177"/>
  <c r="E110"/>
  <c r="F15" i="3"/>
  <c r="F19"/>
  <c r="F23"/>
  <c r="F77" i="11"/>
  <c r="E77"/>
  <c r="E237" i="6"/>
  <c r="E239"/>
  <c r="E241"/>
  <c r="F69" i="1"/>
  <c r="F68" i="11"/>
  <c r="F67"/>
  <c r="F112"/>
  <c r="F119"/>
  <c r="E178" i="6"/>
  <c r="E181"/>
  <c r="E185"/>
  <c r="E187"/>
  <c r="O51" i="23"/>
  <c r="O63"/>
  <c r="P51"/>
  <c r="P63"/>
  <c r="F37" i="3"/>
  <c r="F39"/>
  <c r="F41"/>
  <c r="F44"/>
  <c r="E43"/>
  <c r="F71" i="1"/>
  <c r="F73"/>
  <c r="F79"/>
  <c r="F332" i="25"/>
  <c r="F340"/>
  <c r="D135" i="6"/>
  <c r="D151"/>
  <c r="D158"/>
  <c r="D170"/>
  <c r="D177"/>
  <c r="D184"/>
  <c r="D191"/>
  <c r="D199"/>
  <c r="D217"/>
  <c r="D223"/>
  <c r="D234"/>
  <c r="D110"/>
  <c r="D162"/>
  <c r="D124"/>
  <c r="D128"/>
  <c r="D133"/>
  <c r="D145"/>
  <c r="D220"/>
  <c r="E15" i="3"/>
  <c r="E38" i="1"/>
  <c r="E26" i="3"/>
  <c r="E31"/>
  <c r="E10"/>
  <c r="E16" i="2"/>
  <c r="E23"/>
  <c r="D235" i="6"/>
  <c r="E8" i="3"/>
  <c r="D239" i="6"/>
  <c r="D237"/>
  <c r="D241"/>
  <c r="E25" i="2"/>
  <c r="D107" i="12"/>
  <c r="E78" i="11"/>
  <c r="D77" s="1"/>
  <c r="E70" i="1"/>
  <c r="H12" i="13"/>
  <c r="E18" i="3"/>
  <c r="E27" i="2"/>
  <c r="D26" i="3"/>
  <c r="D31"/>
  <c r="D10"/>
  <c r="D16" i="2"/>
  <c r="D23"/>
  <c r="C235" i="6"/>
  <c r="D8" i="3"/>
  <c r="D29" i="1"/>
  <c r="D38"/>
  <c r="I65" i="23"/>
  <c r="O73"/>
  <c r="O85"/>
  <c r="P73"/>
  <c r="P85"/>
  <c r="H87"/>
  <c r="G90"/>
  <c r="C104" i="12"/>
  <c r="D178" i="6"/>
  <c r="D181"/>
  <c r="D185"/>
  <c r="D187"/>
  <c r="E69" i="1"/>
  <c r="E71"/>
  <c r="E73"/>
  <c r="E79"/>
  <c r="E68" i="11"/>
  <c r="E67"/>
  <c r="E112"/>
  <c r="E119"/>
  <c r="E37" i="3"/>
  <c r="E39"/>
  <c r="I7" i="13"/>
  <c r="K7"/>
  <c r="E19" i="3"/>
  <c r="E23"/>
  <c r="E41"/>
  <c r="E44"/>
  <c r="D43"/>
  <c r="C107" i="12"/>
  <c r="D25" i="2"/>
  <c r="D18" i="3"/>
  <c r="D27" i="2"/>
  <c r="C135" i="6"/>
  <c r="C151"/>
  <c r="C158"/>
  <c r="C110"/>
  <c r="C162"/>
  <c r="C124"/>
  <c r="C128"/>
  <c r="C133"/>
  <c r="C145"/>
  <c r="C220"/>
  <c r="C184"/>
  <c r="C191"/>
  <c r="C199"/>
  <c r="C217"/>
  <c r="C223"/>
  <c r="C234"/>
  <c r="C170"/>
  <c r="C177"/>
  <c r="C239"/>
  <c r="C241"/>
  <c r="C237"/>
  <c r="H16" i="13"/>
  <c r="K12"/>
  <c r="I12"/>
  <c r="C142" i="6"/>
  <c r="C139"/>
  <c r="C141"/>
  <c r="D19" i="3"/>
  <c r="D23"/>
  <c r="C106" i="6"/>
  <c r="C178"/>
  <c r="C181"/>
  <c r="C185"/>
  <c r="C187"/>
  <c r="I16" i="13"/>
  <c r="H23"/>
  <c r="K16"/>
  <c r="K23"/>
  <c r="I23"/>
  <c r="D68" i="11" l="1"/>
  <c r="D67" s="1"/>
  <c r="D112" s="1"/>
  <c r="D119" s="1"/>
  <c r="D69" i="1"/>
  <c r="D37" i="3" l="1"/>
  <c r="D39" s="1"/>
  <c r="D41" s="1"/>
  <c r="D44" s="1"/>
  <c r="D71" i="1"/>
  <c r="D73" s="1"/>
  <c r="D79" s="1"/>
</calcChain>
</file>

<file path=xl/sharedStrings.xml><?xml version="1.0" encoding="utf-8"?>
<sst xmlns="http://schemas.openxmlformats.org/spreadsheetml/2006/main" count="2220" uniqueCount="1064">
  <si>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</si>
  <si>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</si>
  <si>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</si>
  <si>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</si>
  <si>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</si>
  <si>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</si>
  <si>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</si>
  <si>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</si>
  <si>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</si>
  <si>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</si>
  <si>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</si>
  <si>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</si>
  <si>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</si>
  <si>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</si>
  <si>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</si>
  <si>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</si>
  <si>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</si>
  <si>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</si>
  <si>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</si>
  <si>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</si>
  <si>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</si>
  <si>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</si>
  <si>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</si>
  <si>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</si>
  <si>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</si>
  <si>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</si>
  <si>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</si>
  <si>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</si>
  <si>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</si>
  <si>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</si>
  <si>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</si>
  <si>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</si>
  <si>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</si>
  <si>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</si>
  <si>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</si>
  <si>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</si>
  <si>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</si>
  <si>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</si>
  <si>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</si>
  <si>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</si>
  <si>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</si>
  <si>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</si>
  <si>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</si>
  <si>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</si>
  <si>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</si>
  <si>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</si>
  <si>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</si>
  <si>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</si>
  <si>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</si>
  <si>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</si>
  <si>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</si>
  <si>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</si>
  <si>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</si>
  <si>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</si>
  <si>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</si>
  <si>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</si>
  <si>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</si>
  <si>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</si>
  <si>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</si>
  <si>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</si>
  <si>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</si>
  <si>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</si>
  <si>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</si>
  <si>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</si>
  <si>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</si>
  <si>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</si>
  <si>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</si>
  <si>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</si>
  <si>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</si>
  <si>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</si>
  <si>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</si>
  <si>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</si>
  <si>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</si>
  <si>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</si>
  <si>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</si>
  <si>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</si>
  <si>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</si>
  <si>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</si>
  <si>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</si>
  <si>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</si>
  <si>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</si>
  <si>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</si>
  <si>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</si>
  <si>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</si>
  <si>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</si>
  <si>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</si>
  <si>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</si>
  <si>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</si>
  <si>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Viti 2008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</si>
  <si>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</si>
  <si>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</si>
  <si>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</si>
  <si>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</si>
  <si>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</si>
  <si>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VITI 2008</t>
  </si>
  <si>
    <t>Te tjera detyrime</t>
  </si>
  <si>
    <t>VITI 2007</t>
  </si>
  <si>
    <t>(shumat ne Leke)</t>
  </si>
  <si>
    <t>Dif Konvertimi</t>
  </si>
  <si>
    <t>TE TJERA SHENIMET</t>
  </si>
  <si>
    <t>31 Dhjetor 2007</t>
  </si>
  <si>
    <t>Para ne dore</t>
  </si>
  <si>
    <t>Para ne Banka</t>
  </si>
  <si>
    <t>Magazinat</t>
  </si>
  <si>
    <t>Klientet</t>
  </si>
  <si>
    <t>Furnitoret</t>
  </si>
  <si>
    <t>Tatim Page</t>
  </si>
  <si>
    <t>Tatim Fitimi</t>
  </si>
  <si>
    <t>TVSH</t>
  </si>
  <si>
    <t>Sigurime shoqerore</t>
  </si>
  <si>
    <t>31 Dhjetor 2008</t>
  </si>
  <si>
    <t>Pasivet Afatshkurter</t>
  </si>
  <si>
    <t xml:space="preserve">Paga  </t>
  </si>
  <si>
    <t>Te tjera</t>
  </si>
  <si>
    <t>Fitim nga kembime valutore</t>
  </si>
  <si>
    <t>Te ardhura te tjera</t>
  </si>
  <si>
    <t>Shpenzim nga kembime valutore</t>
  </si>
  <si>
    <t>Shpenzime te tjera</t>
  </si>
  <si>
    <t>Fitim Bruto</t>
  </si>
  <si>
    <t>Shpenzime te pa njohura</t>
  </si>
  <si>
    <t>Baza llogaritjes Tatimit</t>
  </si>
  <si>
    <t>Viti  2007</t>
  </si>
  <si>
    <t>% e tatim Fitimit</t>
  </si>
  <si>
    <t>Fitimi NETO</t>
  </si>
  <si>
    <t>Ortake</t>
  </si>
  <si>
    <t>Diferenca nga kembimi</t>
  </si>
  <si>
    <t>Punonjes</t>
  </si>
  <si>
    <t>Shpenzime interesa huaje</t>
  </si>
  <si>
    <t>Te ardhura nga interesat</t>
  </si>
  <si>
    <t>Produkte te Gatshme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</si>
  <si>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</si>
  <si>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</si>
  <si>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</si>
  <si>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</si>
  <si>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</si>
  <si>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</si>
  <si>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</si>
  <si>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</si>
  <si>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</si>
  <si>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</si>
  <si>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</si>
  <si>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</si>
  <si>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</si>
  <si>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Sherbime bankare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</si>
  <si>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</si>
  <si>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</si>
  <si>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</si>
  <si>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</si>
  <si>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</si>
  <si>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</si>
  <si>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</si>
  <si>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</si>
  <si>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</si>
  <si>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</si>
  <si>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</si>
  <si>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</si>
  <si>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</si>
  <si>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</si>
  <si>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</si>
  <si>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</si>
  <si>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</si>
  <si>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</si>
  <si>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</si>
  <si>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</si>
  <si>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</si>
  <si>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</si>
  <si>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</si>
  <si>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</si>
  <si>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</si>
  <si>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</si>
  <si>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</si>
  <si>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</si>
  <si>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</si>
  <si>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</si>
  <si>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</si>
  <si>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</si>
  <si>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</si>
  <si>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</si>
  <si>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</si>
  <si>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</si>
  <si>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</si>
  <si>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</si>
  <si>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</si>
  <si>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</si>
  <si>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</si>
  <si>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</si>
  <si>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</si>
  <si>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</si>
  <si>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</si>
  <si>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</si>
  <si>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</si>
  <si>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</si>
  <si>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</si>
  <si>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</si>
  <si>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</si>
  <si>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</si>
  <si>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</si>
  <si>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</si>
  <si>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</si>
  <si>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</si>
  <si>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</si>
  <si>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</si>
  <si>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</si>
  <si>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</si>
  <si>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</si>
  <si>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</si>
  <si>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</si>
  <si>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</si>
  <si>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</si>
  <si>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</si>
  <si>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</si>
  <si>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</si>
  <si>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</si>
  <si>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</si>
  <si>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</si>
  <si>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</si>
  <si>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</si>
  <si>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</si>
  <si>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</si>
  <si>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</si>
  <si>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</si>
  <si>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</si>
  <si>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</si>
  <si>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</si>
  <si>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</si>
  <si>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</si>
  <si>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</si>
  <si>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</si>
  <si>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</si>
  <si>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</si>
  <si>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</si>
  <si>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</si>
  <si>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</si>
  <si>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</si>
  <si>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Vlera arke te tjera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</si>
  <si>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</si>
  <si>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</si>
  <si>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</si>
  <si>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</si>
  <si>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</si>
  <si>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</si>
  <si>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</si>
  <si>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</si>
  <si>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</si>
  <si>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</si>
  <si>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</si>
  <si>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</si>
  <si>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</si>
  <si>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</si>
  <si>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</si>
  <si>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</si>
  <si>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</si>
  <si>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</si>
  <si>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</si>
  <si>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</si>
  <si>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</si>
  <si>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</si>
  <si>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</si>
  <si>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</si>
  <si>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</si>
  <si>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</si>
  <si>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</si>
  <si>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</si>
  <si>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</si>
  <si>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</si>
  <si>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</si>
  <si>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</si>
  <si>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</si>
  <si>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</si>
  <si>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</si>
  <si>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</si>
  <si>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</si>
  <si>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</si>
  <si>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</si>
  <si>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</si>
  <si>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</si>
  <si>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</si>
  <si>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</si>
  <si>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</si>
  <si>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</si>
  <si>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</si>
  <si>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</si>
  <si>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</si>
  <si>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</si>
  <si>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</si>
  <si>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</si>
  <si>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</si>
  <si>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</si>
  <si>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</si>
  <si>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</si>
  <si>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</si>
  <si>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</si>
  <si>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</si>
  <si>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</si>
  <si>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</si>
  <si>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</si>
  <si>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</si>
  <si>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</si>
  <si>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</si>
  <si>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</si>
  <si>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</si>
  <si>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</si>
  <si>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</si>
  <si>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</si>
  <si>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</si>
  <si>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</si>
  <si>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</si>
  <si>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</si>
  <si>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</si>
  <si>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</si>
  <si>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</si>
  <si>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</si>
  <si>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</si>
  <si>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</si>
  <si>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</si>
  <si>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</si>
  <si>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</si>
  <si>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</si>
  <si>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</si>
  <si>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</si>
  <si>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</si>
  <si>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</si>
  <si>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</si>
  <si>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</si>
  <si>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</si>
  <si>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</si>
  <si>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</si>
  <si>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Sigurime Shoqerore dhe te Ngjashme</t>
  </si>
  <si>
    <t>86</t>
  </si>
  <si>
    <t>Shteti - Tatime dhe Taksa</t>
  </si>
  <si>
    <t>87</t>
  </si>
  <si>
    <t>g</t>
  </si>
  <si>
    <t>88</t>
  </si>
  <si>
    <t>i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</si>
  <si>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</si>
  <si>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</si>
  <si>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</si>
  <si>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</si>
  <si>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</si>
  <si>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</si>
  <si>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</si>
  <si>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</si>
  <si>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</si>
  <si>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</si>
  <si>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</si>
  <si>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</si>
  <si>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</si>
  <si>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</si>
  <si>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</si>
  <si>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</si>
  <si>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</si>
  <si>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</si>
  <si>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</si>
  <si>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</si>
  <si>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</si>
  <si>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</si>
  <si>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</si>
  <si>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</si>
  <si>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</si>
  <si>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</si>
  <si>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</si>
  <si>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</si>
  <si>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</si>
  <si>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</si>
  <si>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</si>
  <si>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</si>
  <si>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</si>
  <si>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</si>
  <si>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</si>
  <si>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</si>
  <si>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</si>
  <si>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</si>
  <si>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</si>
  <si>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</si>
  <si>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</si>
  <si>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</si>
  <si>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</si>
  <si>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</si>
  <si>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</si>
  <si>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</si>
  <si>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</si>
  <si>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</si>
  <si>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</si>
  <si>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</si>
  <si>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</si>
  <si>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</si>
  <si>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</si>
  <si>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</si>
  <si>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</si>
  <si>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</si>
  <si>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</si>
  <si>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</si>
  <si>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</si>
  <si>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</si>
  <si>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</si>
  <si>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</si>
  <si>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</si>
  <si>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</si>
  <si>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</si>
  <si>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</si>
  <si>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</si>
  <si>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</si>
  <si>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</si>
  <si>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</si>
  <si>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</si>
  <si>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</si>
  <si>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</si>
  <si>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</si>
  <si>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</si>
  <si>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</si>
  <si>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</si>
  <si>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</si>
  <si>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</si>
  <si>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</si>
  <si>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</si>
  <si>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</si>
  <si>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</si>
  <si>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</si>
  <si>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</si>
  <si>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</si>
  <si>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</si>
  <si>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</si>
  <si>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</si>
  <si>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</si>
  <si>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</si>
  <si>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</si>
  <si>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</si>
  <si>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</si>
  <si>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</si>
  <si>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</si>
  <si>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</si>
  <si>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Kliente</t>
  </si>
  <si>
    <t>Shuma te arketuara per porosi</t>
  </si>
  <si>
    <t>Diferenca konvertimi</t>
  </si>
  <si>
    <t>Hua Bankare</t>
  </si>
  <si>
    <t>Hua afatgjata</t>
  </si>
  <si>
    <t>Shpenzimet e shtyra</t>
  </si>
  <si>
    <t>Te ardhura nga shitja e AQ</t>
  </si>
  <si>
    <t>Blerje mallra dhe te tjera</t>
  </si>
  <si>
    <t>Mallra dhe te ardhura nga sherbime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</si>
  <si>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</si>
  <si>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</si>
  <si>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</si>
  <si>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</si>
  <si>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</si>
  <si>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</si>
  <si>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</si>
  <si>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</si>
  <si>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</si>
  <si>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</si>
  <si>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</si>
  <si>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Viti 2007  (riklasifikuar)</t>
  </si>
  <si>
    <t>ADMINISTRATORI</t>
  </si>
  <si>
    <t>KONTABILISTE</t>
  </si>
  <si>
    <t xml:space="preserve"> Shoqeria  "Benimpex &amp; Co "    sh p k </t>
  </si>
  <si>
    <t xml:space="preserve"> Shoqeria  "Benimpex &amp; Co"    sh p k </t>
  </si>
  <si>
    <t>Vlefta 2008</t>
  </si>
  <si>
    <t>Vlefta 2007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</si>
  <si>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</si>
  <si>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</si>
  <si>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</si>
  <si>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</si>
  <si>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</si>
  <si>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</si>
  <si>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</si>
  <si>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</si>
  <si>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</si>
  <si>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</si>
  <si>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</si>
  <si>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</si>
  <si>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</si>
  <si>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</si>
  <si>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</si>
  <si>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</si>
  <si>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Totali i të ardhurave apo  shpenzimeve, që nuk janë njohur  në pasqyrën e të ardhurave dhe  shpenzimeve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</si>
  <si>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</si>
  <si>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</si>
  <si>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</si>
  <si>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</si>
  <si>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</si>
  <si>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</si>
  <si>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</si>
  <si>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</si>
  <si>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</si>
  <si>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</si>
  <si>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</si>
  <si>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</si>
  <si>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</si>
  <si>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</si>
  <si>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</si>
  <si>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</si>
  <si>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</si>
  <si>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</si>
  <si>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</si>
  <si>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</si>
  <si>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</si>
  <si>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</si>
  <si>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</si>
  <si>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</si>
  <si>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</si>
  <si>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</si>
  <si>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</si>
  <si>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</si>
  <si>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</si>
  <si>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</si>
  <si>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</si>
  <si>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</si>
  <si>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</si>
  <si>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</si>
  <si>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</si>
  <si>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</si>
  <si>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</si>
  <si>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</si>
  <si>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</si>
  <si>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</si>
  <si>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</si>
  <si>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Antea Cement</t>
  </si>
  <si>
    <t>Albanian Chrome</t>
  </si>
  <si>
    <t>Amadeus Group</t>
  </si>
  <si>
    <t>Food Service Albania</t>
  </si>
  <si>
    <t>Frali shpk</t>
  </si>
  <si>
    <t>Genex International</t>
  </si>
  <si>
    <t>Gerondi</t>
  </si>
  <si>
    <t>Kredi Usd -Fondi Amerikan Nderrmarrjeve</t>
  </si>
  <si>
    <t>Page Punonjesh</t>
  </si>
  <si>
    <t>Kerkese mbi debitoret Shteti</t>
  </si>
  <si>
    <t>Te ardhura nga kryerja e sherbimeve</t>
  </si>
  <si>
    <t>Te Ardhurat</t>
  </si>
  <si>
    <t>Bl.energji,avull,uje</t>
  </si>
  <si>
    <t>Qira</t>
  </si>
  <si>
    <t>Personel nga jashte ndermarjes</t>
  </si>
  <si>
    <t>Reklame, publicitet</t>
  </si>
  <si>
    <t>Shpz.postare e telekom.</t>
  </si>
  <si>
    <t>Te tjera tatime e taksa</t>
  </si>
  <si>
    <t>Penalitete,gjoba,demshperblime</t>
  </si>
  <si>
    <t>Blerje Kancelari dhe shtypshkrime doganore</t>
  </si>
  <si>
    <t>Amortizime dhe provizione</t>
  </si>
  <si>
    <t>Amortizimi AQT</t>
  </si>
  <si>
    <t>Shpenzime Siguracione Agjenise doganore dhe te tj</t>
  </si>
  <si>
    <t>Vlefta 2006</t>
  </si>
  <si>
    <t>Ushtrimi 2006</t>
  </si>
  <si>
    <t>Viti 2006  (riklasifikuar)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</si>
  <si>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</si>
  <si>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</si>
  <si>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</si>
  <si>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</si>
  <si>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</si>
  <si>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</si>
  <si>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</si>
  <si>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</si>
  <si>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</si>
  <si>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</si>
  <si>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</si>
  <si>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</si>
  <si>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</si>
  <si>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t xml:space="preserve">BENIMPEX &amp; CO, Shoqëri  me   përgjegjesi  të  kufizuar </t>
  </si>
  <si>
    <t>J61827087M</t>
  </si>
  <si>
    <t xml:space="preserve">Rr.Abdyl Frashëri,Pall I Ri Jeshil 2/2- Tirana </t>
  </si>
  <si>
    <t>18 Janar 1996</t>
  </si>
  <si>
    <t>Agjensi Doganore Dhe Spedicion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</si>
  <si>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</si>
  <si>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</si>
  <si>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</si>
  <si>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>Ushtrimi   07</t>
  </si>
  <si>
    <t>Ushtrimi 08</t>
  </si>
  <si>
    <t>Ushtrimi 09</t>
  </si>
  <si>
    <t>Vlefta 2009</t>
  </si>
  <si>
    <t>Viti 2009</t>
  </si>
  <si>
    <t>VITI 2009</t>
  </si>
  <si>
    <t>31 Dhjetor 2009</t>
  </si>
  <si>
    <t xml:space="preserve"> </t>
  </si>
  <si>
    <t>Ortaku</t>
  </si>
  <si>
    <t>Ngurtesim Banke</t>
  </si>
  <si>
    <t>Pajisje zyre</t>
  </si>
  <si>
    <t>dhe te tjera</t>
  </si>
  <si>
    <t>Gio &amp; Shoes</t>
  </si>
  <si>
    <t>Galeria Komb Arteve</t>
  </si>
  <si>
    <t>Go Distribution Al</t>
  </si>
  <si>
    <t>Shaga</t>
  </si>
  <si>
    <t>Tirana</t>
  </si>
  <si>
    <t>Vlefta 2010</t>
  </si>
  <si>
    <t>Te tjera-gjoba</t>
  </si>
  <si>
    <t>Ushtrimi 10</t>
  </si>
  <si>
    <t>Viti 2010</t>
  </si>
  <si>
    <t>VITI 2010</t>
  </si>
  <si>
    <t>31 Dhjetor 2010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</si>
  <si>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</si>
  <si>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</si>
  <si>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</si>
  <si>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</si>
  <si>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</si>
  <si>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</si>
  <si>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</si>
  <si>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</si>
  <si>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 xml:space="preserve">             TOTALI</t>
  </si>
  <si>
    <t>Makineri,paisje,vegla</t>
  </si>
  <si>
    <t>Administratori</t>
  </si>
  <si>
    <r>
      <t xml:space="preserve">Shoqeria </t>
    </r>
    <r>
      <rPr>
        <b/>
        <i/>
        <u/>
        <sz val="12"/>
        <rFont val="Arial"/>
        <family val="2"/>
      </rPr>
      <t>Benimpex &amp; Co</t>
    </r>
  </si>
  <si>
    <r>
      <t xml:space="preserve">NIPTI </t>
    </r>
    <r>
      <rPr>
        <b/>
        <i/>
        <u/>
        <sz val="10"/>
        <rFont val="Arial"/>
        <family val="2"/>
      </rPr>
      <t>J61827087M</t>
    </r>
  </si>
  <si>
    <t>kompjuterike,zyre,etj</t>
  </si>
  <si>
    <t>2 At</t>
  </si>
  <si>
    <t>Joan 2000</t>
  </si>
  <si>
    <t>La Mozarela</t>
  </si>
  <si>
    <t xml:space="preserve">Inventari   i   automjeteve  ne  pronesi   te  Subjektit </t>
  </si>
  <si>
    <t>rend</t>
  </si>
  <si>
    <t xml:space="preserve">Lloji   I   automjetit </t>
  </si>
  <si>
    <t>Kapaciteti</t>
  </si>
  <si>
    <t xml:space="preserve">Targa </t>
  </si>
  <si>
    <t xml:space="preserve">Vlera </t>
  </si>
  <si>
    <t>Per Drejtimin e Shoqerise</t>
  </si>
  <si>
    <r>
      <t xml:space="preserve">Firma  </t>
    </r>
    <r>
      <rPr>
        <u/>
        <sz val="14"/>
        <rFont val="Arial"/>
        <family val="2"/>
      </rPr>
      <t xml:space="preserve"> Benimpex &amp; Co shpk</t>
    </r>
  </si>
  <si>
    <t xml:space="preserve">I N V E N T A R I  i </t>
  </si>
  <si>
    <t xml:space="preserve">Mallrave </t>
  </si>
  <si>
    <t>Nr.</t>
  </si>
  <si>
    <t>Artikulli</t>
  </si>
  <si>
    <t>Nj / M</t>
  </si>
  <si>
    <t>Kosto</t>
  </si>
  <si>
    <t>Vlera</t>
  </si>
  <si>
    <t>Shuma</t>
  </si>
  <si>
    <t xml:space="preserve">Per Drejtimin e Shoqerise </t>
  </si>
  <si>
    <t>V.O.Kjo pasqyre do te plotesohet e vecante per</t>
  </si>
  <si>
    <t>Lenden e Pare ; Mallrat ; Produktin e Gateshem dhe Prodhimin ne Proces</t>
  </si>
  <si>
    <t>Kamion</t>
  </si>
  <si>
    <t>6.5t</t>
  </si>
  <si>
    <t>jashteperdorimit</t>
  </si>
  <si>
    <t>Koka Terheqese</t>
  </si>
  <si>
    <r>
      <t xml:space="preserve">Subjekti   </t>
    </r>
    <r>
      <rPr>
        <u/>
        <sz val="14"/>
        <rFont val="Arial"/>
        <family val="2"/>
      </rPr>
      <t>Benimpex &amp; Co</t>
    </r>
  </si>
  <si>
    <r>
      <t xml:space="preserve">NIPT   </t>
    </r>
    <r>
      <rPr>
        <u/>
        <sz val="14"/>
        <rFont val="Arial"/>
        <family val="2"/>
      </rPr>
      <t>J61827087M</t>
    </r>
  </si>
  <si>
    <r>
      <t xml:space="preserve">Aktiviteti   </t>
    </r>
    <r>
      <rPr>
        <u/>
        <sz val="14"/>
        <rFont val="Arial"/>
        <family val="2"/>
      </rPr>
      <t>Sherbim Doganor dhe Spedicion</t>
    </r>
  </si>
  <si>
    <r>
      <t xml:space="preserve">Telefoni  </t>
    </r>
    <r>
      <rPr>
        <b/>
        <u/>
        <sz val="12"/>
        <rFont val="Arial"/>
        <family val="2"/>
      </rPr>
      <t>2248309</t>
    </r>
    <r>
      <rPr>
        <sz val="12"/>
        <rFont val="Arial"/>
        <family val="2"/>
      </rPr>
      <t xml:space="preserve"> </t>
    </r>
  </si>
  <si>
    <r>
      <t xml:space="preserve">Adresa Vep. </t>
    </r>
    <r>
      <rPr>
        <u/>
        <sz val="14"/>
        <rFont val="Arial"/>
        <family val="2"/>
      </rPr>
      <t xml:space="preserve"> Abdyl Frasheri,Pall I Ri Jeshil 2/2</t>
    </r>
  </si>
  <si>
    <t>Vlefta 2011</t>
  </si>
  <si>
    <t>Ushtrimi 11</t>
  </si>
  <si>
    <t>Viti 2011</t>
  </si>
  <si>
    <t>VITI 2011</t>
  </si>
  <si>
    <t>31 Dhjetor 2011</t>
  </si>
  <si>
    <t>30 Dhjetor 2011</t>
  </si>
  <si>
    <t>Favina</t>
  </si>
  <si>
    <t>Kriket 1</t>
  </si>
  <si>
    <t>AEE shpk</t>
  </si>
  <si>
    <t>Diamant</t>
  </si>
  <si>
    <t>Vlera kontabel e aktiveve te shitura</t>
  </si>
  <si>
    <t>Vlefta 2012</t>
  </si>
  <si>
    <t>Ushtrimi 12</t>
  </si>
  <si>
    <t>Te Tjera Detyrime sigal uniqa</t>
  </si>
  <si>
    <t>Viti 2012</t>
  </si>
  <si>
    <t>VITI 2012</t>
  </si>
  <si>
    <t xml:space="preserve">                              KONTABILISTE</t>
  </si>
  <si>
    <t>31 Dhjetor 2012</t>
  </si>
  <si>
    <t>Alpiros Group 2007 shpk</t>
  </si>
  <si>
    <t>Bledi shpk</t>
  </si>
  <si>
    <t>CMB Albania</t>
  </si>
  <si>
    <t>Korporata Energjitike Shqiptare</t>
  </si>
  <si>
    <t>Alpha Bank</t>
  </si>
  <si>
    <t>Sigurime Suplementare</t>
  </si>
  <si>
    <t>Miranda Kapllani</t>
  </si>
  <si>
    <t>Shpenzime per shtypshkrime doganore</t>
  </si>
  <si>
    <t>Vlefta 2013</t>
  </si>
  <si>
    <t>Ushtrimi 13</t>
  </si>
  <si>
    <t>Viti 2013</t>
  </si>
  <si>
    <t>VITI 2013</t>
  </si>
  <si>
    <t>31 Dhjetor 2013</t>
  </si>
  <si>
    <t>FDP</t>
  </si>
  <si>
    <t>Shitje</t>
  </si>
  <si>
    <t>Blerje</t>
  </si>
  <si>
    <t>PAGUAR</t>
  </si>
  <si>
    <t>Muaj</t>
  </si>
  <si>
    <t>Export</t>
  </si>
  <si>
    <t>Pa Tvsh</t>
  </si>
  <si>
    <t>Tvsh</t>
  </si>
  <si>
    <t>Perjashtuara</t>
  </si>
  <si>
    <t>Janar</t>
  </si>
  <si>
    <t>Shkurt</t>
  </si>
  <si>
    <t>Mars</t>
  </si>
  <si>
    <t>Prill</t>
  </si>
  <si>
    <t>Maj</t>
  </si>
  <si>
    <t xml:space="preserve">Qershor </t>
  </si>
  <si>
    <t>Korrik</t>
  </si>
  <si>
    <t>Gusht</t>
  </si>
  <si>
    <t>Shtator</t>
  </si>
  <si>
    <t xml:space="preserve">Tetor </t>
  </si>
  <si>
    <t>Nentor</t>
  </si>
  <si>
    <t>Dhjetor</t>
  </si>
  <si>
    <t>ToTale</t>
  </si>
  <si>
    <t>Totale</t>
  </si>
  <si>
    <t>Pa tvsh</t>
  </si>
  <si>
    <t>Importe</t>
  </si>
  <si>
    <t>Blerje Fur.Vendas</t>
  </si>
  <si>
    <t>Agonset</t>
  </si>
  <si>
    <t>Arol Plast</t>
  </si>
  <si>
    <t>Almegifarma</t>
  </si>
  <si>
    <t>Albitalia System</t>
  </si>
  <si>
    <t>Coevita shpk</t>
  </si>
  <si>
    <t>Digitalb</t>
  </si>
  <si>
    <t>Kappa Oil</t>
  </si>
  <si>
    <t>Nardi Petrol sha</t>
  </si>
  <si>
    <t>Bozo &amp; Associates</t>
  </si>
  <si>
    <t>Te ndryshme dhe transporte nga te trete dhe spedion anije</t>
  </si>
  <si>
    <t xml:space="preserve">Per periudhen: </t>
  </si>
  <si>
    <t>Leke</t>
  </si>
  <si>
    <t>Pershkimi</t>
  </si>
  <si>
    <t>Vlefta 2014</t>
  </si>
  <si>
    <t>Ushtrimi 14</t>
  </si>
  <si>
    <t>31.12.2014</t>
  </si>
  <si>
    <t>Viti 2014</t>
  </si>
  <si>
    <t>VITI 2014</t>
  </si>
  <si>
    <t>31 Dhjetor 2014</t>
  </si>
  <si>
    <t>KMON</t>
  </si>
  <si>
    <t>GJENDJEMV</t>
  </si>
  <si>
    <t>A06</t>
  </si>
  <si>
    <t>A10</t>
  </si>
  <si>
    <t>A103</t>
  </si>
  <si>
    <t>A108</t>
  </si>
  <si>
    <t>A110</t>
  </si>
  <si>
    <t>A119</t>
  </si>
  <si>
    <t>A121</t>
  </si>
  <si>
    <t>A18</t>
  </si>
  <si>
    <t>B05</t>
  </si>
  <si>
    <t>B26</t>
  </si>
  <si>
    <t>C19</t>
  </si>
  <si>
    <t>C25</t>
  </si>
  <si>
    <t>D18</t>
  </si>
  <si>
    <t>D29</t>
  </si>
  <si>
    <t>E49</t>
  </si>
  <si>
    <t>Elmed</t>
  </si>
  <si>
    <t>E56</t>
  </si>
  <si>
    <t>Elektrotherm</t>
  </si>
  <si>
    <t>F03</t>
  </si>
  <si>
    <t>F04</t>
  </si>
  <si>
    <t>F28</t>
  </si>
  <si>
    <t>G03</t>
  </si>
  <si>
    <t>G04</t>
  </si>
  <si>
    <t>G06</t>
  </si>
  <si>
    <t>G08</t>
  </si>
  <si>
    <t>G10</t>
  </si>
  <si>
    <t>J04</t>
  </si>
  <si>
    <t>K02</t>
  </si>
  <si>
    <t>K04</t>
  </si>
  <si>
    <t>K19</t>
  </si>
  <si>
    <t>L08</t>
  </si>
  <si>
    <t>L21</t>
  </si>
  <si>
    <t>Logjistik Benimpeks Ltd</t>
  </si>
  <si>
    <t>M04</t>
  </si>
  <si>
    <t>M06</t>
  </si>
  <si>
    <t>N12</t>
  </si>
  <si>
    <t>O07</t>
  </si>
  <si>
    <t>S03</t>
  </si>
  <si>
    <t>S08</t>
  </si>
  <si>
    <t>S30</t>
  </si>
  <si>
    <t>Screan Ad shpk</t>
  </si>
  <si>
    <t>T07</t>
  </si>
  <si>
    <t>Treg Auto</t>
  </si>
  <si>
    <t>A68</t>
  </si>
  <si>
    <t>TOTALE</t>
  </si>
  <si>
    <t xml:space="preserve"> Hua te tjera,Sigal Uniqa Group </t>
  </si>
  <si>
    <t>Sigurime shoqerore,Tap</t>
  </si>
  <si>
    <t xml:space="preserve">BENIMPEX &amp; CO </t>
  </si>
  <si>
    <t xml:space="preserve">INVENTARI  MATERIALE  ,ORENDI DHE MJETE TRANSPORTI </t>
  </si>
  <si>
    <t>NR</t>
  </si>
  <si>
    <t>EMERTIMI</t>
  </si>
  <si>
    <t xml:space="preserve">NJESIA </t>
  </si>
  <si>
    <t xml:space="preserve">SASIA </t>
  </si>
  <si>
    <t>CMIMI</t>
  </si>
  <si>
    <t>Vlera Kontabel</t>
  </si>
  <si>
    <t xml:space="preserve">Komjutera </t>
  </si>
  <si>
    <t>cope</t>
  </si>
  <si>
    <t>Kondicionere</t>
  </si>
  <si>
    <t>Tavolina</t>
  </si>
  <si>
    <t>Komodina</t>
  </si>
  <si>
    <t>Karrike</t>
  </si>
  <si>
    <t>Dollape</t>
  </si>
  <si>
    <t>Rafte</t>
  </si>
  <si>
    <t>Dollap gjneneratori</t>
  </si>
  <si>
    <t>Gjenerator</t>
  </si>
  <si>
    <t>Plafoniere</t>
  </si>
  <si>
    <t>Kasaforte</t>
  </si>
  <si>
    <t>Aparat  faxi</t>
  </si>
  <si>
    <t>Central telefonik</t>
  </si>
  <si>
    <t>Telefona</t>
  </si>
  <si>
    <t>Printer me ngjyra</t>
  </si>
  <si>
    <t>Printer lazer</t>
  </si>
  <si>
    <t>Printermatriz</t>
  </si>
  <si>
    <t>Tavolina levizese</t>
  </si>
  <si>
    <t>Perde</t>
  </si>
  <si>
    <t>Skulptura</t>
  </si>
  <si>
    <t xml:space="preserve">Ore muri </t>
  </si>
  <si>
    <t>Expres kafeje</t>
  </si>
  <si>
    <t>Koketurku</t>
  </si>
  <si>
    <t>Frigorifer</t>
  </si>
  <si>
    <t>Ndricues</t>
  </si>
  <si>
    <t>Mak.Llogaritese</t>
  </si>
  <si>
    <t>Rafte dollapesh</t>
  </si>
  <si>
    <t>Fax.Bradher mfc</t>
  </si>
  <si>
    <t>Monitor komjuteri</t>
  </si>
  <si>
    <t>Mak.Hap.Vrimash</t>
  </si>
  <si>
    <t>Kosha plerash</t>
  </si>
  <si>
    <t>Kompjut compaq</t>
  </si>
  <si>
    <t>Lap top</t>
  </si>
  <si>
    <t>Modem</t>
  </si>
  <si>
    <t>Printer</t>
  </si>
  <si>
    <t>Fikse Zjarri</t>
  </si>
  <si>
    <t>Bateri Akumulator</t>
  </si>
  <si>
    <t>Gjenerator 8kva</t>
  </si>
  <si>
    <t>Komplet kolltuqe</t>
  </si>
  <si>
    <t>Kompjuer 2.8ghz</t>
  </si>
  <si>
    <t>Ups Kompjuteri</t>
  </si>
  <si>
    <t>Printer lq-680</t>
  </si>
  <si>
    <t>Kompjuer pen -3</t>
  </si>
  <si>
    <t>Printer lazer hp-1020</t>
  </si>
  <si>
    <t>Fotokopje Toshiba-1360</t>
  </si>
  <si>
    <t>Fax sharp uxb-30</t>
  </si>
  <si>
    <t>Printer lazer hp-1022</t>
  </si>
  <si>
    <t>Tavoline bordi</t>
  </si>
  <si>
    <t>Kolltuk rrotullues</t>
  </si>
  <si>
    <t>Fotokopje Hp</t>
  </si>
  <si>
    <t>kompjutera</t>
  </si>
  <si>
    <t>printera</t>
  </si>
  <si>
    <t>Kompjutera</t>
  </si>
  <si>
    <t>Majtjesa compjutera</t>
  </si>
  <si>
    <t>komp</t>
  </si>
  <si>
    <t>Fax</t>
  </si>
  <si>
    <t>Flesh driver</t>
  </si>
  <si>
    <t>Monitor LCD</t>
  </si>
  <si>
    <t>Rafte Metalike</t>
  </si>
  <si>
    <t>Tapete</t>
  </si>
  <si>
    <t>Radio</t>
  </si>
  <si>
    <t>Gjenerator 25 kva</t>
  </si>
  <si>
    <t>Raft</t>
  </si>
  <si>
    <t xml:space="preserve">Komo </t>
  </si>
  <si>
    <t>Komodine</t>
  </si>
  <si>
    <t>Dollap Zyre</t>
  </si>
  <si>
    <t>Fax Canon L100</t>
  </si>
  <si>
    <t>Gjenerator 18 Kva</t>
  </si>
  <si>
    <t>Dollap Zyrash</t>
  </si>
  <si>
    <t>Tavoline Pune</t>
  </si>
  <si>
    <t>Karrige</t>
  </si>
  <si>
    <t xml:space="preserve">Kasa </t>
  </si>
  <si>
    <t>Televizore</t>
  </si>
  <si>
    <t>Hp Printer</t>
  </si>
  <si>
    <t>Fotokopje</t>
  </si>
  <si>
    <t>Kopjuter</t>
  </si>
  <si>
    <t>Brother Hl 5240</t>
  </si>
  <si>
    <t>Ups--Apc</t>
  </si>
  <si>
    <t>Kompjutera Dx7300</t>
  </si>
  <si>
    <t>Monitor</t>
  </si>
  <si>
    <t>Madher Bord</t>
  </si>
  <si>
    <t>Fotokopje e Thjeshte</t>
  </si>
  <si>
    <t>Note book</t>
  </si>
  <si>
    <t>Fotokopje dell</t>
  </si>
  <si>
    <t>Printer Laser Hp</t>
  </si>
  <si>
    <t>Printer hl 5240</t>
  </si>
  <si>
    <t>Ups 1250VA</t>
  </si>
  <si>
    <t>Fax Brother 2920</t>
  </si>
  <si>
    <t>Skaner Hp4890</t>
  </si>
  <si>
    <t>Web Cam Labtec</t>
  </si>
  <si>
    <t>Fax Brother 1360</t>
  </si>
  <si>
    <t>Aparat Telefoni Sip</t>
  </si>
  <si>
    <t>Printer Epson-Lq-680</t>
  </si>
  <si>
    <t>Cante dipllomatike</t>
  </si>
  <si>
    <t>Cante pune</t>
  </si>
  <si>
    <t xml:space="preserve">Harta e shoqerise </t>
  </si>
  <si>
    <t>Zbukurime</t>
  </si>
  <si>
    <t>Pikture</t>
  </si>
  <si>
    <t>Glob</t>
  </si>
  <si>
    <t>Harte  bote</t>
  </si>
  <si>
    <t>Makina llogaritese</t>
  </si>
  <si>
    <t>Pirun levizes</t>
  </si>
  <si>
    <t>Pirun  mekanik</t>
  </si>
  <si>
    <t xml:space="preserve">Tavolina </t>
  </si>
  <si>
    <t xml:space="preserve">Radio </t>
  </si>
  <si>
    <t>Fikesa Zjarri</t>
  </si>
  <si>
    <t>Reklama</t>
  </si>
  <si>
    <t>Kolltuqe</t>
  </si>
  <si>
    <t>Kompjuer Kompaq</t>
  </si>
  <si>
    <t>Skaner hp-3500</t>
  </si>
  <si>
    <t>Flash Driver</t>
  </si>
  <si>
    <t>Ups compjuteri</t>
  </si>
  <si>
    <t>Printer Epson lq</t>
  </si>
  <si>
    <t>Makine llogaritese</t>
  </si>
  <si>
    <t xml:space="preserve">Kjoska </t>
  </si>
  <si>
    <t>Makina shkrimi</t>
  </si>
  <si>
    <t>Telefon</t>
  </si>
  <si>
    <t>Instalime (asecuda)</t>
  </si>
  <si>
    <t>Mak.kapese akte</t>
  </si>
  <si>
    <t>Mak.Llog.Casio</t>
  </si>
  <si>
    <t>Kosha letre</t>
  </si>
  <si>
    <t>Mbajtese kancelarie</t>
  </si>
  <si>
    <t>Stabilizator</t>
  </si>
  <si>
    <t>ups compjuteri</t>
  </si>
  <si>
    <t>Iutopan(server)</t>
  </si>
  <si>
    <t>Printer-Lq680</t>
  </si>
  <si>
    <t>Inverter Kompjuteri</t>
  </si>
  <si>
    <t>Tabele reklame</t>
  </si>
  <si>
    <t>Makin  shkrimi</t>
  </si>
  <si>
    <t>Ventilator</t>
  </si>
  <si>
    <t xml:space="preserve">Karrike </t>
  </si>
  <si>
    <t>Makine shkrimi</t>
  </si>
  <si>
    <t>Koke turku</t>
  </si>
  <si>
    <t>Printer matric</t>
  </si>
  <si>
    <t>Kompjuter compaq</t>
  </si>
  <si>
    <t>Printer Lq-680</t>
  </si>
  <si>
    <t>Ups</t>
  </si>
  <si>
    <t>Kompjuter P-III</t>
  </si>
  <si>
    <t>Aparat telefoni</t>
  </si>
  <si>
    <t>Aparate  celulari</t>
  </si>
  <si>
    <t>Karta aparatesh</t>
  </si>
  <si>
    <t>Koka terheqese</t>
  </si>
  <si>
    <t>Fotokopje studio E165</t>
  </si>
  <si>
    <t>Kasa</t>
  </si>
  <si>
    <t>Kondicioner</t>
  </si>
  <si>
    <t>Laptop</t>
  </si>
  <si>
    <t>Fotokopje E studio</t>
  </si>
  <si>
    <t>Gjenerator 18 KVA</t>
  </si>
  <si>
    <t>Server</t>
  </si>
  <si>
    <t>Inverter</t>
  </si>
  <si>
    <t>Aparat Celulari</t>
  </si>
  <si>
    <t>Printer Epson 690</t>
  </si>
  <si>
    <t>Njesi comjuteri</t>
  </si>
  <si>
    <t>Monitore</t>
  </si>
  <si>
    <t>Kasetiere</t>
  </si>
  <si>
    <t>Mobl Printeri</t>
  </si>
  <si>
    <t>Etazher</t>
  </si>
  <si>
    <t>Karige Rrotulluese</t>
  </si>
  <si>
    <t>Fikse</t>
  </si>
  <si>
    <t>Televizor</t>
  </si>
  <si>
    <t>Fotkopje Toshiba</t>
  </si>
  <si>
    <t>Karrige rrotulluese</t>
  </si>
  <si>
    <t>Komjuter</t>
  </si>
  <si>
    <t>SamSung Not3</t>
  </si>
  <si>
    <t>SamSung S5</t>
  </si>
  <si>
    <t>Permiresim Investim Kioske</t>
  </si>
  <si>
    <t>Samsung TAB3</t>
  </si>
  <si>
    <t>Fotokopje 2505</t>
  </si>
  <si>
    <t>Kasa Fiskale Aclass</t>
  </si>
  <si>
    <t>Amortizimi I Akumuluar</t>
  </si>
  <si>
    <t>Ekonomist</t>
  </si>
  <si>
    <t>Ervin Droboniku</t>
  </si>
  <si>
    <t>Benimpex 2015</t>
  </si>
  <si>
    <t>Blerje Fur.Venda-Invest</t>
  </si>
  <si>
    <t>ToT-Tvsh</t>
  </si>
  <si>
    <t>Vlefta 2015</t>
  </si>
  <si>
    <t>Ushtrimi 15</t>
  </si>
  <si>
    <t>Viti 2015</t>
  </si>
  <si>
    <t>VITI 2015</t>
  </si>
  <si>
    <t>Mobilje Zyre</t>
  </si>
  <si>
    <t>Celulare</t>
  </si>
  <si>
    <t>Kase</t>
  </si>
  <si>
    <t>Orendi</t>
  </si>
  <si>
    <t>31 Dhjetor 2015</t>
  </si>
  <si>
    <t>Benimpex 2016</t>
  </si>
  <si>
    <t>Vlefta 2016</t>
  </si>
  <si>
    <t>Ushtrimi 16</t>
  </si>
  <si>
    <t>Viti 2016</t>
  </si>
  <si>
    <t>VITI 2016</t>
  </si>
  <si>
    <t>31 Dhjetor 2016</t>
  </si>
  <si>
    <t>Cel Bberry</t>
  </si>
  <si>
    <t>Iphone 6+</t>
  </si>
  <si>
    <t>Samsung Galaxy</t>
  </si>
  <si>
    <t>Kompjuter</t>
  </si>
  <si>
    <t>Kod</t>
  </si>
  <si>
    <t>A03</t>
  </si>
  <si>
    <t>Air Bp sha</t>
  </si>
  <si>
    <t>A136</t>
  </si>
  <si>
    <t>Aspi Tekstil</t>
  </si>
  <si>
    <t>A155</t>
  </si>
  <si>
    <t>Arnisa Culaji</t>
  </si>
  <si>
    <t>B34</t>
  </si>
  <si>
    <t>Besniku shpk</t>
  </si>
  <si>
    <t>C33</t>
  </si>
  <si>
    <t>Carpathia Albania</t>
  </si>
  <si>
    <t>D39</t>
  </si>
  <si>
    <t>Dashi - Hd</t>
  </si>
  <si>
    <t>D54</t>
  </si>
  <si>
    <t>Desaret Company</t>
  </si>
  <si>
    <t>D57</t>
  </si>
  <si>
    <t>Drejtoria Rajonale Kukes</t>
  </si>
  <si>
    <t>E43</t>
  </si>
  <si>
    <t>Ermila shpk</t>
  </si>
  <si>
    <t>F40</t>
  </si>
  <si>
    <t>Federata Shqiptare e Fubollit</t>
  </si>
  <si>
    <t>H02</t>
  </si>
  <si>
    <t>Hellas Service</t>
  </si>
  <si>
    <t>H14</t>
  </si>
  <si>
    <t>Haliti shpk</t>
  </si>
  <si>
    <t>K23</t>
  </si>
  <si>
    <t>Kantina e Pijeve Skenderbeu</t>
  </si>
  <si>
    <t>L18</t>
  </si>
  <si>
    <t>Luani</t>
  </si>
  <si>
    <t>M21</t>
  </si>
  <si>
    <t>Msp Trade</t>
  </si>
  <si>
    <t>Operatori i Shperndarrjes se Energjise Elektrike</t>
  </si>
  <si>
    <t>A01</t>
  </si>
  <si>
    <t>Autoriteti Portual Durres</t>
  </si>
  <si>
    <t>B11</t>
  </si>
  <si>
    <t>Bailiff Services-1.813 m</t>
  </si>
  <si>
    <t>C01</t>
  </si>
  <si>
    <t>Ccs shpk</t>
  </si>
  <si>
    <t>C07</t>
  </si>
  <si>
    <t>Continental Group</t>
  </si>
  <si>
    <t>D04</t>
  </si>
  <si>
    <t>E16</t>
  </si>
  <si>
    <t>Emr Kancelari</t>
  </si>
  <si>
    <t>I04</t>
  </si>
  <si>
    <t>Ispp shpk</t>
  </si>
  <si>
    <t>MobilBox ALbania</t>
  </si>
  <si>
    <t>Mirlin</t>
  </si>
  <si>
    <t>Sigal Uniqa Group Austria</t>
  </si>
  <si>
    <t>T01</t>
  </si>
  <si>
    <t>Tirana International Airport</t>
  </si>
  <si>
    <t>Monedha</t>
  </si>
  <si>
    <t xml:space="preserve"> Hua te tjera,Sigal Uniqa Group 41500 euro</t>
  </si>
  <si>
    <t xml:space="preserve">Tatim Fitimi </t>
  </si>
  <si>
    <t>Te tjera kerkesa te arketueshme   Tatim Fitimi</t>
  </si>
  <si>
    <t>Benimpex 2017</t>
  </si>
  <si>
    <t>Vlefta 2017</t>
  </si>
  <si>
    <t>Ushtrimi 17</t>
  </si>
  <si>
    <t>Viti 2017</t>
  </si>
  <si>
    <t>VITI 2017</t>
  </si>
  <si>
    <t>Pozicioni më 31 dhjetor 2017</t>
  </si>
  <si>
    <t>31 Dhjetor 2017</t>
  </si>
  <si>
    <t>Dere</t>
  </si>
  <si>
    <t>Skaner</t>
  </si>
  <si>
    <t>Tavoline</t>
  </si>
  <si>
    <t>Kompjuterike,zyre,inst,etj</t>
  </si>
  <si>
    <t>Mirembajtje dhe riparime,dietaetj</t>
  </si>
  <si>
    <t>VITI  2018</t>
  </si>
  <si>
    <t>Nga 01.01.2018 deri 31.12.2018</t>
  </si>
  <si>
    <t>31.12.2018</t>
  </si>
  <si>
    <t>Viti 2018</t>
  </si>
  <si>
    <t>Bilanci   Kontabel  me  31 Dhjetor  2018</t>
  </si>
  <si>
    <t>Ushtrimi 18</t>
  </si>
  <si>
    <t>Vlefta 2018</t>
  </si>
  <si>
    <t>Benimpex 2018</t>
  </si>
  <si>
    <t>31 Dhjetor 2018</t>
  </si>
  <si>
    <t>Llogaria te Ardhura &amp; Shpenzime per vitin e mbyllur me 31 Dhjetor 2018</t>
  </si>
  <si>
    <t>VITI 2018</t>
  </si>
  <si>
    <t>Periudha kontabel     01 Janar - 31 Dhjetor  2018</t>
  </si>
  <si>
    <t>printer</t>
  </si>
  <si>
    <t>parket</t>
  </si>
  <si>
    <t>aksesore</t>
  </si>
  <si>
    <t>veshje</t>
  </si>
  <si>
    <t>element</t>
  </si>
  <si>
    <t>punime</t>
  </si>
  <si>
    <t>karrige</t>
  </si>
  <si>
    <t>komjuter</t>
  </si>
  <si>
    <t>hp kompjuter</t>
  </si>
  <si>
    <t>mobilim</t>
  </si>
  <si>
    <t>kioske</t>
  </si>
  <si>
    <t>fit</t>
  </si>
  <si>
    <t>Pasqyra e levizjes se kapitaleve te veta  me 31 Dhjetor  2016  -  31 Dhjetor 2018</t>
  </si>
  <si>
    <t>Pozicioni më 31 Dhjetor  2016</t>
  </si>
  <si>
    <t>Pozicioni më 31 dhjetor 2018</t>
  </si>
  <si>
    <t>Periudha kontabel     01 Janar - 31 Dhjetor 2018</t>
  </si>
  <si>
    <t>Bilanci i Celjes     01.01.2018</t>
  </si>
  <si>
    <t>Hyrjet  2018</t>
  </si>
  <si>
    <t>Daljet  2018</t>
  </si>
  <si>
    <t>Bilanci i Mbylljes 31.12.2018</t>
  </si>
  <si>
    <t>Aktivet Afatgjata Materiale  me vlere fillestare   2018</t>
  </si>
  <si>
    <t>Amortizimi A.A.Materiale   2018</t>
  </si>
  <si>
    <t>Vlera Kontabel Neto e A.A.Materiale  2018</t>
  </si>
  <si>
    <t>Vl. totale e inventarit  31/12/2018</t>
  </si>
  <si>
    <t>Vl. E Mbetur e aktiveve 31/12/2018</t>
  </si>
  <si>
    <t>31,12,2018</t>
  </si>
  <si>
    <t>TATim Fitimi</t>
  </si>
</sst>
</file>

<file path=xl/styles.xml><?xml version="1.0" encoding="utf-8"?>
<styleSheet xmlns="http://schemas.openxmlformats.org/spreadsheetml/2006/main">
  <numFmts count="11">
    <numFmt numFmtId="41" formatCode="_-* #,##0_-;\-* #,##0_-;_-* &quot;-&quot;_-;_-@_-"/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83" formatCode="_(* #,##0_);_(* \(#,##0\);_(* &quot;-&quot;??_);_(@_)"/>
    <numFmt numFmtId="185" formatCode="dd\/mm\/yyyy"/>
    <numFmt numFmtId="193" formatCode="#,##0.00_ ;\-#,##0.00\ 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7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i/>
      <sz val="12.6"/>
      <color indexed="8"/>
      <name val="Arial"/>
      <family val="2"/>
    </font>
    <font>
      <sz val="9.85"/>
      <color indexed="8"/>
      <name val="Times New Roman"/>
      <family val="1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.5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b/>
      <sz val="1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b/>
      <sz val="12"/>
      <color indexed="8"/>
      <name val="Arial Narrow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sz val="11"/>
      <name val="Arial Narrow"/>
      <family val="2"/>
    </font>
    <font>
      <b/>
      <sz val="12"/>
      <color indexed="10"/>
      <name val="Times New Roman"/>
      <family val="1"/>
    </font>
    <font>
      <b/>
      <i/>
      <u/>
      <sz val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8"/>
      <color rgb="FF00B050"/>
      <name val="Arial"/>
      <family val="2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1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71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198" fontId="33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0" fontId="11" fillId="0" borderId="0"/>
    <xf numFmtId="0" fontId="11" fillId="0" borderId="0"/>
    <xf numFmtId="0" fontId="34" fillId="0" borderId="0"/>
    <xf numFmtId="0" fontId="33" fillId="0" borderId="0"/>
  </cellStyleXfs>
  <cellXfs count="589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171" fontId="4" fillId="0" borderId="2" xfId="1" applyFont="1" applyBorder="1" applyAlignment="1">
      <alignment horizontal="center"/>
    </xf>
    <xf numFmtId="40" fontId="6" fillId="0" borderId="0" xfId="0" applyNumberFormat="1" applyFont="1" applyFill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1" fontId="6" fillId="0" borderId="0" xfId="0" applyNumberFormat="1" applyFont="1" applyFill="1"/>
    <xf numFmtId="171" fontId="2" fillId="0" borderId="0" xfId="1" applyFont="1" applyFill="1"/>
    <xf numFmtId="0" fontId="2" fillId="0" borderId="0" xfId="0" applyFont="1" applyFill="1"/>
    <xf numFmtId="40" fontId="2" fillId="0" borderId="1" xfId="0" applyNumberFormat="1" applyFont="1" applyFill="1" applyBorder="1"/>
    <xf numFmtId="0" fontId="2" fillId="0" borderId="0" xfId="0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182" fontId="13" fillId="0" borderId="0" xfId="0" applyNumberFormat="1" applyFont="1" applyFill="1" applyAlignment="1">
      <alignment horizontal="right" vertical="center"/>
    </xf>
    <xf numFmtId="182" fontId="14" fillId="0" borderId="0" xfId="0" applyNumberFormat="1" applyFont="1" applyFill="1" applyAlignment="1">
      <alignment horizontal="right" vertical="center"/>
    </xf>
    <xf numFmtId="0" fontId="15" fillId="0" borderId="0" xfId="0" applyFont="1"/>
    <xf numFmtId="182" fontId="18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185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182" fontId="20" fillId="0" borderId="0" xfId="0" applyNumberFormat="1" applyFont="1" applyFill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182" fontId="22" fillId="0" borderId="0" xfId="0" applyNumberFormat="1" applyFont="1" applyFill="1" applyAlignment="1">
      <alignment horizontal="right" vertical="center"/>
    </xf>
    <xf numFmtId="171" fontId="2" fillId="0" borderId="0" xfId="0" applyNumberFormat="1" applyFont="1" applyFill="1"/>
    <xf numFmtId="0" fontId="11" fillId="0" borderId="0" xfId="8" applyNumberFormat="1" applyFill="1" applyBorder="1" applyAlignment="1" applyProtection="1"/>
    <xf numFmtId="0" fontId="24" fillId="0" borderId="0" xfId="8" applyFont="1" applyAlignment="1">
      <alignment vertical="center"/>
    </xf>
    <xf numFmtId="0" fontId="21" fillId="0" borderId="0" xfId="8" applyFont="1" applyAlignment="1">
      <alignment horizontal="center" vertical="center"/>
    </xf>
    <xf numFmtId="0" fontId="21" fillId="0" borderId="0" xfId="8" applyFont="1" applyAlignment="1">
      <alignment horizontal="left" vertical="center"/>
    </xf>
    <xf numFmtId="0" fontId="20" fillId="0" borderId="0" xfId="8" applyFont="1" applyAlignment="1">
      <alignment horizontal="center" vertical="center"/>
    </xf>
    <xf numFmtId="0" fontId="20" fillId="0" borderId="0" xfId="8" applyFont="1" applyAlignment="1">
      <alignment vertical="center"/>
    </xf>
    <xf numFmtId="182" fontId="20" fillId="0" borderId="0" xfId="8" applyNumberFormat="1" applyFont="1" applyAlignment="1">
      <alignment horizontal="right" vertical="center"/>
    </xf>
    <xf numFmtId="0" fontId="26" fillId="0" borderId="0" xfId="8" applyFont="1" applyAlignment="1">
      <alignment vertical="center"/>
    </xf>
    <xf numFmtId="0" fontId="11" fillId="0" borderId="0" xfId="7" applyNumberFormat="1" applyFill="1" applyBorder="1" applyAlignment="1" applyProtection="1"/>
    <xf numFmtId="0" fontId="27" fillId="0" borderId="0" xfId="7" applyFont="1" applyAlignment="1">
      <alignment horizontal="center" vertical="center"/>
    </xf>
    <xf numFmtId="0" fontId="2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20" fillId="0" borderId="0" xfId="7" applyFont="1" applyAlignment="1">
      <alignment horizontal="center" vertical="center"/>
    </xf>
    <xf numFmtId="0" fontId="20" fillId="0" borderId="0" xfId="7" applyFont="1" applyAlignment="1">
      <alignment vertical="center"/>
    </xf>
    <xf numFmtId="182" fontId="20" fillId="0" borderId="0" xfId="7" applyNumberFormat="1" applyFont="1" applyAlignment="1">
      <alignment horizontal="right" vertical="center"/>
    </xf>
    <xf numFmtId="0" fontId="21" fillId="0" borderId="0" xfId="7" applyFont="1" applyAlignment="1">
      <alignment vertical="center"/>
    </xf>
    <xf numFmtId="0" fontId="25" fillId="0" borderId="0" xfId="8" applyFont="1" applyAlignment="1">
      <alignment horizontal="left" vertical="center"/>
    </xf>
    <xf numFmtId="0" fontId="23" fillId="0" borderId="0" xfId="8" applyFont="1" applyAlignment="1">
      <alignment horizontal="left" vertical="center"/>
    </xf>
    <xf numFmtId="182" fontId="29" fillId="0" borderId="0" xfId="8" applyNumberFormat="1" applyFont="1" applyAlignment="1">
      <alignment horizontal="right" vertical="center"/>
    </xf>
    <xf numFmtId="0" fontId="29" fillId="2" borderId="0" xfId="8" applyFont="1" applyFill="1" applyAlignment="1">
      <alignment vertical="center"/>
    </xf>
    <xf numFmtId="0" fontId="19" fillId="2" borderId="0" xfId="8" applyFont="1" applyFill="1" applyAlignment="1">
      <alignment horizontal="center" vertical="center"/>
    </xf>
    <xf numFmtId="182" fontId="20" fillId="2" borderId="0" xfId="8" applyNumberFormat="1" applyFont="1" applyFill="1" applyAlignment="1">
      <alignment horizontal="right" vertical="center"/>
    </xf>
    <xf numFmtId="0" fontId="11" fillId="2" borderId="0" xfId="8" applyNumberFormat="1" applyFill="1" applyBorder="1" applyAlignment="1" applyProtection="1"/>
    <xf numFmtId="182" fontId="29" fillId="0" borderId="0" xfId="7" applyNumberFormat="1" applyFont="1" applyAlignment="1">
      <alignment horizontal="right" vertical="center"/>
    </xf>
    <xf numFmtId="182" fontId="20" fillId="3" borderId="0" xfId="7" applyNumberFormat="1" applyFont="1" applyFill="1" applyAlignment="1">
      <alignment horizontal="right" vertical="center"/>
    </xf>
    <xf numFmtId="171" fontId="4" fillId="0" borderId="2" xfId="1" applyFont="1" applyBorder="1" applyAlignment="1">
      <alignment horizontal="center" wrapText="1"/>
    </xf>
    <xf numFmtId="171" fontId="6" fillId="0" borderId="0" xfId="0" applyNumberFormat="1" applyFont="1" applyFill="1" applyAlignment="1">
      <alignment horizontal="center"/>
    </xf>
    <xf numFmtId="0" fontId="9" fillId="0" borderId="0" xfId="0" applyFont="1" applyFill="1"/>
    <xf numFmtId="171" fontId="9" fillId="0" borderId="0" xfId="0" applyNumberFormat="1" applyFont="1" applyFill="1" applyAlignment="1">
      <alignment horizontal="center"/>
    </xf>
    <xf numFmtId="2" fontId="11" fillId="0" borderId="0" xfId="8" applyNumberForma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32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10" fillId="0" borderId="0" xfId="0" applyFont="1" applyFill="1"/>
    <xf numFmtId="0" fontId="36" fillId="0" borderId="4" xfId="0" applyFont="1" applyBorder="1"/>
    <xf numFmtId="0" fontId="35" fillId="0" borderId="0" xfId="0" applyFont="1"/>
    <xf numFmtId="0" fontId="36" fillId="0" borderId="5" xfId="0" applyFont="1" applyBorder="1"/>
    <xf numFmtId="0" fontId="36" fillId="0" borderId="6" xfId="0" applyFont="1" applyBorder="1"/>
    <xf numFmtId="0" fontId="36" fillId="0" borderId="7" xfId="0" applyFont="1" applyBorder="1"/>
    <xf numFmtId="0" fontId="36" fillId="0" borderId="8" xfId="0" applyFont="1" applyBorder="1"/>
    <xf numFmtId="0" fontId="37" fillId="0" borderId="0" xfId="0" applyFont="1" applyBorder="1"/>
    <xf numFmtId="0" fontId="37" fillId="0" borderId="0" xfId="0" applyFont="1" applyBorder="1" applyAlignment="1">
      <alignment horizontal="left"/>
    </xf>
    <xf numFmtId="0" fontId="37" fillId="0" borderId="4" xfId="0" applyFont="1" applyBorder="1"/>
    <xf numFmtId="0" fontId="36" fillId="0" borderId="0" xfId="0" applyFont="1" applyBorder="1"/>
    <xf numFmtId="0" fontId="39" fillId="0" borderId="0" xfId="0" applyNumberFormat="1" applyFont="1" applyFill="1" applyBorder="1" applyAlignment="1" applyProtection="1"/>
    <xf numFmtId="0" fontId="40" fillId="0" borderId="0" xfId="0" applyFont="1" applyBorder="1"/>
    <xf numFmtId="0" fontId="36" fillId="0" borderId="8" xfId="0" applyFont="1" applyBorder="1" applyAlignment="1">
      <alignment horizontal="left"/>
    </xf>
    <xf numFmtId="0" fontId="42" fillId="0" borderId="0" xfId="0" applyFont="1" applyBorder="1"/>
    <xf numFmtId="0" fontId="36" fillId="0" borderId="9" xfId="0" applyFont="1" applyBorder="1"/>
    <xf numFmtId="0" fontId="36" fillId="0" borderId="10" xfId="0" applyFont="1" applyBorder="1"/>
    <xf numFmtId="0" fontId="36" fillId="0" borderId="11" xfId="0" applyFont="1" applyBorder="1"/>
    <xf numFmtId="0" fontId="36" fillId="0" borderId="0" xfId="0" applyFont="1"/>
    <xf numFmtId="0" fontId="43" fillId="0" borderId="0" xfId="0" applyFont="1" applyBorder="1" applyAlignment="1">
      <alignment horizontal="left"/>
    </xf>
    <xf numFmtId="182" fontId="11" fillId="0" borderId="0" xfId="8" applyNumberFormat="1" applyFill="1" applyBorder="1" applyAlignment="1" applyProtection="1"/>
    <xf numFmtId="0" fontId="44" fillId="0" borderId="0" xfId="0" applyFont="1" applyBorder="1"/>
    <xf numFmtId="0" fontId="44" fillId="0" borderId="0" xfId="0" applyFont="1" applyBorder="1" applyAlignment="1">
      <alignment horizontal="center"/>
    </xf>
    <xf numFmtId="0" fontId="44" fillId="0" borderId="0" xfId="0" applyFont="1" applyFill="1"/>
    <xf numFmtId="0" fontId="44" fillId="0" borderId="0" xfId="0" applyFont="1"/>
    <xf numFmtId="0" fontId="45" fillId="0" borderId="0" xfId="0" applyFont="1"/>
    <xf numFmtId="0" fontId="15" fillId="0" borderId="0" xfId="0" applyFont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171" fontId="44" fillId="0" borderId="0" xfId="1" applyFont="1" applyFill="1"/>
    <xf numFmtId="171" fontId="46" fillId="0" borderId="0" xfId="1" applyFont="1" applyFill="1" applyAlignment="1">
      <alignment horizontal="right" vertical="center"/>
    </xf>
    <xf numFmtId="171" fontId="44" fillId="0" borderId="0" xfId="0" applyNumberFormat="1" applyFont="1" applyFill="1"/>
    <xf numFmtId="171" fontId="44" fillId="0" borderId="12" xfId="1" applyFont="1" applyFill="1" applyBorder="1"/>
    <xf numFmtId="182" fontId="46" fillId="0" borderId="0" xfId="0" applyNumberFormat="1" applyFont="1" applyFill="1" applyAlignment="1">
      <alignment horizontal="right" vertical="center"/>
    </xf>
    <xf numFmtId="40" fontId="44" fillId="0" borderId="0" xfId="0" applyNumberFormat="1" applyFont="1" applyFill="1"/>
    <xf numFmtId="0" fontId="15" fillId="0" borderId="0" xfId="0" applyFont="1" applyBorder="1" applyAlignment="1">
      <alignment horizontal="center"/>
    </xf>
    <xf numFmtId="171" fontId="44" fillId="0" borderId="1" xfId="1" applyFont="1" applyFill="1" applyBorder="1"/>
    <xf numFmtId="171" fontId="15" fillId="0" borderId="0" xfId="1" applyFont="1" applyFill="1"/>
    <xf numFmtId="39" fontId="44" fillId="0" borderId="1" xfId="1" applyNumberFormat="1" applyFont="1" applyFill="1" applyBorder="1"/>
    <xf numFmtId="171" fontId="44" fillId="0" borderId="0" xfId="0" applyNumberFormat="1" applyFont="1"/>
    <xf numFmtId="171" fontId="44" fillId="0" borderId="0" xfId="1" applyFont="1" applyFill="1" applyBorder="1"/>
    <xf numFmtId="0" fontId="15" fillId="0" borderId="0" xfId="0" applyFont="1" applyFill="1"/>
    <xf numFmtId="171" fontId="15" fillId="0" borderId="0" xfId="0" applyNumberFormat="1" applyFont="1" applyFill="1" applyAlignment="1">
      <alignment horizontal="center"/>
    </xf>
    <xf numFmtId="171" fontId="44" fillId="0" borderId="0" xfId="0" applyNumberFormat="1" applyFont="1" applyFill="1" applyAlignment="1">
      <alignment horizontal="center"/>
    </xf>
    <xf numFmtId="0" fontId="44" fillId="0" borderId="0" xfId="0" applyFont="1" applyFill="1" applyBorder="1"/>
    <xf numFmtId="39" fontId="44" fillId="0" borderId="0" xfId="0" applyNumberFormat="1" applyFont="1" applyFill="1"/>
    <xf numFmtId="4" fontId="44" fillId="0" borderId="0" xfId="0" applyNumberFormat="1" applyFont="1"/>
    <xf numFmtId="0" fontId="47" fillId="0" borderId="0" xfId="0" applyFont="1" applyBorder="1"/>
    <xf numFmtId="0" fontId="45" fillId="0" borderId="0" xfId="0" applyFont="1" applyBorder="1"/>
    <xf numFmtId="39" fontId="44" fillId="0" borderId="0" xfId="0" applyNumberFormat="1" applyFont="1" applyFill="1" applyBorder="1"/>
    <xf numFmtId="4" fontId="44" fillId="0" borderId="0" xfId="0" applyNumberFormat="1" applyFont="1" applyBorder="1"/>
    <xf numFmtId="0" fontId="44" fillId="0" borderId="0" xfId="0" applyFont="1" applyBorder="1" applyAlignment="1">
      <alignment horizontal="left" wrapText="1"/>
    </xf>
    <xf numFmtId="39" fontId="44" fillId="0" borderId="0" xfId="0" applyNumberFormat="1" applyFont="1" applyFill="1" applyBorder="1" applyAlignment="1">
      <alignment horizontal="left" wrapText="1"/>
    </xf>
    <xf numFmtId="39" fontId="15" fillId="0" borderId="2" xfId="0" applyNumberFormat="1" applyFont="1" applyFill="1" applyBorder="1" applyAlignment="1">
      <alignment horizontal="center" wrapText="1"/>
    </xf>
    <xf numFmtId="39" fontId="44" fillId="0" borderId="0" xfId="0" applyNumberFormat="1" applyFont="1" applyFill="1" applyBorder="1" applyAlignment="1">
      <alignment horizontal="right" wrapText="1"/>
    </xf>
    <xf numFmtId="0" fontId="44" fillId="0" borderId="0" xfId="0" applyFont="1" applyAlignment="1">
      <alignment horizontal="left" vertical="justify"/>
    </xf>
    <xf numFmtId="4" fontId="44" fillId="0" borderId="0" xfId="0" applyNumberFormat="1" applyFont="1" applyFill="1" applyBorder="1"/>
    <xf numFmtId="4" fontId="44" fillId="0" borderId="0" xfId="0" applyNumberFormat="1" applyFont="1" applyBorder="1" applyAlignment="1">
      <alignment horizontal="left" wrapText="1"/>
    </xf>
    <xf numFmtId="4" fontId="44" fillId="0" borderId="0" xfId="0" applyNumberFormat="1" applyFont="1" applyFill="1" applyBorder="1" applyAlignment="1">
      <alignment horizontal="right" wrapText="1"/>
    </xf>
    <xf numFmtId="39" fontId="44" fillId="0" borderId="10" xfId="0" applyNumberFormat="1" applyFont="1" applyFill="1" applyBorder="1" applyAlignment="1">
      <alignment horizontal="right" wrapText="1"/>
    </xf>
    <xf numFmtId="4" fontId="44" fillId="0" borderId="0" xfId="0" applyNumberFormat="1" applyFont="1" applyBorder="1" applyAlignment="1">
      <alignment horizontal="right" wrapText="1"/>
    </xf>
    <xf numFmtId="39" fontId="44" fillId="0" borderId="0" xfId="0" applyNumberFormat="1" applyFont="1" applyBorder="1"/>
    <xf numFmtId="0" fontId="15" fillId="0" borderId="0" xfId="0" applyFont="1" applyBorder="1" applyAlignment="1">
      <alignment horizontal="left"/>
    </xf>
    <xf numFmtId="39" fontId="44" fillId="0" borderId="10" xfId="0" applyNumberFormat="1" applyFont="1" applyFill="1" applyBorder="1"/>
    <xf numFmtId="171" fontId="44" fillId="0" borderId="0" xfId="1" applyFont="1" applyFill="1" applyBorder="1" applyAlignment="1">
      <alignment horizontal="center" wrapText="1"/>
    </xf>
    <xf numFmtId="171" fontId="44" fillId="0" borderId="0" xfId="0" applyNumberFormat="1" applyFont="1" applyFill="1" applyBorder="1"/>
    <xf numFmtId="39" fontId="44" fillId="0" borderId="12" xfId="0" applyNumberFormat="1" applyFont="1" applyFill="1" applyBorder="1" applyAlignment="1">
      <alignment horizontal="right" wrapText="1"/>
    </xf>
    <xf numFmtId="39" fontId="15" fillId="0" borderId="0" xfId="0" applyNumberFormat="1" applyFont="1" applyFill="1" applyBorder="1" applyAlignment="1">
      <alignment horizontal="right" wrapText="1"/>
    </xf>
    <xf numFmtId="4" fontId="15" fillId="0" borderId="0" xfId="0" applyNumberFormat="1" applyFont="1" applyBorder="1" applyAlignment="1">
      <alignment horizontal="left" wrapText="1"/>
    </xf>
    <xf numFmtId="39" fontId="15" fillId="0" borderId="0" xfId="0" applyNumberFormat="1" applyFont="1" applyFill="1" applyBorder="1" applyAlignment="1"/>
    <xf numFmtId="4" fontId="15" fillId="0" borderId="0" xfId="0" applyNumberFormat="1" applyFont="1" applyBorder="1" applyAlignment="1"/>
    <xf numFmtId="0" fontId="13" fillId="0" borderId="0" xfId="8" applyFont="1" applyAlignment="1">
      <alignment vertical="center"/>
    </xf>
    <xf numFmtId="3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 vertical="center"/>
    </xf>
    <xf numFmtId="3" fontId="2" fillId="0" borderId="1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3" fontId="2" fillId="0" borderId="1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32" fillId="0" borderId="17" xfId="0" applyNumberFormat="1" applyFont="1" applyFill="1" applyBorder="1" applyAlignment="1" applyProtection="1">
      <alignment wrapText="1"/>
    </xf>
    <xf numFmtId="3" fontId="2" fillId="0" borderId="18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" fontId="4" fillId="0" borderId="20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71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1" xfId="10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Border="1"/>
    <xf numFmtId="0" fontId="49" fillId="0" borderId="0" xfId="0" applyFont="1" applyBorder="1"/>
    <xf numFmtId="0" fontId="2" fillId="0" borderId="0" xfId="10" applyFont="1" applyBorder="1" applyAlignment="1">
      <alignment horizontal="left"/>
    </xf>
    <xf numFmtId="0" fontId="49" fillId="0" borderId="0" xfId="0" applyFont="1"/>
    <xf numFmtId="0" fontId="2" fillId="0" borderId="0" xfId="10" applyFont="1" applyBorder="1"/>
    <xf numFmtId="196" fontId="4" fillId="0" borderId="0" xfId="9" applyNumberFormat="1" applyFont="1" applyFill="1" applyBorder="1" applyAlignment="1">
      <alignment horizontal="center" vertical="center"/>
    </xf>
    <xf numFmtId="196" fontId="4" fillId="0" borderId="22" xfId="9" applyNumberFormat="1" applyFont="1" applyFill="1" applyBorder="1" applyAlignment="1">
      <alignment horizontal="center" vertical="center"/>
    </xf>
    <xf numFmtId="0" fontId="50" fillId="0" borderId="23" xfId="0" applyNumberFormat="1" applyFont="1" applyFill="1" applyBorder="1" applyAlignment="1" applyProtection="1"/>
    <xf numFmtId="196" fontId="2" fillId="0" borderId="0" xfId="9" applyNumberFormat="1" applyFont="1" applyFill="1" applyBorder="1" applyAlignment="1" applyProtection="1">
      <alignment horizontal="center" vertical="center"/>
    </xf>
    <xf numFmtId="196" fontId="4" fillId="0" borderId="24" xfId="10" applyNumberFormat="1" applyFont="1" applyFill="1" applyBorder="1" applyAlignment="1" applyProtection="1">
      <alignment horizontal="center" vertical="center"/>
      <protection locked="0"/>
    </xf>
    <xf numFmtId="196" fontId="4" fillId="0" borderId="25" xfId="10" applyNumberFormat="1" applyFont="1" applyFill="1" applyBorder="1" applyAlignment="1" applyProtection="1">
      <alignment horizontal="center" vertical="center"/>
      <protection locked="0"/>
    </xf>
    <xf numFmtId="196" fontId="4" fillId="0" borderId="25" xfId="10" applyNumberFormat="1" applyFont="1" applyFill="1" applyBorder="1" applyAlignment="1" applyProtection="1">
      <alignment horizontal="center" vertical="center" wrapText="1"/>
      <protection locked="0"/>
    </xf>
    <xf numFmtId="196" fontId="4" fillId="0" borderId="26" xfId="10" applyNumberFormat="1" applyFont="1" applyFill="1" applyBorder="1" applyAlignment="1" applyProtection="1">
      <alignment horizontal="center" vertical="center" wrapText="1"/>
      <protection locked="0"/>
    </xf>
    <xf numFmtId="196" fontId="4" fillId="0" borderId="21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0" fontId="2" fillId="0" borderId="0" xfId="10" applyFont="1" applyBorder="1" applyAlignment="1">
      <alignment horizontal="center" vertical="center"/>
    </xf>
    <xf numFmtId="0" fontId="50" fillId="0" borderId="27" xfId="0" applyNumberFormat="1" applyFont="1" applyFill="1" applyBorder="1" applyAlignment="1" applyProtection="1"/>
    <xf numFmtId="0" fontId="50" fillId="0" borderId="28" xfId="0" applyNumberFormat="1" applyFont="1" applyFill="1" applyBorder="1" applyAlignment="1" applyProtection="1"/>
    <xf numFmtId="0" fontId="50" fillId="0" borderId="29" xfId="0" applyNumberFormat="1" applyFont="1" applyFill="1" applyBorder="1" applyAlignment="1" applyProtection="1"/>
    <xf numFmtId="0" fontId="50" fillId="0" borderId="30" xfId="0" applyNumberFormat="1" applyFont="1" applyFill="1" applyBorder="1" applyAlignment="1" applyProtection="1"/>
    <xf numFmtId="0" fontId="50" fillId="0" borderId="31" xfId="0" applyNumberFormat="1" applyFont="1" applyFill="1" applyBorder="1" applyAlignment="1" applyProtection="1"/>
    <xf numFmtId="196" fontId="4" fillId="0" borderId="0" xfId="10" applyNumberFormat="1" applyFont="1" applyFill="1" applyBorder="1" applyAlignment="1" applyProtection="1">
      <alignment horizontal="center" vertical="center"/>
      <protection locked="0"/>
    </xf>
    <xf numFmtId="196" fontId="4" fillId="0" borderId="0" xfId="10" applyNumberFormat="1" applyFont="1" applyFill="1" applyBorder="1" applyAlignment="1" applyProtection="1">
      <alignment horizontal="center" vertical="center" wrapText="1"/>
      <protection locked="0"/>
    </xf>
    <xf numFmtId="196" fontId="51" fillId="0" borderId="0" xfId="9" applyNumberFormat="1" applyFont="1" applyBorder="1" applyAlignment="1" applyProtection="1">
      <alignment horizontal="center" vertical="center" wrapText="1"/>
      <protection locked="0"/>
    </xf>
    <xf numFmtId="196" fontId="4" fillId="0" borderId="32" xfId="9" applyNumberFormat="1" applyFont="1" applyFill="1" applyBorder="1" applyAlignment="1">
      <alignment horizontal="center" vertical="center"/>
    </xf>
    <xf numFmtId="196" fontId="4" fillId="0" borderId="33" xfId="9" applyNumberFormat="1" applyFont="1" applyFill="1" applyBorder="1" applyAlignment="1">
      <alignment horizontal="center" vertical="center"/>
    </xf>
    <xf numFmtId="196" fontId="4" fillId="0" borderId="34" xfId="10" applyNumberFormat="1" applyFont="1" applyFill="1" applyBorder="1" applyAlignment="1" applyProtection="1">
      <alignment horizontal="center" vertical="center"/>
      <protection locked="0"/>
    </xf>
    <xf numFmtId="196" fontId="4" fillId="0" borderId="35" xfId="10" applyNumberFormat="1" applyFont="1" applyFill="1" applyBorder="1" applyAlignment="1" applyProtection="1">
      <alignment horizontal="center" vertical="center"/>
      <protection locked="0"/>
    </xf>
    <xf numFmtId="196" fontId="4" fillId="0" borderId="36" xfId="10" applyNumberFormat="1" applyFont="1" applyFill="1" applyBorder="1" applyAlignment="1" applyProtection="1">
      <alignment horizontal="center" vertical="center" wrapText="1"/>
      <protection locked="0"/>
    </xf>
    <xf numFmtId="196" fontId="4" fillId="0" borderId="35" xfId="10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Border="1" applyAlignment="1" applyProtection="1">
      <alignment horizontal="center" vertical="center" wrapText="1"/>
      <protection locked="0"/>
    </xf>
    <xf numFmtId="196" fontId="4" fillId="0" borderId="38" xfId="9" applyNumberFormat="1" applyFont="1" applyFill="1" applyBorder="1" applyAlignment="1">
      <alignment horizontal="center" vertical="center"/>
    </xf>
    <xf numFmtId="196" fontId="4" fillId="0" borderId="39" xfId="9" applyNumberFormat="1" applyFont="1" applyFill="1" applyBorder="1" applyAlignment="1">
      <alignment horizontal="center" vertical="center"/>
    </xf>
    <xf numFmtId="196" fontId="4" fillId="0" borderId="40" xfId="10" applyNumberFormat="1" applyFont="1" applyFill="1" applyBorder="1" applyAlignment="1" applyProtection="1">
      <alignment horizontal="center" vertical="center"/>
      <protection locked="0"/>
    </xf>
    <xf numFmtId="196" fontId="4" fillId="0" borderId="41" xfId="10" applyNumberFormat="1" applyFont="1" applyFill="1" applyBorder="1" applyAlignment="1" applyProtection="1">
      <alignment horizontal="center" vertical="center"/>
      <protection locked="0"/>
    </xf>
    <xf numFmtId="196" fontId="4" fillId="0" borderId="42" xfId="10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10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9" applyNumberFormat="1" applyFont="1" applyFill="1" applyBorder="1" applyAlignment="1" applyProtection="1">
      <alignment horizontal="center" vertical="center"/>
      <protection locked="0"/>
    </xf>
    <xf numFmtId="196" fontId="4" fillId="0" borderId="43" xfId="9" applyNumberFormat="1" applyFont="1" applyBorder="1" applyAlignment="1" applyProtection="1">
      <alignment horizontal="center" vertical="center" wrapText="1"/>
      <protection locked="0"/>
    </xf>
    <xf numFmtId="196" fontId="2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44" xfId="10" applyNumberFormat="1" applyFont="1" applyFill="1" applyBorder="1" applyAlignment="1" applyProtection="1">
      <alignment horizontal="center" vertical="center"/>
      <protection locked="0"/>
    </xf>
    <xf numFmtId="196" fontId="4" fillId="0" borderId="45" xfId="10" applyNumberFormat="1" applyFont="1" applyFill="1" applyBorder="1" applyAlignment="1" applyProtection="1">
      <alignment horizontal="center" vertical="center"/>
      <protection locked="0"/>
    </xf>
    <xf numFmtId="196" fontId="4" fillId="0" borderId="46" xfId="10" applyNumberFormat="1" applyFont="1" applyFill="1" applyBorder="1" applyAlignment="1" applyProtection="1">
      <alignment horizontal="center" vertical="center" wrapText="1"/>
      <protection locked="0"/>
    </xf>
    <xf numFmtId="196" fontId="4" fillId="0" borderId="45" xfId="10" applyNumberFormat="1" applyFont="1" applyFill="1" applyBorder="1" applyAlignment="1" applyProtection="1">
      <alignment horizontal="center" vertical="center" wrapText="1"/>
      <protection locked="0"/>
    </xf>
    <xf numFmtId="196" fontId="4" fillId="0" borderId="47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>
      <alignment horizontal="left"/>
    </xf>
    <xf numFmtId="196" fontId="4" fillId="0" borderId="48" xfId="9" applyNumberFormat="1" applyFont="1" applyFill="1" applyBorder="1" applyAlignment="1">
      <alignment horizontal="left"/>
    </xf>
    <xf numFmtId="196" fontId="4" fillId="0" borderId="49" xfId="9" applyNumberFormat="1" applyFont="1" applyFill="1" applyBorder="1" applyAlignment="1">
      <alignment horizontal="left"/>
    </xf>
    <xf numFmtId="196" fontId="52" fillId="0" borderId="0" xfId="9" quotePrefix="1" applyNumberFormat="1" applyFont="1" applyFill="1" applyBorder="1" applyAlignment="1">
      <alignment horizontal="center"/>
    </xf>
    <xf numFmtId="196" fontId="4" fillId="0" borderId="50" xfId="9" applyNumberFormat="1" applyFont="1" applyFill="1" applyBorder="1" applyAlignment="1" applyProtection="1">
      <alignment horizontal="right"/>
    </xf>
    <xf numFmtId="196" fontId="4" fillId="0" borderId="0" xfId="9" applyNumberFormat="1" applyFont="1" applyFill="1" applyBorder="1" applyAlignment="1" applyProtection="1">
      <alignment horizontal="right"/>
    </xf>
    <xf numFmtId="0" fontId="2" fillId="0" borderId="0" xfId="10" applyFont="1" applyFill="1" applyBorder="1"/>
    <xf numFmtId="196" fontId="4" fillId="0" borderId="0" xfId="9" applyNumberFormat="1" applyFont="1" applyFill="1" applyBorder="1" applyAlignment="1">
      <alignment horizontal="left" vertical="top"/>
    </xf>
    <xf numFmtId="196" fontId="4" fillId="0" borderId="40" xfId="9" applyNumberFormat="1" applyFont="1" applyFill="1" applyBorder="1" applyAlignment="1">
      <alignment horizontal="left" vertical="top"/>
    </xf>
    <xf numFmtId="196" fontId="4" fillId="0" borderId="51" xfId="9" applyNumberFormat="1" applyFont="1" applyFill="1" applyBorder="1" applyAlignment="1">
      <alignment horizontal="left" vertical="top"/>
    </xf>
    <xf numFmtId="196" fontId="4" fillId="0" borderId="43" xfId="9" applyNumberFormat="1" applyFont="1" applyFill="1" applyBorder="1" applyAlignment="1" applyProtection="1">
      <alignment horizontal="right"/>
    </xf>
    <xf numFmtId="196" fontId="4" fillId="0" borderId="52" xfId="9" applyNumberFormat="1" applyFont="1" applyFill="1" applyBorder="1" applyAlignment="1">
      <alignment horizontal="left" vertical="top"/>
    </xf>
    <xf numFmtId="196" fontId="4" fillId="0" borderId="53" xfId="9" applyNumberFormat="1" applyFont="1" applyFill="1" applyBorder="1" applyAlignment="1">
      <alignment horizontal="left" vertical="top"/>
    </xf>
    <xf numFmtId="196" fontId="4" fillId="0" borderId="54" xfId="9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55" xfId="9" applyNumberFormat="1" applyFont="1" applyFill="1" applyBorder="1" applyAlignment="1">
      <alignment horizontal="left" vertical="top"/>
    </xf>
    <xf numFmtId="196" fontId="4" fillId="0" borderId="56" xfId="9" applyNumberFormat="1" applyFont="1" applyFill="1" applyBorder="1" applyAlignment="1">
      <alignment horizontal="left" vertical="top"/>
    </xf>
    <xf numFmtId="196" fontId="2" fillId="0" borderId="55" xfId="9" applyNumberFormat="1" applyFont="1" applyFill="1" applyBorder="1" applyAlignment="1" applyProtection="1">
      <protection locked="0"/>
    </xf>
    <xf numFmtId="196" fontId="2" fillId="0" borderId="57" xfId="9" applyNumberFormat="1" applyFont="1" applyFill="1" applyBorder="1" applyAlignment="1" applyProtection="1">
      <protection locked="0"/>
    </xf>
    <xf numFmtId="196" fontId="2" fillId="0" borderId="58" xfId="9" applyNumberFormat="1" applyFont="1" applyFill="1" applyBorder="1" applyAlignment="1" applyProtection="1">
      <alignment wrapText="1"/>
      <protection locked="0"/>
    </xf>
    <xf numFmtId="196" fontId="2" fillId="0" borderId="59" xfId="9" applyNumberFormat="1" applyFont="1" applyFill="1" applyBorder="1" applyAlignment="1" applyProtection="1">
      <protection locked="0"/>
    </xf>
    <xf numFmtId="196" fontId="2" fillId="0" borderId="60" xfId="9" applyNumberFormat="1" applyFont="1" applyFill="1" applyBorder="1" applyAlignment="1" applyProtection="1">
      <protection locked="0"/>
    </xf>
    <xf numFmtId="196" fontId="2" fillId="0" borderId="61" xfId="9" applyNumberFormat="1" applyFont="1" applyFill="1" applyBorder="1" applyAlignment="1" applyProtection="1">
      <alignment horizontal="right"/>
    </xf>
    <xf numFmtId="196" fontId="2" fillId="0" borderId="0" xfId="9" applyNumberFormat="1" applyFont="1" applyFill="1" applyBorder="1" applyAlignment="1" applyProtection="1">
      <alignment horizontal="right"/>
    </xf>
    <xf numFmtId="196" fontId="4" fillId="0" borderId="40" xfId="9" applyNumberFormat="1" applyFont="1" applyFill="1" applyBorder="1" applyAlignment="1">
      <alignment horizontal="left"/>
    </xf>
    <xf numFmtId="196" fontId="4" fillId="0" borderId="51" xfId="9" applyNumberFormat="1" applyFont="1" applyFill="1" applyBorder="1" applyAlignment="1">
      <alignment horizontal="left"/>
    </xf>
    <xf numFmtId="196" fontId="2" fillId="0" borderId="40" xfId="9" applyNumberFormat="1" applyFont="1" applyFill="1" applyBorder="1" applyAlignment="1" applyProtection="1">
      <protection locked="0"/>
    </xf>
    <xf numFmtId="196" fontId="2" fillId="0" borderId="41" xfId="9" applyNumberFormat="1" applyFont="1" applyFill="1" applyBorder="1" applyAlignment="1" applyProtection="1">
      <protection locked="0"/>
    </xf>
    <xf numFmtId="196" fontId="2" fillId="0" borderId="42" xfId="9" applyNumberFormat="1" applyFont="1" applyFill="1" applyBorder="1" applyAlignment="1" applyProtection="1">
      <alignment wrapText="1"/>
      <protection locked="0"/>
    </xf>
    <xf numFmtId="196" fontId="2" fillId="0" borderId="62" xfId="9" applyNumberFormat="1" applyFont="1" applyFill="1" applyBorder="1" applyAlignment="1" applyProtection="1">
      <protection locked="0"/>
    </xf>
    <xf numFmtId="196" fontId="2" fillId="0" borderId="63" xfId="9" applyNumberFormat="1" applyFont="1" applyFill="1" applyBorder="1" applyAlignment="1" applyProtection="1">
      <protection locked="0"/>
    </xf>
    <xf numFmtId="196" fontId="2" fillId="0" borderId="43" xfId="9" applyNumberFormat="1" applyFont="1" applyFill="1" applyBorder="1" applyAlignment="1" applyProtection="1">
      <alignment horizontal="right"/>
    </xf>
    <xf numFmtId="3" fontId="2" fillId="0" borderId="63" xfId="9" applyNumberFormat="1" applyFont="1" applyFill="1" applyBorder="1" applyAlignment="1" applyProtection="1">
      <protection locked="0"/>
    </xf>
    <xf numFmtId="196" fontId="4" fillId="0" borderId="38" xfId="9" applyNumberFormat="1" applyFont="1" applyFill="1" applyBorder="1" applyAlignment="1">
      <alignment horizontal="left"/>
    </xf>
    <xf numFmtId="196" fontId="4" fillId="0" borderId="39" xfId="9" applyNumberFormat="1" applyFont="1" applyFill="1" applyBorder="1" applyAlignment="1">
      <alignment horizontal="left"/>
    </xf>
    <xf numFmtId="196" fontId="2" fillId="0" borderId="27" xfId="9" applyNumberFormat="1" applyFont="1" applyFill="1" applyBorder="1" applyAlignment="1" applyProtection="1">
      <protection locked="0"/>
    </xf>
    <xf numFmtId="196" fontId="2" fillId="0" borderId="30" xfId="9" applyNumberFormat="1" applyFont="1" applyFill="1" applyBorder="1" applyAlignment="1" applyProtection="1">
      <protection locked="0"/>
    </xf>
    <xf numFmtId="196" fontId="2" fillId="0" borderId="64" xfId="9" applyNumberFormat="1" applyFont="1" applyFill="1" applyBorder="1" applyAlignment="1" applyProtection="1">
      <alignment wrapText="1"/>
      <protection locked="0"/>
    </xf>
    <xf numFmtId="196" fontId="2" fillId="0" borderId="65" xfId="9" applyNumberFormat="1" applyFont="1" applyFill="1" applyBorder="1" applyAlignment="1" applyProtection="1">
      <protection locked="0"/>
    </xf>
    <xf numFmtId="196" fontId="2" fillId="0" borderId="66" xfId="9" applyNumberFormat="1" applyFont="1" applyFill="1" applyBorder="1" applyAlignment="1" applyProtection="1">
      <protection locked="0"/>
    </xf>
    <xf numFmtId="196" fontId="2" fillId="0" borderId="54" xfId="9" applyNumberFormat="1" applyFont="1" applyFill="1" applyBorder="1" applyAlignment="1" applyProtection="1">
      <alignment horizontal="right"/>
    </xf>
    <xf numFmtId="196" fontId="4" fillId="0" borderId="22" xfId="9" applyNumberFormat="1" applyFont="1" applyFill="1" applyBorder="1" applyAlignment="1">
      <alignment horizontal="left"/>
    </xf>
    <xf numFmtId="196" fontId="4" fillId="0" borderId="23" xfId="9" applyNumberFormat="1" applyFont="1" applyFill="1" applyBorder="1" applyAlignment="1">
      <alignment horizontal="left"/>
    </xf>
    <xf numFmtId="196" fontId="52" fillId="0" borderId="0" xfId="9" applyNumberFormat="1" applyFont="1" applyFill="1" applyBorder="1" applyAlignment="1">
      <alignment horizontal="center"/>
    </xf>
    <xf numFmtId="196" fontId="4" fillId="0" borderId="67" xfId="9" applyNumberFormat="1" applyFont="1" applyFill="1" applyBorder="1" applyAlignment="1" applyProtection="1"/>
    <xf numFmtId="196" fontId="4" fillId="0" borderId="68" xfId="9" applyNumberFormat="1" applyFont="1" applyFill="1" applyBorder="1" applyAlignment="1" applyProtection="1"/>
    <xf numFmtId="196" fontId="4" fillId="0" borderId="69" xfId="9" applyNumberFormat="1" applyFont="1" applyFill="1" applyBorder="1" applyAlignment="1" applyProtection="1"/>
    <xf numFmtId="196" fontId="4" fillId="0" borderId="70" xfId="9" applyNumberFormat="1" applyFont="1" applyFill="1" applyBorder="1" applyAlignment="1" applyProtection="1"/>
    <xf numFmtId="196" fontId="4" fillId="0" borderId="38" xfId="9" applyNumberFormat="1" applyFont="1" applyFill="1" applyBorder="1" applyAlignment="1">
      <alignment horizontal="left" vertical="top"/>
    </xf>
    <xf numFmtId="196" fontId="4" fillId="0" borderId="71" xfId="9" applyNumberFormat="1" applyFont="1" applyFill="1" applyBorder="1" applyAlignment="1" applyProtection="1"/>
    <xf numFmtId="196" fontId="4" fillId="0" borderId="41" xfId="9" applyNumberFormat="1" applyFont="1" applyFill="1" applyBorder="1" applyAlignment="1" applyProtection="1"/>
    <xf numFmtId="196" fontId="4" fillId="0" borderId="62" xfId="9" applyNumberFormat="1" applyFont="1" applyFill="1" applyBorder="1" applyAlignment="1" applyProtection="1"/>
    <xf numFmtId="196" fontId="4" fillId="0" borderId="63" xfId="9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left"/>
      <protection locked="0"/>
    </xf>
    <xf numFmtId="196" fontId="4" fillId="0" borderId="27" xfId="9" applyNumberFormat="1" applyFont="1" applyFill="1" applyBorder="1" applyAlignment="1">
      <alignment horizontal="left" vertical="top"/>
    </xf>
    <xf numFmtId="196" fontId="4" fillId="0" borderId="28" xfId="9" applyNumberFormat="1" applyFont="1" applyFill="1" applyBorder="1" applyAlignment="1">
      <alignment horizontal="left"/>
    </xf>
    <xf numFmtId="196" fontId="2" fillId="0" borderId="0" xfId="9" applyNumberFormat="1" applyFont="1" applyFill="1" applyBorder="1"/>
    <xf numFmtId="196" fontId="4" fillId="0" borderId="72" xfId="9" applyNumberFormat="1" applyFont="1" applyFill="1" applyBorder="1" applyAlignment="1" applyProtection="1"/>
    <xf numFmtId="196" fontId="4" fillId="0" borderId="73" xfId="9" applyNumberFormat="1" applyFont="1" applyFill="1" applyBorder="1" applyAlignment="1" applyProtection="1"/>
    <xf numFmtId="196" fontId="4" fillId="0" borderId="74" xfId="9" applyNumberFormat="1" applyFont="1" applyFill="1" applyBorder="1" applyAlignment="1" applyProtection="1"/>
    <xf numFmtId="196" fontId="4" fillId="0" borderId="75" xfId="9" applyNumberFormat="1" applyFont="1" applyFill="1" applyBorder="1" applyAlignment="1" applyProtection="1"/>
    <xf numFmtId="0" fontId="2" fillId="0" borderId="0" xfId="10" applyFont="1" applyFill="1" applyBorder="1" applyAlignment="1">
      <alignment horizontal="left"/>
    </xf>
    <xf numFmtId="196" fontId="2" fillId="0" borderId="0" xfId="10" applyNumberFormat="1" applyFont="1" applyFill="1" applyBorder="1"/>
    <xf numFmtId="196" fontId="2" fillId="0" borderId="0" xfId="10" applyNumberFormat="1" applyFont="1" applyBorder="1"/>
    <xf numFmtId="0" fontId="32" fillId="0" borderId="66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182" fontId="13" fillId="0" borderId="0" xfId="7" applyNumberFormat="1" applyFont="1" applyAlignment="1">
      <alignment horizontal="right" vertical="center"/>
    </xf>
    <xf numFmtId="196" fontId="4" fillId="0" borderId="76" xfId="9" applyNumberFormat="1" applyFont="1" applyFill="1" applyBorder="1" applyAlignment="1" applyProtection="1">
      <protection locked="0"/>
    </xf>
    <xf numFmtId="196" fontId="4" fillId="0" borderId="76" xfId="9" applyNumberFormat="1" applyFont="1" applyFill="1" applyBorder="1" applyAlignment="1" applyProtection="1">
      <alignment wrapText="1"/>
      <protection locked="0"/>
    </xf>
    <xf numFmtId="196" fontId="4" fillId="0" borderId="77" xfId="9" applyNumberFormat="1" applyFont="1" applyFill="1" applyBorder="1" applyAlignment="1" applyProtection="1">
      <protection locked="0"/>
    </xf>
    <xf numFmtId="197" fontId="4" fillId="0" borderId="78" xfId="3" applyNumberFormat="1" applyFont="1" applyFill="1" applyBorder="1" applyAlignment="1" applyProtection="1">
      <protection locked="0"/>
    </xf>
    <xf numFmtId="196" fontId="4" fillId="0" borderId="78" xfId="9" applyNumberFormat="1" applyFont="1" applyFill="1" applyBorder="1" applyAlignment="1" applyProtection="1">
      <alignment wrapText="1"/>
      <protection locked="0"/>
    </xf>
    <xf numFmtId="196" fontId="4" fillId="0" borderId="78" xfId="9" applyNumberFormat="1" applyFont="1" applyFill="1" applyBorder="1" applyAlignment="1" applyProtection="1">
      <protection locked="0"/>
    </xf>
    <xf numFmtId="196" fontId="4" fillId="0" borderId="79" xfId="9" applyNumberFormat="1" applyFont="1" applyFill="1" applyBorder="1" applyAlignment="1" applyProtection="1">
      <protection locked="0"/>
    </xf>
    <xf numFmtId="196" fontId="4" fillId="0" borderId="80" xfId="9" applyNumberFormat="1" applyFont="1" applyFill="1" applyBorder="1" applyAlignment="1" applyProtection="1">
      <protection locked="0"/>
    </xf>
    <xf numFmtId="196" fontId="4" fillId="0" borderId="81" xfId="9" applyNumberFormat="1" applyFont="1" applyFill="1" applyBorder="1" applyAlignment="1" applyProtection="1">
      <protection locked="0"/>
    </xf>
    <xf numFmtId="196" fontId="4" fillId="0" borderId="81" xfId="9" applyNumberFormat="1" applyFont="1" applyFill="1" applyBorder="1" applyAlignment="1" applyProtection="1">
      <alignment wrapText="1"/>
      <protection locked="0"/>
    </xf>
    <xf numFmtId="196" fontId="4" fillId="0" borderId="82" xfId="9" applyNumberFormat="1" applyFont="1" applyFill="1" applyBorder="1" applyAlignment="1" applyProtection="1">
      <protection locked="0"/>
    </xf>
    <xf numFmtId="196" fontId="4" fillId="0" borderId="83" xfId="9" applyNumberFormat="1" applyFont="1" applyFill="1" applyBorder="1" applyAlignment="1" applyProtection="1">
      <protection locked="0"/>
    </xf>
    <xf numFmtId="196" fontId="4" fillId="0" borderId="84" xfId="9" applyNumberFormat="1" applyFont="1" applyFill="1" applyBorder="1" applyAlignment="1" applyProtection="1">
      <protection locked="0"/>
    </xf>
    <xf numFmtId="196" fontId="4" fillId="0" borderId="54" xfId="9" applyNumberFormat="1" applyFont="1" applyFill="1" applyBorder="1" applyAlignment="1" applyProtection="1">
      <alignment wrapText="1"/>
      <protection locked="0"/>
    </xf>
    <xf numFmtId="0" fontId="54" fillId="0" borderId="0" xfId="0" applyNumberFormat="1" applyFont="1" applyFill="1" applyBorder="1" applyAlignment="1" applyProtection="1"/>
    <xf numFmtId="0" fontId="13" fillId="0" borderId="0" xfId="7" applyFont="1" applyAlignment="1">
      <alignment vertical="center"/>
    </xf>
    <xf numFmtId="0" fontId="55" fillId="0" borderId="0" xfId="0" applyFont="1" applyAlignment="1">
      <alignment horizontal="left" vertical="center"/>
    </xf>
    <xf numFmtId="0" fontId="56" fillId="0" borderId="0" xfId="0" applyFont="1"/>
    <xf numFmtId="0" fontId="0" fillId="0" borderId="0" xfId="0" applyBorder="1"/>
    <xf numFmtId="0" fontId="0" fillId="0" borderId="3" xfId="0" applyBorder="1" applyAlignment="1">
      <alignment horizontal="center"/>
    </xf>
    <xf numFmtId="0" fontId="3" fillId="0" borderId="0" xfId="0" applyFont="1"/>
    <xf numFmtId="3" fontId="59" fillId="0" borderId="3" xfId="2" applyNumberFormat="1" applyBorder="1"/>
    <xf numFmtId="3" fontId="3" fillId="0" borderId="0" xfId="0" applyNumberFormat="1" applyFont="1" applyBorder="1"/>
    <xf numFmtId="3" fontId="0" fillId="0" borderId="0" xfId="0" applyNumberFormat="1" applyBorder="1"/>
    <xf numFmtId="0" fontId="3" fillId="0" borderId="3" xfId="0" applyFont="1" applyBorder="1"/>
    <xf numFmtId="0" fontId="0" fillId="0" borderId="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3" fontId="59" fillId="0" borderId="14" xfId="2" applyNumberFormat="1" applyBorder="1"/>
    <xf numFmtId="0" fontId="12" fillId="0" borderId="17" xfId="0" applyFont="1" applyBorder="1" applyAlignment="1">
      <alignment vertical="center"/>
    </xf>
    <xf numFmtId="0" fontId="60" fillId="0" borderId="18" xfId="0" applyFont="1" applyBorder="1" applyAlignment="1">
      <alignment vertical="center"/>
    </xf>
    <xf numFmtId="0" fontId="60" fillId="0" borderId="18" xfId="0" applyFont="1" applyBorder="1" applyAlignment="1">
      <alignment horizontal="center" vertical="center"/>
    </xf>
    <xf numFmtId="3" fontId="60" fillId="0" borderId="18" xfId="2" applyNumberFormat="1" applyFont="1" applyBorder="1" applyAlignment="1">
      <alignment vertical="center"/>
    </xf>
    <xf numFmtId="3" fontId="60" fillId="0" borderId="85" xfId="2" applyNumberFormat="1" applyFont="1" applyBorder="1" applyAlignment="1">
      <alignment vertical="center"/>
    </xf>
    <xf numFmtId="3" fontId="0" fillId="0" borderId="0" xfId="0" applyNumberFormat="1"/>
    <xf numFmtId="1" fontId="0" fillId="0" borderId="0" xfId="0" applyNumberFormat="1"/>
    <xf numFmtId="0" fontId="53" fillId="0" borderId="0" xfId="0" applyFont="1" applyBorder="1"/>
    <xf numFmtId="3" fontId="59" fillId="0" borderId="0" xfId="2" applyNumberFormat="1" applyFill="1" applyBorder="1"/>
    <xf numFmtId="0" fontId="53" fillId="0" borderId="0" xfId="0" applyFont="1"/>
    <xf numFmtId="0" fontId="3" fillId="0" borderId="0" xfId="0" applyFont="1" applyBorder="1"/>
    <xf numFmtId="0" fontId="0" fillId="0" borderId="13" xfId="0" applyBorder="1"/>
    <xf numFmtId="0" fontId="0" fillId="0" borderId="86" xfId="0" applyBorder="1"/>
    <xf numFmtId="169" fontId="12" fillId="0" borderId="3" xfId="0" applyNumberFormat="1" applyFont="1" applyBorder="1"/>
    <xf numFmtId="169" fontId="0" fillId="0" borderId="3" xfId="0" applyNumberFormat="1" applyBorder="1"/>
    <xf numFmtId="169" fontId="59" fillId="0" borderId="3" xfId="2" applyNumberFormat="1" applyBorder="1"/>
    <xf numFmtId="169" fontId="0" fillId="0" borderId="0" xfId="0" applyNumberFormat="1"/>
    <xf numFmtId="0" fontId="53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8" fillId="0" borderId="0" xfId="0" applyFont="1"/>
    <xf numFmtId="0" fontId="63" fillId="0" borderId="0" xfId="0" applyFont="1"/>
    <xf numFmtId="0" fontId="58" fillId="0" borderId="14" xfId="0" applyFont="1" applyBorder="1" applyAlignment="1">
      <alignment horizontal="center"/>
    </xf>
    <xf numFmtId="0" fontId="58" fillId="0" borderId="14" xfId="0" applyFont="1" applyBorder="1"/>
    <xf numFmtId="0" fontId="58" fillId="0" borderId="8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0" fillId="0" borderId="87" xfId="0" applyBorder="1"/>
    <xf numFmtId="0" fontId="0" fillId="0" borderId="88" xfId="0" applyBorder="1"/>
    <xf numFmtId="0" fontId="0" fillId="0" borderId="89" xfId="0" applyBorder="1"/>
    <xf numFmtId="0" fontId="0" fillId="0" borderId="76" xfId="0" applyBorder="1"/>
    <xf numFmtId="0" fontId="68" fillId="0" borderId="0" xfId="0" applyFont="1" applyAlignment="1">
      <alignment horizontal="center"/>
    </xf>
    <xf numFmtId="0" fontId="69" fillId="0" borderId="0" xfId="0" applyFont="1"/>
    <xf numFmtId="0" fontId="64" fillId="0" borderId="10" xfId="0" applyFont="1" applyBorder="1"/>
    <xf numFmtId="0" fontId="57" fillId="0" borderId="0" xfId="0" applyFont="1"/>
    <xf numFmtId="0" fontId="70" fillId="0" borderId="17" xfId="0" applyFont="1" applyBorder="1" applyAlignment="1">
      <alignment horizontal="center" wrapText="1"/>
    </xf>
    <xf numFmtId="0" fontId="70" fillId="0" borderId="18" xfId="0" applyFont="1" applyBorder="1" applyAlignment="1">
      <alignment horizontal="center" wrapText="1"/>
    </xf>
    <xf numFmtId="0" fontId="58" fillId="0" borderId="85" xfId="0" applyFont="1" applyBorder="1" applyAlignment="1">
      <alignment horizontal="right" vertical="top" wrapText="1"/>
    </xf>
    <xf numFmtId="0" fontId="67" fillId="0" borderId="86" xfId="0" applyFont="1" applyBorder="1" applyAlignment="1">
      <alignment horizontal="center" wrapText="1"/>
    </xf>
    <xf numFmtId="0" fontId="0" fillId="0" borderId="9" xfId="0" applyBorder="1"/>
    <xf numFmtId="169" fontId="67" fillId="0" borderId="86" xfId="0" applyNumberFormat="1" applyFont="1" applyBorder="1" applyAlignment="1">
      <alignment horizontal="right" wrapText="1"/>
    </xf>
    <xf numFmtId="0" fontId="67" fillId="0" borderId="3" xfId="0" applyFont="1" applyBorder="1" applyAlignment="1">
      <alignment horizontal="center" wrapText="1"/>
    </xf>
    <xf numFmtId="0" fontId="58" fillId="0" borderId="3" xfId="0" applyFont="1" applyBorder="1" applyAlignment="1">
      <alignment horizontal="center" vertical="top" wrapText="1"/>
    </xf>
    <xf numFmtId="169" fontId="67" fillId="0" borderId="3" xfId="0" applyNumberFormat="1" applyFont="1" applyBorder="1" applyAlignment="1">
      <alignment horizontal="right" wrapText="1"/>
    </xf>
    <xf numFmtId="0" fontId="67" fillId="0" borderId="14" xfId="0" applyFont="1" applyBorder="1" applyAlignment="1">
      <alignment horizontal="center" wrapText="1"/>
    </xf>
    <xf numFmtId="0" fontId="58" fillId="0" borderId="14" xfId="0" applyFont="1" applyBorder="1" applyAlignment="1">
      <alignment horizontal="center" vertical="top" wrapText="1"/>
    </xf>
    <xf numFmtId="169" fontId="67" fillId="0" borderId="14" xfId="0" applyNumberFormat="1" applyFont="1" applyBorder="1" applyAlignment="1">
      <alignment horizontal="right" wrapText="1"/>
    </xf>
    <xf numFmtId="0" fontId="61" fillId="0" borderId="17" xfId="0" applyFont="1" applyBorder="1" applyAlignment="1">
      <alignment horizontal="center" vertical="top" wrapText="1"/>
    </xf>
    <xf numFmtId="0" fontId="71" fillId="0" borderId="18" xfId="0" applyFont="1" applyBorder="1" applyAlignment="1">
      <alignment horizontal="center" wrapText="1"/>
    </xf>
    <xf numFmtId="0" fontId="61" fillId="0" borderId="18" xfId="0" applyFont="1" applyBorder="1" applyAlignment="1">
      <alignment horizontal="center" vertical="top" wrapText="1"/>
    </xf>
    <xf numFmtId="169" fontId="72" fillId="0" borderId="85" xfId="0" applyNumberFormat="1" applyFont="1" applyBorder="1" applyAlignment="1">
      <alignment horizontal="right" wrapText="1"/>
    </xf>
    <xf numFmtId="0" fontId="73" fillId="0" borderId="0" xfId="0" applyFont="1"/>
    <xf numFmtId="0" fontId="74" fillId="0" borderId="0" xfId="0" applyFont="1"/>
    <xf numFmtId="0" fontId="0" fillId="0" borderId="90" xfId="0" applyBorder="1"/>
    <xf numFmtId="0" fontId="0" fillId="0" borderId="91" xfId="0" applyBorder="1"/>
    <xf numFmtId="169" fontId="0" fillId="0" borderId="92" xfId="0" applyNumberFormat="1" applyBorder="1"/>
    <xf numFmtId="169" fontId="0" fillId="0" borderId="93" xfId="0" applyNumberFormat="1" applyBorder="1"/>
    <xf numFmtId="169" fontId="0" fillId="0" borderId="94" xfId="0" applyNumberFormat="1" applyBorder="1"/>
    <xf numFmtId="182" fontId="11" fillId="0" borderId="0" xfId="7" applyNumberFormat="1" applyFill="1" applyBorder="1" applyAlignment="1" applyProtection="1"/>
    <xf numFmtId="4" fontId="11" fillId="0" borderId="0" xfId="8" applyNumberFormat="1" applyFill="1" applyBorder="1" applyAlignment="1" applyProtection="1"/>
    <xf numFmtId="4" fontId="11" fillId="0" borderId="0" xfId="7" applyNumberFormat="1" applyFill="1" applyBorder="1" applyAlignment="1" applyProtection="1"/>
    <xf numFmtId="0" fontId="32" fillId="0" borderId="13" xfId="0" applyNumberFormat="1" applyFont="1" applyFill="1" applyBorder="1" applyAlignment="1" applyProtection="1">
      <alignment wrapText="1"/>
    </xf>
    <xf numFmtId="0" fontId="32" fillId="0" borderId="14" xfId="0" applyNumberFormat="1" applyFont="1" applyFill="1" applyBorder="1" applyAlignment="1" applyProtection="1">
      <alignment horizontal="center" vertical="center" wrapText="1"/>
    </xf>
    <xf numFmtId="0" fontId="32" fillId="0" borderId="5" xfId="0" applyNumberFormat="1" applyFont="1" applyFill="1" applyBorder="1" applyAlignment="1" applyProtection="1">
      <alignment horizontal="center" vertical="center" wrapText="1"/>
    </xf>
    <xf numFmtId="0" fontId="32" fillId="0" borderId="21" xfId="0" applyNumberFormat="1" applyFont="1" applyFill="1" applyBorder="1" applyAlignment="1" applyProtection="1">
      <alignment horizontal="center" vertical="center" wrapText="1"/>
    </xf>
    <xf numFmtId="3" fontId="2" fillId="0" borderId="86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2" fillId="0" borderId="95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171" fontId="2" fillId="0" borderId="0" xfId="0" applyNumberFormat="1" applyFont="1" applyFill="1" applyBorder="1" applyAlignment="1" applyProtection="1"/>
    <xf numFmtId="0" fontId="0" fillId="0" borderId="86" xfId="0" applyBorder="1" applyAlignment="1">
      <alignment horizontal="center"/>
    </xf>
    <xf numFmtId="3" fontId="59" fillId="0" borderId="86" xfId="2" applyNumberFormat="1" applyBorder="1"/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4" fontId="12" fillId="0" borderId="30" xfId="0" applyNumberFormat="1" applyFont="1" applyBorder="1" applyAlignment="1">
      <alignment horizontal="center"/>
    </xf>
    <xf numFmtId="14" fontId="12" fillId="0" borderId="66" xfId="0" applyNumberFormat="1" applyFont="1" applyBorder="1" applyAlignment="1">
      <alignment horizontal="center"/>
    </xf>
    <xf numFmtId="39" fontId="9" fillId="0" borderId="0" xfId="0" applyNumberFormat="1" applyFont="1" applyFill="1"/>
    <xf numFmtId="0" fontId="6" fillId="0" borderId="0" xfId="0" applyFont="1" applyFill="1"/>
    <xf numFmtId="39" fontId="7" fillId="0" borderId="10" xfId="0" applyNumberFormat="1" applyFont="1" applyFill="1" applyBorder="1" applyAlignment="1">
      <alignment horizontal="center"/>
    </xf>
    <xf numFmtId="39" fontId="7" fillId="0" borderId="0" xfId="0" applyNumberFormat="1" applyFont="1" applyFill="1" applyAlignment="1">
      <alignment horizontal="center"/>
    </xf>
    <xf numFmtId="171" fontId="6" fillId="0" borderId="0" xfId="1" applyFont="1" applyFill="1"/>
    <xf numFmtId="0" fontId="9" fillId="0" borderId="0" xfId="0" applyFont="1" applyFill="1" applyAlignment="1">
      <alignment horizontal="center"/>
    </xf>
    <xf numFmtId="171" fontId="9" fillId="0" borderId="1" xfId="1" applyFont="1" applyFill="1" applyBorder="1"/>
    <xf numFmtId="171" fontId="6" fillId="0" borderId="1" xfId="1" applyFont="1" applyFill="1" applyBorder="1"/>
    <xf numFmtId="171" fontId="10" fillId="0" borderId="0" xfId="0" applyNumberFormat="1" applyFont="1" applyFill="1"/>
    <xf numFmtId="0" fontId="30" fillId="0" borderId="0" xfId="0" applyFont="1" applyFill="1"/>
    <xf numFmtId="182" fontId="1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/>
    </xf>
    <xf numFmtId="3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171" fontId="6" fillId="0" borderId="0" xfId="1" applyFont="1" applyFill="1" applyAlignment="1">
      <alignment horizontal="right"/>
    </xf>
    <xf numFmtId="171" fontId="9" fillId="0" borderId="1" xfId="1" applyFont="1" applyFill="1" applyBorder="1" applyAlignment="1">
      <alignment horizontal="center"/>
    </xf>
    <xf numFmtId="171" fontId="6" fillId="0" borderId="1" xfId="1" applyFont="1" applyFill="1" applyBorder="1" applyAlignment="1">
      <alignment horizontal="center"/>
    </xf>
    <xf numFmtId="171" fontId="6" fillId="0" borderId="0" xfId="1" applyFont="1" applyFill="1" applyAlignment="1">
      <alignment horizontal="center"/>
    </xf>
    <xf numFmtId="171" fontId="10" fillId="0" borderId="0" xfId="1" applyFont="1" applyFill="1" applyBorder="1"/>
    <xf numFmtId="39" fontId="6" fillId="0" borderId="0" xfId="1" applyNumberFormat="1" applyFont="1" applyFill="1"/>
    <xf numFmtId="39" fontId="9" fillId="0" borderId="0" xfId="0" applyNumberFormat="1" applyFont="1" applyFill="1" applyAlignment="1">
      <alignment horizontal="center"/>
    </xf>
    <xf numFmtId="39" fontId="9" fillId="0" borderId="1" xfId="0" applyNumberFormat="1" applyFont="1" applyFill="1" applyBorder="1"/>
    <xf numFmtId="39" fontId="9" fillId="0" borderId="0" xfId="0" applyNumberFormat="1" applyFont="1" applyFill="1" applyBorder="1"/>
    <xf numFmtId="0" fontId="31" fillId="0" borderId="0" xfId="0" applyFont="1" applyFill="1"/>
    <xf numFmtId="171" fontId="10" fillId="0" borderId="0" xfId="1" applyFont="1" applyFill="1"/>
    <xf numFmtId="39" fontId="30" fillId="0" borderId="0" xfId="0" applyNumberFormat="1" applyFont="1" applyFill="1"/>
    <xf numFmtId="171" fontId="6" fillId="0" borderId="0" xfId="1" applyNumberFormat="1" applyFont="1" applyFill="1" applyAlignment="1">
      <alignment horizontal="right"/>
    </xf>
    <xf numFmtId="39" fontId="7" fillId="0" borderId="2" xfId="0" applyNumberFormat="1" applyFont="1" applyFill="1" applyBorder="1" applyAlignment="1">
      <alignment horizontal="center"/>
    </xf>
    <xf numFmtId="39" fontId="10" fillId="0" borderId="0" xfId="0" applyNumberFormat="1" applyFont="1" applyFill="1" applyAlignment="1">
      <alignment horizontal="center"/>
    </xf>
    <xf numFmtId="171" fontId="6" fillId="0" borderId="0" xfId="1" applyNumberFormat="1" applyFont="1" applyFill="1" applyAlignment="1"/>
    <xf numFmtId="171" fontId="10" fillId="0" borderId="0" xfId="1" applyNumberFormat="1" applyFont="1" applyFill="1" applyAlignment="1">
      <alignment horizontal="right"/>
    </xf>
    <xf numFmtId="39" fontId="10" fillId="0" borderId="0" xfId="0" applyNumberFormat="1" applyFont="1" applyFill="1"/>
    <xf numFmtId="2" fontId="0" fillId="0" borderId="0" xfId="0" applyNumberFormat="1" applyFill="1"/>
    <xf numFmtId="171" fontId="0" fillId="0" borderId="0" xfId="0" applyNumberFormat="1" applyFill="1"/>
    <xf numFmtId="37" fontId="9" fillId="0" borderId="1" xfId="0" applyNumberFormat="1" applyFont="1" applyFill="1" applyBorder="1"/>
    <xf numFmtId="169" fontId="0" fillId="0" borderId="0" xfId="0" applyNumberFormat="1" applyFill="1"/>
    <xf numFmtId="39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Border="1" applyAlignment="1">
      <alignment horizontal="left"/>
    </xf>
    <xf numFmtId="182" fontId="17" fillId="0" borderId="0" xfId="0" applyNumberFormat="1" applyFont="1" applyFill="1" applyAlignment="1">
      <alignment horizontal="right" vertical="center"/>
    </xf>
    <xf numFmtId="171" fontId="2" fillId="0" borderId="0" xfId="1" applyFont="1" applyFill="1" applyAlignment="1">
      <alignment horizontal="right"/>
    </xf>
    <xf numFmtId="39" fontId="6" fillId="0" borderId="12" xfId="0" applyNumberFormat="1" applyFont="1" applyFill="1" applyBorder="1"/>
    <xf numFmtId="37" fontId="6" fillId="0" borderId="0" xfId="0" applyNumberFormat="1" applyFont="1" applyFill="1" applyBorder="1" applyAlignment="1">
      <alignment horizontal="center"/>
    </xf>
    <xf numFmtId="37" fontId="6" fillId="0" borderId="0" xfId="0" applyNumberFormat="1" applyFont="1" applyFill="1" applyAlignment="1">
      <alignment horizontal="center"/>
    </xf>
    <xf numFmtId="169" fontId="9" fillId="0" borderId="0" xfId="0" applyNumberFormat="1" applyFont="1" applyFill="1" applyAlignment="1">
      <alignment horizontal="right"/>
    </xf>
    <xf numFmtId="169" fontId="6" fillId="0" borderId="0" xfId="0" applyNumberFormat="1" applyFont="1" applyFill="1" applyAlignment="1">
      <alignment horizontal="right"/>
    </xf>
    <xf numFmtId="193" fontId="11" fillId="0" borderId="0" xfId="7" applyNumberFormat="1" applyFill="1" applyBorder="1" applyAlignment="1" applyProtection="1"/>
    <xf numFmtId="0" fontId="80" fillId="0" borderId="0" xfId="5" applyFont="1" applyBorder="1"/>
    <xf numFmtId="41" fontId="80" fillId="0" borderId="0" xfId="5" applyNumberFormat="1" applyFont="1" applyBorder="1"/>
    <xf numFmtId="0" fontId="75" fillId="0" borderId="0" xfId="0" applyFont="1" applyBorder="1"/>
    <xf numFmtId="0" fontId="4" fillId="0" borderId="0" xfId="0" applyFont="1" applyBorder="1"/>
    <xf numFmtId="3" fontId="4" fillId="0" borderId="0" xfId="0" applyNumberFormat="1" applyFont="1" applyFill="1" applyBorder="1" applyAlignment="1" applyProtection="1"/>
    <xf numFmtId="0" fontId="4" fillId="0" borderId="0" xfId="10" applyFont="1" applyFill="1" applyBorder="1"/>
    <xf numFmtId="182" fontId="22" fillId="0" borderId="0" xfId="8" applyNumberFormat="1" applyFont="1" applyAlignment="1">
      <alignment horizontal="right" vertical="center"/>
    </xf>
    <xf numFmtId="0" fontId="80" fillId="0" borderId="0" xfId="0" applyFont="1"/>
    <xf numFmtId="0" fontId="80" fillId="0" borderId="17" xfId="0" applyFont="1" applyBorder="1"/>
    <xf numFmtId="0" fontId="80" fillId="0" borderId="18" xfId="0" applyFont="1" applyBorder="1"/>
    <xf numFmtId="0" fontId="80" fillId="0" borderId="85" xfId="0" applyFont="1" applyBorder="1"/>
    <xf numFmtId="0" fontId="0" fillId="0" borderId="21" xfId="0" applyBorder="1"/>
    <xf numFmtId="169" fontId="0" fillId="0" borderId="86" xfId="0" applyNumberFormat="1" applyBorder="1"/>
    <xf numFmtId="169" fontId="0" fillId="0" borderId="9" xfId="0" applyNumberFormat="1" applyBorder="1"/>
    <xf numFmtId="169" fontId="0" fillId="0" borderId="96" xfId="0" applyNumberFormat="1" applyBorder="1"/>
    <xf numFmtId="0" fontId="0" fillId="0" borderId="97" xfId="0" applyBorder="1"/>
    <xf numFmtId="169" fontId="0" fillId="0" borderId="98" xfId="0" applyNumberFormat="1" applyBorder="1"/>
    <xf numFmtId="169" fontId="0" fillId="0" borderId="99" xfId="0" applyNumberFormat="1" applyBorder="1"/>
    <xf numFmtId="169" fontId="0" fillId="0" borderId="13" xfId="0" applyNumberFormat="1" applyBorder="1"/>
    <xf numFmtId="169" fontId="0" fillId="0" borderId="15" xfId="0" applyNumberFormat="1" applyBorder="1"/>
    <xf numFmtId="0" fontId="0" fillId="0" borderId="100" xfId="0" applyBorder="1"/>
    <xf numFmtId="169" fontId="0" fillId="0" borderId="14" xfId="0" applyNumberFormat="1" applyBorder="1"/>
    <xf numFmtId="169" fontId="0" fillId="0" borderId="5" xfId="0" applyNumberFormat="1" applyBorder="1"/>
    <xf numFmtId="169" fontId="0" fillId="0" borderId="16" xfId="0" applyNumberFormat="1" applyBorder="1"/>
    <xf numFmtId="169" fontId="0" fillId="0" borderId="101" xfId="0" applyNumberFormat="1" applyBorder="1"/>
    <xf numFmtId="0" fontId="0" fillId="0" borderId="17" xfId="0" applyBorder="1"/>
    <xf numFmtId="169" fontId="0" fillId="0" borderId="18" xfId="0" applyNumberFormat="1" applyBorder="1"/>
    <xf numFmtId="169" fontId="0" fillId="0" borderId="19" xfId="0" applyNumberFormat="1" applyBorder="1"/>
    <xf numFmtId="169" fontId="0" fillId="0" borderId="20" xfId="0" applyNumberFormat="1" applyBorder="1"/>
    <xf numFmtId="169" fontId="80" fillId="0" borderId="20" xfId="0" applyNumberFormat="1" applyFont="1" applyBorder="1"/>
    <xf numFmtId="169" fontId="81" fillId="0" borderId="0" xfId="0" applyNumberFormat="1" applyFont="1"/>
    <xf numFmtId="169" fontId="82" fillId="0" borderId="0" xfId="0" applyNumberFormat="1" applyFont="1"/>
    <xf numFmtId="0" fontId="0" fillId="0" borderId="102" xfId="0" applyBorder="1"/>
    <xf numFmtId="0" fontId="6" fillId="0" borderId="3" xfId="0" applyFont="1" applyFill="1" applyBorder="1"/>
    <xf numFmtId="39" fontId="7" fillId="0" borderId="3" xfId="0" applyNumberFormat="1" applyFont="1" applyFill="1" applyBorder="1" applyAlignment="1">
      <alignment horizontal="center"/>
    </xf>
    <xf numFmtId="171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71" fontId="9" fillId="0" borderId="3" xfId="1" applyFont="1" applyFill="1" applyBorder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71" fontId="6" fillId="0" borderId="3" xfId="1" applyFont="1" applyFill="1" applyBorder="1" applyAlignment="1">
      <alignment horizontal="right"/>
    </xf>
    <xf numFmtId="171" fontId="9" fillId="0" borderId="3" xfId="1" applyFont="1" applyFill="1" applyBorder="1" applyAlignment="1">
      <alignment horizontal="center"/>
    </xf>
    <xf numFmtId="39" fontId="6" fillId="0" borderId="3" xfId="0" applyNumberFormat="1" applyFont="1" applyFill="1" applyBorder="1"/>
    <xf numFmtId="169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9" fontId="9" fillId="0" borderId="3" xfId="0" applyNumberFormat="1" applyFont="1" applyFill="1" applyBorder="1"/>
    <xf numFmtId="171" fontId="6" fillId="0" borderId="3" xfId="0" applyNumberFormat="1" applyFont="1" applyFill="1" applyBorder="1"/>
    <xf numFmtId="43" fontId="6" fillId="0" borderId="3" xfId="0" applyNumberFormat="1" applyFont="1" applyFill="1" applyBorder="1"/>
    <xf numFmtId="171" fontId="6" fillId="0" borderId="3" xfId="1" applyNumberFormat="1" applyFont="1" applyFill="1" applyBorder="1" applyAlignment="1">
      <alignment horizontal="right"/>
    </xf>
    <xf numFmtId="2" fontId="0" fillId="0" borderId="3" xfId="0" applyNumberFormat="1" applyFill="1" applyBorder="1"/>
    <xf numFmtId="171" fontId="0" fillId="0" borderId="3" xfId="0" applyNumberFormat="1" applyFill="1" applyBorder="1"/>
    <xf numFmtId="2" fontId="12" fillId="0" borderId="3" xfId="0" applyNumberFormat="1" applyFont="1" applyFill="1" applyBorder="1"/>
    <xf numFmtId="37" fontId="9" fillId="0" borderId="3" xfId="0" applyNumberFormat="1" applyFont="1" applyFill="1" applyBorder="1"/>
    <xf numFmtId="39" fontId="6" fillId="0" borderId="3" xfId="0" applyNumberFormat="1" applyFont="1" applyFill="1" applyBorder="1" applyAlignment="1">
      <alignment horizontal="left"/>
    </xf>
    <xf numFmtId="0" fontId="0" fillId="0" borderId="100" xfId="0" applyBorder="1" applyAlignment="1">
      <alignment horizontal="center"/>
    </xf>
    <xf numFmtId="3" fontId="59" fillId="0" borderId="103" xfId="2" applyNumberFormat="1" applyBorder="1"/>
    <xf numFmtId="0" fontId="0" fillId="0" borderId="102" xfId="0" applyBorder="1" applyAlignment="1">
      <alignment horizontal="center"/>
    </xf>
    <xf numFmtId="3" fontId="59" fillId="0" borderId="104" xfId="2" applyNumberFormat="1" applyBorder="1"/>
    <xf numFmtId="0" fontId="0" fillId="0" borderId="105" xfId="0" applyBorder="1" applyAlignment="1">
      <alignment horizontal="center"/>
    </xf>
    <xf numFmtId="3" fontId="59" fillId="0" borderId="106" xfId="2" applyNumberFormat="1" applyBorder="1"/>
    <xf numFmtId="0" fontId="21" fillId="0" borderId="0" xfId="8" applyFont="1" applyFill="1" applyAlignment="1">
      <alignment horizontal="center" vertical="center"/>
    </xf>
    <xf numFmtId="182" fontId="22" fillId="0" borderId="0" xfId="8" applyNumberFormat="1" applyFont="1" applyFill="1" applyAlignment="1">
      <alignment horizontal="right" vertical="center"/>
    </xf>
    <xf numFmtId="182" fontId="20" fillId="0" borderId="0" xfId="8" applyNumberFormat="1" applyFont="1" applyFill="1" applyAlignment="1">
      <alignment horizontal="right" vertical="center"/>
    </xf>
    <xf numFmtId="182" fontId="29" fillId="0" borderId="0" xfId="8" applyNumberFormat="1" applyFont="1" applyFill="1" applyAlignment="1">
      <alignment horizontal="right" vertical="center"/>
    </xf>
    <xf numFmtId="0" fontId="79" fillId="0" borderId="3" xfId="4" applyBorder="1"/>
    <xf numFmtId="0" fontId="80" fillId="0" borderId="3" xfId="4" applyFont="1" applyBorder="1"/>
    <xf numFmtId="0" fontId="83" fillId="0" borderId="0" xfId="6" applyFont="1" applyBorder="1"/>
    <xf numFmtId="41" fontId="83" fillId="0" borderId="0" xfId="6" applyNumberFormat="1" applyFont="1" applyBorder="1"/>
    <xf numFmtId="0" fontId="30" fillId="0" borderId="0" xfId="0" applyFont="1" applyFill="1" applyBorder="1"/>
    <xf numFmtId="0" fontId="2" fillId="0" borderId="3" xfId="0" applyFont="1" applyFill="1" applyBorder="1"/>
    <xf numFmtId="183" fontId="2" fillId="0" borderId="3" xfId="0" applyNumberFormat="1" applyFont="1" applyFill="1" applyBorder="1"/>
    <xf numFmtId="0" fontId="80" fillId="0" borderId="26" xfId="0" applyFont="1" applyBorder="1"/>
    <xf numFmtId="169" fontId="0" fillId="0" borderId="31" xfId="0" applyNumberFormat="1" applyBorder="1"/>
    <xf numFmtId="0" fontId="77" fillId="0" borderId="0" xfId="0" applyFont="1"/>
    <xf numFmtId="0" fontId="84" fillId="0" borderId="0" xfId="0" applyFont="1"/>
    <xf numFmtId="0" fontId="62" fillId="0" borderId="0" xfId="0" applyFont="1"/>
    <xf numFmtId="0" fontId="85" fillId="0" borderId="0" xfId="0" applyFont="1"/>
    <xf numFmtId="183" fontId="2" fillId="0" borderId="13" xfId="1" applyNumberFormat="1" applyFont="1" applyFill="1" applyBorder="1"/>
    <xf numFmtId="0" fontId="80" fillId="0" borderId="0" xfId="0" applyFont="1" applyBorder="1"/>
    <xf numFmtId="169" fontId="0" fillId="0" borderId="0" xfId="0" applyNumberFormat="1" applyBorder="1"/>
    <xf numFmtId="0" fontId="76" fillId="0" borderId="0" xfId="0" applyFont="1" applyFill="1"/>
    <xf numFmtId="0" fontId="2" fillId="0" borderId="86" xfId="0" applyFont="1" applyFill="1" applyBorder="1"/>
    <xf numFmtId="183" fontId="2" fillId="0" borderId="9" xfId="1" applyNumberFormat="1" applyFont="1" applyFill="1" applyBorder="1"/>
    <xf numFmtId="183" fontId="2" fillId="0" borderId="96" xfId="1" applyNumberFormat="1" applyFont="1" applyFill="1" applyBorder="1"/>
    <xf numFmtId="183" fontId="2" fillId="0" borderId="15" xfId="1" applyNumberFormat="1" applyFont="1" applyFill="1" applyBorder="1"/>
    <xf numFmtId="183" fontId="2" fillId="0" borderId="0" xfId="0" applyNumberFormat="1" applyFont="1" applyFill="1"/>
    <xf numFmtId="0" fontId="2" fillId="0" borderId="13" xfId="0" applyFont="1" applyFill="1" applyBorder="1"/>
    <xf numFmtId="169" fontId="2" fillId="0" borderId="0" xfId="0" applyNumberFormat="1" applyFont="1" applyFill="1"/>
    <xf numFmtId="0" fontId="4" fillId="0" borderId="0" xfId="0" applyFont="1" applyFill="1" applyBorder="1"/>
    <xf numFmtId="183" fontId="2" fillId="0" borderId="0" xfId="1" applyNumberFormat="1" applyFont="1" applyFill="1" applyBorder="1"/>
    <xf numFmtId="183" fontId="2" fillId="0" borderId="16" xfId="1" applyNumberFormat="1" applyFont="1" applyFill="1" applyBorder="1"/>
    <xf numFmtId="0" fontId="2" fillId="0" borderId="14" xfId="0" applyFont="1" applyFill="1" applyBorder="1"/>
    <xf numFmtId="183" fontId="2" fillId="0" borderId="5" xfId="1" applyNumberFormat="1" applyFont="1" applyFill="1" applyBorder="1"/>
    <xf numFmtId="183" fontId="2" fillId="0" borderId="3" xfId="1" applyNumberFormat="1" applyFont="1" applyFill="1" applyBorder="1"/>
    <xf numFmtId="0" fontId="2" fillId="0" borderId="29" xfId="0" applyFont="1" applyFill="1" applyBorder="1"/>
    <xf numFmtId="0" fontId="4" fillId="0" borderId="30" xfId="0" applyFont="1" applyFill="1" applyBorder="1"/>
    <xf numFmtId="0" fontId="2" fillId="0" borderId="30" xfId="0" applyFont="1" applyFill="1" applyBorder="1"/>
    <xf numFmtId="41" fontId="2" fillId="0" borderId="0" xfId="0" applyNumberFormat="1" applyFont="1" applyFill="1"/>
    <xf numFmtId="0" fontId="2" fillId="0" borderId="100" xfId="0" applyFont="1" applyFill="1" applyBorder="1"/>
    <xf numFmtId="0" fontId="3" fillId="0" borderId="3" xfId="0" applyFont="1" applyFill="1" applyBorder="1"/>
    <xf numFmtId="3" fontId="12" fillId="0" borderId="103" xfId="2" applyNumberFormat="1" applyFont="1" applyFill="1" applyBorder="1"/>
    <xf numFmtId="0" fontId="2" fillId="0" borderId="107" xfId="0" applyFont="1" applyFill="1" applyBorder="1"/>
    <xf numFmtId="0" fontId="3" fillId="0" borderId="108" xfId="0" applyFont="1" applyFill="1" applyBorder="1"/>
    <xf numFmtId="0" fontId="2" fillId="0" borderId="108" xfId="0" applyFont="1" applyFill="1" applyBorder="1"/>
    <xf numFmtId="183" fontId="2" fillId="0" borderId="108" xfId="1" applyNumberFormat="1" applyFont="1" applyFill="1" applyBorder="1"/>
    <xf numFmtId="3" fontId="12" fillId="0" borderId="109" xfId="2" applyNumberFormat="1" applyFont="1" applyFill="1" applyBorder="1"/>
    <xf numFmtId="0" fontId="2" fillId="0" borderId="110" xfId="0" applyFont="1" applyFill="1" applyBorder="1"/>
    <xf numFmtId="0" fontId="2" fillId="0" borderId="111" xfId="0" applyFont="1" applyFill="1" applyBorder="1"/>
    <xf numFmtId="0" fontId="2" fillId="0" borderId="112" xfId="0" applyFont="1" applyFill="1" applyBorder="1"/>
    <xf numFmtId="0" fontId="2" fillId="0" borderId="17" xfId="0" applyFont="1" applyFill="1" applyBorder="1"/>
    <xf numFmtId="0" fontId="4" fillId="0" borderId="18" xfId="0" applyFont="1" applyFill="1" applyBorder="1"/>
    <xf numFmtId="0" fontId="2" fillId="0" borderId="18" xfId="0" applyFont="1" applyFill="1" applyBorder="1"/>
    <xf numFmtId="0" fontId="4" fillId="0" borderId="0" xfId="0" applyFont="1" applyFill="1"/>
    <xf numFmtId="183" fontId="4" fillId="0" borderId="66" xfId="1" applyNumberFormat="1" applyFont="1" applyFill="1" applyBorder="1"/>
    <xf numFmtId="0" fontId="2" fillId="0" borderId="111" xfId="0" applyFont="1" applyFill="1" applyBorder="1" applyAlignment="1">
      <alignment horizontal="center"/>
    </xf>
    <xf numFmtId="183" fontId="2" fillId="0" borderId="20" xfId="1" applyNumberFormat="1" applyFont="1" applyFill="1" applyBorder="1"/>
    <xf numFmtId="183" fontId="4" fillId="0" borderId="85" xfId="1" applyNumberFormat="1" applyFont="1" applyFill="1" applyBorder="1"/>
    <xf numFmtId="0" fontId="4" fillId="0" borderId="17" xfId="0" applyFont="1" applyFill="1" applyBorder="1"/>
    <xf numFmtId="0" fontId="4" fillId="0" borderId="26" xfId="0" applyFont="1" applyFill="1" applyBorder="1"/>
    <xf numFmtId="0" fontId="78" fillId="0" borderId="3" xfId="0" applyFont="1" applyBorder="1" applyAlignment="1" applyProtection="1">
      <alignment vertical="top"/>
      <protection locked="0"/>
    </xf>
    <xf numFmtId="0" fontId="78" fillId="0" borderId="3" xfId="0" applyNumberFormat="1" applyFont="1" applyBorder="1" applyAlignment="1">
      <alignment horizontal="left" vertical="top"/>
    </xf>
    <xf numFmtId="4" fontId="78" fillId="0" borderId="3" xfId="0" applyNumberFormat="1" applyFont="1" applyBorder="1" applyAlignment="1">
      <alignment horizontal="right" vertical="top"/>
    </xf>
    <xf numFmtId="0" fontId="71" fillId="0" borderId="3" xfId="0" applyFont="1" applyBorder="1" applyAlignment="1" applyProtection="1">
      <alignment vertical="top"/>
      <protection locked="0"/>
    </xf>
    <xf numFmtId="4" fontId="71" fillId="0" borderId="3" xfId="0" applyNumberFormat="1" applyFont="1" applyBorder="1" applyAlignment="1">
      <alignment horizontal="right" vertical="top"/>
    </xf>
    <xf numFmtId="0" fontId="83" fillId="0" borderId="113" xfId="6" applyFont="1" applyBorder="1"/>
    <xf numFmtId="41" fontId="83" fillId="0" borderId="113" xfId="6" applyNumberFormat="1" applyFont="1" applyBorder="1"/>
    <xf numFmtId="0" fontId="71" fillId="0" borderId="3" xfId="0" applyNumberFormat="1" applyFont="1" applyBorder="1" applyAlignment="1">
      <alignment horizontal="left" vertical="top"/>
    </xf>
    <xf numFmtId="0" fontId="70" fillId="0" borderId="3" xfId="0" applyNumberFormat="1" applyFont="1" applyBorder="1" applyAlignment="1">
      <alignment horizontal="left" vertical="top"/>
    </xf>
    <xf numFmtId="4" fontId="70" fillId="0" borderId="13" xfId="0" applyNumberFormat="1" applyFont="1" applyBorder="1" applyAlignment="1">
      <alignment horizontal="right" vertical="top"/>
    </xf>
    <xf numFmtId="39" fontId="45" fillId="0" borderId="10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171" fontId="44" fillId="0" borderId="6" xfId="1" applyFont="1" applyFill="1" applyBorder="1"/>
    <xf numFmtId="0" fontId="79" fillId="0" borderId="14" xfId="4" applyBorder="1"/>
    <xf numFmtId="39" fontId="7" fillId="0" borderId="86" xfId="0" applyNumberFormat="1" applyFont="1" applyFill="1" applyBorder="1" applyAlignment="1">
      <alignment horizontal="center"/>
    </xf>
    <xf numFmtId="39" fontId="44" fillId="0" borderId="3" xfId="0" applyNumberFormat="1" applyFont="1" applyFill="1" applyBorder="1"/>
    <xf numFmtId="0" fontId="44" fillId="0" borderId="3" xfId="0" applyFont="1" applyFill="1" applyBorder="1"/>
    <xf numFmtId="4" fontId="44" fillId="0" borderId="3" xfId="0" applyNumberFormat="1" applyFont="1" applyFill="1" applyBorder="1"/>
    <xf numFmtId="39" fontId="58" fillId="0" borderId="13" xfId="0" applyNumberFormat="1" applyFont="1" applyBorder="1" applyAlignment="1" applyProtection="1">
      <alignment vertical="top"/>
      <protection locked="0"/>
    </xf>
    <xf numFmtId="183" fontId="2" fillId="0" borderId="101" xfId="1" applyNumberFormat="1" applyFont="1" applyFill="1" applyBorder="1"/>
    <xf numFmtId="37" fontId="6" fillId="0" borderId="3" xfId="0" applyNumberFormat="1" applyFont="1" applyFill="1" applyBorder="1" applyAlignment="1">
      <alignment horizontal="center"/>
    </xf>
    <xf numFmtId="169" fontId="9" fillId="0" borderId="3" xfId="0" applyNumberFormat="1" applyFont="1" applyFill="1" applyBorder="1" applyAlignment="1">
      <alignment horizontal="right"/>
    </xf>
    <xf numFmtId="39" fontId="86" fillId="0" borderId="0" xfId="0" applyNumberFormat="1" applyFont="1" applyFill="1"/>
    <xf numFmtId="43" fontId="86" fillId="0" borderId="0" xfId="0" applyNumberFormat="1" applyFont="1" applyFill="1"/>
    <xf numFmtId="0" fontId="41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2" fillId="0" borderId="3" xfId="0" applyNumberFormat="1" applyFont="1" applyFill="1" applyBorder="1" applyAlignment="1" applyProtection="1">
      <alignment horizontal="center" vertical="center"/>
    </xf>
    <xf numFmtId="196" fontId="51" fillId="0" borderId="21" xfId="9" applyNumberFormat="1" applyFont="1" applyBorder="1" applyAlignment="1" applyProtection="1">
      <alignment horizontal="center" vertical="center" wrapText="1"/>
      <protection locked="0"/>
    </xf>
    <xf numFmtId="0" fontId="2" fillId="0" borderId="31" xfId="0" applyNumberFormat="1" applyFont="1" applyFill="1" applyBorder="1" applyAlignment="1" applyProtection="1"/>
    <xf numFmtId="196" fontId="4" fillId="0" borderId="0" xfId="9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58" fillId="0" borderId="25" xfId="0" applyFont="1" applyBorder="1" applyAlignment="1">
      <alignment horizontal="center" vertical="center"/>
    </xf>
    <xf numFmtId="0" fontId="58" fillId="0" borderId="3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62" fillId="0" borderId="110" xfId="0" applyFont="1" applyBorder="1" applyAlignment="1">
      <alignment horizontal="center"/>
    </xf>
    <xf numFmtId="0" fontId="62" fillId="0" borderId="114" xfId="0" applyFont="1" applyBorder="1" applyAlignment="1">
      <alignment horizontal="center"/>
    </xf>
  </cellXfs>
  <cellStyles count="11">
    <cellStyle name="Comma" xfId="1" builtinId="3"/>
    <cellStyle name="Comma_21.Aktivet Afatgjata Materiale  09" xfId="2"/>
    <cellStyle name="Comma_Levizja e Mjeteve Kryesore" xfId="3"/>
    <cellStyle name="Normal" xfId="0" builtinId="0"/>
    <cellStyle name="Normal 11" xfId="4"/>
    <cellStyle name="Normal 2" xfId="5"/>
    <cellStyle name="Normal 5" xfId="6"/>
    <cellStyle name="Normal_ardhshpe cact" xfId="7"/>
    <cellStyle name="Normal_bilanc cact" xfId="8"/>
    <cellStyle name="Normal_Documents C1 à C8 ENGLISH" xfId="9"/>
    <cellStyle name="Normal_Levizja e Mjeteve Kryesore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0"/>
  <sheetViews>
    <sheetView workbookViewId="0">
      <selection activeCell="H28" sqref="H28"/>
    </sheetView>
  </sheetViews>
  <sheetFormatPr defaultRowHeight="12.75"/>
  <cols>
    <col min="1" max="1" width="2.42578125" style="26" customWidth="1"/>
    <col min="2" max="2" width="3.140625" style="26" customWidth="1"/>
    <col min="3" max="5" width="9.140625" style="26"/>
    <col min="6" max="6" width="4.28515625" style="26" customWidth="1"/>
    <col min="7" max="7" width="12" style="26" customWidth="1"/>
    <col min="8" max="8" width="9.140625" style="26"/>
    <col min="9" max="9" width="10.7109375" style="26" customWidth="1"/>
    <col min="10" max="10" width="9.140625" style="26"/>
    <col min="11" max="11" width="11.5703125" style="26" customWidth="1"/>
    <col min="12" max="16384" width="9.140625" style="26"/>
  </cols>
  <sheetData>
    <row r="2" spans="1:11" ht="14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16.5">
      <c r="A3" s="79"/>
      <c r="B3" s="80"/>
      <c r="C3" s="81"/>
      <c r="D3" s="81"/>
      <c r="E3" s="81"/>
      <c r="F3" s="81"/>
      <c r="G3" s="81"/>
      <c r="H3" s="81"/>
      <c r="I3" s="81"/>
      <c r="J3" s="81"/>
      <c r="K3" s="82"/>
    </row>
    <row r="4" spans="1:11" ht="16.5">
      <c r="A4" s="79"/>
      <c r="B4" s="83"/>
      <c r="C4" s="84" t="s">
        <v>543</v>
      </c>
      <c r="D4" s="84"/>
      <c r="E4" s="84"/>
      <c r="F4" s="84"/>
      <c r="G4" s="96" t="s">
        <v>555</v>
      </c>
      <c r="H4" s="85"/>
      <c r="I4" s="85"/>
      <c r="J4" s="85"/>
      <c r="K4" s="86"/>
    </row>
    <row r="5" spans="1:11" ht="16.5">
      <c r="A5" s="79"/>
      <c r="B5" s="83"/>
      <c r="C5" s="84" t="s">
        <v>544</v>
      </c>
      <c r="D5" s="84"/>
      <c r="E5" s="84"/>
      <c r="F5" s="84"/>
      <c r="G5" s="293" t="s">
        <v>556</v>
      </c>
      <c r="H5" s="85"/>
      <c r="I5" s="85"/>
      <c r="J5" s="85"/>
      <c r="K5" s="86"/>
    </row>
    <row r="6" spans="1:11" ht="16.5">
      <c r="A6" s="79"/>
      <c r="B6" s="83"/>
      <c r="C6" s="84" t="s">
        <v>545</v>
      </c>
      <c r="D6" s="84"/>
      <c r="E6" s="84"/>
      <c r="F6" s="84"/>
      <c r="G6" s="96" t="s">
        <v>557</v>
      </c>
      <c r="H6" s="85"/>
      <c r="I6" s="85"/>
      <c r="J6" s="85"/>
      <c r="K6" s="86"/>
    </row>
    <row r="7" spans="1:11" ht="16.5">
      <c r="A7" s="79"/>
      <c r="B7" s="83"/>
      <c r="C7" s="84"/>
      <c r="D7" s="84"/>
      <c r="E7" s="84"/>
      <c r="F7" s="84"/>
      <c r="G7" s="96" t="s">
        <v>579</v>
      </c>
      <c r="H7" s="85"/>
      <c r="I7" s="85"/>
      <c r="J7" s="85"/>
      <c r="K7" s="86"/>
    </row>
    <row r="8" spans="1:11" ht="16.5">
      <c r="A8" s="79"/>
      <c r="B8" s="83"/>
      <c r="C8" s="84" t="s">
        <v>546</v>
      </c>
      <c r="D8" s="84"/>
      <c r="E8" s="84"/>
      <c r="F8" s="84"/>
      <c r="G8" s="96" t="s">
        <v>558</v>
      </c>
      <c r="H8" s="85"/>
      <c r="I8" s="85"/>
      <c r="J8" s="85"/>
      <c r="K8" s="86"/>
    </row>
    <row r="9" spans="1:11" ht="16.5">
      <c r="A9" s="79"/>
      <c r="B9" s="83"/>
      <c r="C9" s="85" t="s">
        <v>547</v>
      </c>
      <c r="D9" s="84"/>
      <c r="E9" s="84"/>
      <c r="F9" s="84"/>
      <c r="G9" s="96">
        <v>13276</v>
      </c>
      <c r="H9" s="85"/>
      <c r="I9" s="85"/>
      <c r="J9" s="85"/>
      <c r="K9" s="86"/>
    </row>
    <row r="10" spans="1:11" ht="16.5">
      <c r="A10" s="79"/>
      <c r="B10" s="83"/>
      <c r="C10" s="84" t="s">
        <v>548</v>
      </c>
      <c r="D10" s="84"/>
      <c r="E10" s="84"/>
      <c r="F10" s="84"/>
      <c r="G10" s="96" t="s">
        <v>559</v>
      </c>
      <c r="H10" s="85"/>
      <c r="I10" s="85"/>
      <c r="J10" s="85"/>
      <c r="K10" s="86"/>
    </row>
    <row r="11" spans="1:11" ht="16.5">
      <c r="A11" s="79"/>
      <c r="B11" s="83"/>
      <c r="C11" s="87"/>
      <c r="D11" s="87"/>
      <c r="E11" s="87"/>
      <c r="F11" s="87"/>
      <c r="G11" s="85"/>
      <c r="H11" s="85"/>
      <c r="I11" s="85"/>
      <c r="J11" s="85"/>
      <c r="K11" s="78"/>
    </row>
    <row r="12" spans="1:11" ht="18.75">
      <c r="A12" s="79"/>
      <c r="B12" s="83"/>
      <c r="C12" s="88"/>
      <c r="D12" s="87"/>
      <c r="E12" s="87"/>
      <c r="F12" s="89"/>
      <c r="G12" s="88"/>
      <c r="H12" s="85"/>
      <c r="I12" s="85"/>
      <c r="J12" s="85"/>
      <c r="K12" s="78"/>
    </row>
    <row r="13" spans="1:11" ht="16.5">
      <c r="A13" s="79"/>
      <c r="B13" s="90"/>
      <c r="C13" s="88"/>
      <c r="D13" s="87"/>
      <c r="E13" s="87"/>
      <c r="F13" s="87"/>
      <c r="G13" s="87"/>
      <c r="H13" s="87"/>
      <c r="I13" s="87"/>
      <c r="J13" s="87"/>
      <c r="K13" s="78"/>
    </row>
    <row r="14" spans="1:11" ht="16.5">
      <c r="A14" s="79"/>
      <c r="B14" s="83"/>
      <c r="C14" s="87"/>
      <c r="D14" s="87"/>
      <c r="E14" s="87"/>
      <c r="F14" s="87"/>
      <c r="G14" s="87"/>
      <c r="H14" s="87"/>
      <c r="I14" s="87"/>
      <c r="J14" s="87"/>
      <c r="K14" s="78"/>
    </row>
    <row r="15" spans="1:11" ht="16.5">
      <c r="A15" s="79"/>
      <c r="B15" s="83"/>
      <c r="C15" s="87"/>
      <c r="D15" s="87"/>
      <c r="E15" s="87"/>
      <c r="F15" s="87"/>
      <c r="G15" s="87"/>
      <c r="H15" s="87"/>
      <c r="I15" s="87"/>
      <c r="J15" s="87"/>
      <c r="K15" s="78"/>
    </row>
    <row r="16" spans="1:11" ht="16.5">
      <c r="A16" s="79"/>
      <c r="B16" s="83"/>
      <c r="C16" s="87"/>
      <c r="D16" s="87"/>
      <c r="E16" s="87"/>
      <c r="F16" s="87"/>
      <c r="G16" s="87"/>
      <c r="H16" s="87"/>
      <c r="I16" s="87"/>
      <c r="J16" s="87"/>
      <c r="K16" s="78"/>
    </row>
    <row r="17" spans="1:11" ht="25.5">
      <c r="A17" s="79"/>
      <c r="B17" s="83"/>
      <c r="C17" s="571" t="s">
        <v>549</v>
      </c>
      <c r="D17" s="571"/>
      <c r="E17" s="571"/>
      <c r="F17" s="571"/>
      <c r="G17" s="571"/>
      <c r="H17" s="571"/>
      <c r="I17" s="571"/>
      <c r="J17" s="571"/>
      <c r="K17" s="78"/>
    </row>
    <row r="18" spans="1:11" ht="16.5">
      <c r="A18" s="79"/>
      <c r="B18" s="83"/>
      <c r="C18" s="572" t="s">
        <v>562</v>
      </c>
      <c r="D18" s="572"/>
      <c r="E18" s="572"/>
      <c r="F18" s="572"/>
      <c r="G18" s="572"/>
      <c r="H18" s="572"/>
      <c r="I18" s="572"/>
      <c r="J18" s="572"/>
      <c r="K18" s="78"/>
    </row>
    <row r="19" spans="1:11" ht="16.5">
      <c r="A19" s="79"/>
      <c r="B19" s="83"/>
      <c r="C19" s="87" t="s">
        <v>561</v>
      </c>
      <c r="D19" s="87"/>
      <c r="E19" s="87"/>
      <c r="F19" s="87"/>
      <c r="G19" s="87"/>
      <c r="H19" s="87"/>
      <c r="I19" s="87"/>
      <c r="J19" s="87"/>
      <c r="K19" s="78"/>
    </row>
    <row r="20" spans="1:11" ht="16.5">
      <c r="A20" s="79"/>
      <c r="B20" s="83"/>
      <c r="C20" s="88"/>
      <c r="D20" s="87"/>
      <c r="E20" s="87"/>
      <c r="F20" s="87"/>
      <c r="G20" s="88"/>
      <c r="H20" s="87"/>
      <c r="I20" s="87"/>
      <c r="J20" s="87"/>
      <c r="K20" s="78"/>
    </row>
    <row r="21" spans="1:11" ht="27">
      <c r="A21" s="79"/>
      <c r="B21" s="83"/>
      <c r="C21" s="87"/>
      <c r="D21" s="87"/>
      <c r="E21" s="87"/>
      <c r="F21" s="91" t="s">
        <v>1025</v>
      </c>
      <c r="G21" s="87"/>
      <c r="H21" s="87"/>
      <c r="I21" s="87"/>
      <c r="J21" s="87"/>
      <c r="K21" s="78"/>
    </row>
    <row r="22" spans="1:11" ht="16.5">
      <c r="A22" s="79"/>
      <c r="B22" s="83"/>
      <c r="C22" s="87"/>
      <c r="D22" s="87"/>
      <c r="E22" s="87"/>
      <c r="F22" s="87"/>
      <c r="G22" s="87"/>
      <c r="H22" s="87"/>
      <c r="I22" s="87"/>
      <c r="J22" s="87"/>
      <c r="K22" s="78"/>
    </row>
    <row r="23" spans="1:11" ht="16.5">
      <c r="A23" s="79"/>
      <c r="B23" s="83"/>
      <c r="C23" s="87"/>
      <c r="D23" s="87"/>
      <c r="E23" s="87"/>
      <c r="F23" s="87"/>
      <c r="G23" s="87"/>
      <c r="H23" s="87"/>
      <c r="I23" s="87"/>
      <c r="J23" s="87"/>
      <c r="K23" s="78"/>
    </row>
    <row r="24" spans="1:11" ht="16.5">
      <c r="A24" s="79"/>
      <c r="B24" s="83"/>
      <c r="C24" s="87"/>
      <c r="D24" s="87"/>
      <c r="E24" s="87"/>
      <c r="F24" s="87"/>
      <c r="G24" s="87"/>
      <c r="H24" s="87"/>
      <c r="I24" s="87"/>
      <c r="J24" s="87"/>
      <c r="K24" s="78"/>
    </row>
    <row r="25" spans="1:11" ht="16.5">
      <c r="A25" s="79"/>
      <c r="B25" s="83"/>
      <c r="C25" s="87"/>
      <c r="D25" s="87"/>
      <c r="E25" s="87"/>
      <c r="F25" s="87"/>
      <c r="G25" s="87"/>
      <c r="H25" s="87"/>
      <c r="I25" s="87"/>
      <c r="J25" s="87"/>
      <c r="K25" s="78"/>
    </row>
    <row r="26" spans="1:11" ht="16.5">
      <c r="A26" s="79"/>
      <c r="B26" s="83"/>
      <c r="C26" s="87"/>
      <c r="D26" s="88"/>
      <c r="E26" s="88"/>
      <c r="F26" s="88"/>
      <c r="G26" s="88"/>
      <c r="H26" s="88"/>
      <c r="I26" s="88"/>
      <c r="J26" s="88"/>
      <c r="K26" s="78"/>
    </row>
    <row r="27" spans="1:11" ht="16.5">
      <c r="A27" s="79"/>
      <c r="B27" s="83"/>
      <c r="C27" s="87"/>
      <c r="D27" s="88"/>
      <c r="E27" s="88"/>
      <c r="F27" s="88"/>
      <c r="G27" s="88"/>
      <c r="H27" s="88"/>
      <c r="I27" s="88"/>
      <c r="J27" s="88"/>
      <c r="K27" s="78"/>
    </row>
    <row r="28" spans="1:11" ht="16.5">
      <c r="A28" s="79"/>
      <c r="B28" s="83"/>
      <c r="C28" s="87"/>
      <c r="D28" s="88"/>
      <c r="E28" s="88"/>
      <c r="F28" s="88"/>
      <c r="G28" s="88"/>
      <c r="H28" s="88"/>
      <c r="I28" s="88"/>
      <c r="J28" s="88"/>
      <c r="K28" s="78"/>
    </row>
    <row r="29" spans="1:11" ht="16.5">
      <c r="A29" s="79"/>
      <c r="B29" s="83"/>
      <c r="C29" s="87"/>
      <c r="D29" s="88"/>
      <c r="E29" s="88"/>
      <c r="F29" s="88"/>
      <c r="G29" s="88"/>
      <c r="H29" s="88"/>
      <c r="I29" s="88"/>
      <c r="J29" s="88"/>
      <c r="K29" s="78"/>
    </row>
    <row r="30" spans="1:11" ht="16.5">
      <c r="A30" s="79"/>
      <c r="B30" s="83"/>
      <c r="D30" s="87" t="s">
        <v>550</v>
      </c>
      <c r="E30" s="88"/>
      <c r="F30" s="88"/>
      <c r="G30" s="88"/>
      <c r="H30" s="88"/>
      <c r="I30" s="88"/>
      <c r="J30" s="88"/>
      <c r="K30" s="78"/>
    </row>
    <row r="31" spans="1:11" ht="16.5">
      <c r="A31" s="79"/>
      <c r="B31" s="83"/>
      <c r="D31" s="87"/>
      <c r="E31" s="88"/>
      <c r="F31" s="88"/>
      <c r="G31" s="88"/>
      <c r="H31" s="88"/>
      <c r="I31" s="88"/>
      <c r="J31" s="88"/>
      <c r="K31" s="78"/>
    </row>
    <row r="32" spans="1:11" ht="16.5">
      <c r="A32" s="79"/>
      <c r="B32" s="83"/>
      <c r="D32" s="87" t="s">
        <v>551</v>
      </c>
      <c r="E32" s="88"/>
      <c r="F32" s="88"/>
      <c r="G32" s="88"/>
      <c r="H32" s="88" t="s">
        <v>552</v>
      </c>
      <c r="I32" s="88"/>
      <c r="J32" s="88"/>
      <c r="K32" s="78"/>
    </row>
    <row r="33" spans="1:11" ht="16.5">
      <c r="A33" s="79"/>
      <c r="B33" s="83"/>
      <c r="D33" s="87"/>
      <c r="E33" s="88"/>
      <c r="F33" s="88"/>
      <c r="G33" s="88"/>
      <c r="H33" s="88"/>
      <c r="I33" s="88"/>
      <c r="J33" s="88"/>
      <c r="K33" s="78"/>
    </row>
    <row r="34" spans="1:11" ht="16.5">
      <c r="A34" s="79"/>
      <c r="B34" s="83"/>
      <c r="D34" s="87" t="s">
        <v>553</v>
      </c>
      <c r="E34" s="88"/>
      <c r="F34" s="88"/>
      <c r="G34" s="88"/>
      <c r="H34" s="88" t="s">
        <v>1026</v>
      </c>
      <c r="I34" s="88"/>
      <c r="J34" s="88"/>
      <c r="K34" s="78"/>
    </row>
    <row r="35" spans="1:11" ht="16.5">
      <c r="A35" s="79"/>
      <c r="B35" s="83"/>
      <c r="D35" s="87"/>
      <c r="E35" s="88"/>
      <c r="F35" s="88"/>
      <c r="G35" s="88"/>
      <c r="H35" s="88"/>
      <c r="I35" s="88"/>
      <c r="J35" s="88"/>
      <c r="K35" s="78"/>
    </row>
    <row r="36" spans="1:11" ht="16.5">
      <c r="A36" s="79"/>
      <c r="B36" s="83"/>
      <c r="D36" s="87" t="s">
        <v>554</v>
      </c>
      <c r="E36" s="88"/>
      <c r="F36" s="88"/>
      <c r="G36" s="88"/>
      <c r="H36" s="88" t="s">
        <v>1027</v>
      </c>
      <c r="I36" s="88"/>
      <c r="J36" s="88"/>
      <c r="K36" s="78"/>
    </row>
    <row r="37" spans="1:11" ht="16.5">
      <c r="A37" s="79"/>
      <c r="B37" s="83"/>
      <c r="C37" s="87"/>
      <c r="D37" s="88"/>
      <c r="E37" s="88"/>
      <c r="F37" s="88"/>
      <c r="G37" s="88"/>
      <c r="H37" s="88"/>
      <c r="I37" s="88"/>
      <c r="J37" s="88"/>
      <c r="K37" s="78"/>
    </row>
    <row r="38" spans="1:11" ht="16.5">
      <c r="A38" s="79"/>
      <c r="B38" s="83"/>
      <c r="C38" s="87"/>
      <c r="D38" s="87"/>
      <c r="E38" s="87"/>
      <c r="F38" s="430">
        <v>1</v>
      </c>
      <c r="G38" s="87"/>
      <c r="H38" s="87"/>
      <c r="I38" s="87"/>
      <c r="J38" s="87"/>
      <c r="K38" s="78"/>
    </row>
    <row r="39" spans="1:11" ht="16.5">
      <c r="A39" s="79"/>
      <c r="B39" s="92"/>
      <c r="C39" s="93"/>
      <c r="D39" s="93"/>
      <c r="E39" s="93"/>
      <c r="F39" s="93"/>
      <c r="G39" s="93"/>
      <c r="H39" s="93"/>
      <c r="I39" s="93"/>
      <c r="J39" s="93"/>
      <c r="K39" s="94"/>
    </row>
    <row r="40" spans="1:11" ht="16.5">
      <c r="A40" s="79"/>
      <c r="B40" s="95"/>
      <c r="C40" s="95"/>
      <c r="D40" s="95"/>
      <c r="E40" s="95"/>
      <c r="F40" s="95"/>
      <c r="G40" s="95"/>
      <c r="H40" s="95"/>
      <c r="I40" s="95"/>
      <c r="J40" s="95"/>
      <c r="K40" s="95"/>
    </row>
  </sheetData>
  <mergeCells count="2">
    <mergeCell ref="C17:J17"/>
    <mergeCell ref="C18:J18"/>
  </mergeCells>
  <phoneticPr fontId="3" type="noConversion"/>
  <pageMargins left="0.25" right="0.2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7"/>
  <sheetViews>
    <sheetView topLeftCell="A7" workbookViewId="0">
      <selection activeCell="H28" sqref="H28"/>
    </sheetView>
  </sheetViews>
  <sheetFormatPr defaultRowHeight="12.75"/>
  <cols>
    <col min="1" max="1" width="10.5703125" customWidth="1"/>
    <col min="2" max="2" width="27.5703125" customWidth="1"/>
    <col min="3" max="3" width="15.85546875" customWidth="1"/>
    <col min="4" max="4" width="7.5703125" customWidth="1"/>
    <col min="5" max="5" width="10.140625" customWidth="1"/>
    <col min="6" max="6" width="14.5703125" customWidth="1"/>
    <col min="9" max="9" width="10" bestFit="1" customWidth="1"/>
  </cols>
  <sheetData>
    <row r="1" spans="1:6" ht="18">
      <c r="B1" s="338" t="s">
        <v>611</v>
      </c>
      <c r="C1" s="339" t="s">
        <v>612</v>
      </c>
      <c r="D1" s="339"/>
    </row>
    <row r="3" spans="1:6" ht="15.75">
      <c r="C3" s="340" t="s">
        <v>1062</v>
      </c>
    </row>
    <row r="5" spans="1:6" ht="18">
      <c r="A5" s="327" t="s">
        <v>626</v>
      </c>
    </row>
    <row r="6" spans="1:6" ht="18">
      <c r="A6" s="327" t="s">
        <v>627</v>
      </c>
    </row>
    <row r="7" spans="1:6" ht="18">
      <c r="A7" s="327" t="s">
        <v>628</v>
      </c>
    </row>
    <row r="8" spans="1:6" ht="18">
      <c r="A8" s="327" t="s">
        <v>630</v>
      </c>
    </row>
    <row r="9" spans="1:6" ht="15.75">
      <c r="A9" s="327" t="s">
        <v>629</v>
      </c>
    </row>
    <row r="10" spans="1:6" ht="13.5" thickBot="1"/>
    <row r="11" spans="1:6" ht="15.75" thickBot="1">
      <c r="A11" s="341" t="s">
        <v>613</v>
      </c>
      <c r="B11" s="342" t="s">
        <v>614</v>
      </c>
      <c r="C11" s="342" t="s">
        <v>615</v>
      </c>
      <c r="D11" s="342" t="s">
        <v>587</v>
      </c>
      <c r="E11" s="342" t="s">
        <v>616</v>
      </c>
      <c r="F11" s="343" t="s">
        <v>617</v>
      </c>
    </row>
    <row r="12" spans="1:6">
      <c r="A12" s="344">
        <v>1</v>
      </c>
      <c r="B12" s="320"/>
      <c r="C12" s="320"/>
      <c r="D12" s="320"/>
      <c r="E12" s="345"/>
      <c r="F12" s="346">
        <f>+D12*E12</f>
        <v>0</v>
      </c>
    </row>
    <row r="13" spans="1:6">
      <c r="A13" s="347">
        <v>2</v>
      </c>
      <c r="B13" s="304"/>
      <c r="C13" s="304"/>
      <c r="D13" s="304"/>
      <c r="E13" s="319"/>
      <c r="F13" s="346">
        <f>+E13*D13</f>
        <v>0</v>
      </c>
    </row>
    <row r="14" spans="1:6">
      <c r="A14" s="347">
        <v>3</v>
      </c>
      <c r="B14" s="304"/>
      <c r="C14" s="304"/>
      <c r="D14" s="304"/>
      <c r="E14" s="319"/>
      <c r="F14" s="346">
        <f t="shared" ref="F14:F24" si="0">+E14*D14</f>
        <v>0</v>
      </c>
    </row>
    <row r="15" spans="1:6">
      <c r="A15" s="347">
        <v>4</v>
      </c>
      <c r="B15" s="304"/>
      <c r="C15" s="304"/>
      <c r="D15" s="304"/>
      <c r="E15" s="319"/>
      <c r="F15" s="346">
        <f t="shared" si="0"/>
        <v>0</v>
      </c>
    </row>
    <row r="16" spans="1:6">
      <c r="A16" s="347">
        <v>5</v>
      </c>
      <c r="B16" s="304"/>
      <c r="C16" s="304"/>
      <c r="D16" s="304"/>
      <c r="E16" s="319"/>
      <c r="F16" s="346">
        <f t="shared" si="0"/>
        <v>0</v>
      </c>
    </row>
    <row r="17" spans="1:6">
      <c r="A17" s="347">
        <v>6</v>
      </c>
      <c r="B17" s="304"/>
      <c r="C17" s="304"/>
      <c r="D17" s="304"/>
      <c r="E17" s="319"/>
      <c r="F17" s="346">
        <f t="shared" si="0"/>
        <v>0</v>
      </c>
    </row>
    <row r="18" spans="1:6">
      <c r="A18" s="347">
        <v>7</v>
      </c>
      <c r="B18" s="304"/>
      <c r="C18" s="304"/>
      <c r="D18" s="304"/>
      <c r="E18" s="319"/>
      <c r="F18" s="346">
        <f t="shared" si="0"/>
        <v>0</v>
      </c>
    </row>
    <row r="19" spans="1:6">
      <c r="A19" s="347">
        <v>8</v>
      </c>
      <c r="B19" s="304"/>
      <c r="C19" s="304"/>
      <c r="D19" s="304"/>
      <c r="E19" s="319"/>
      <c r="F19" s="346">
        <f t="shared" si="0"/>
        <v>0</v>
      </c>
    </row>
    <row r="20" spans="1:6">
      <c r="A20" s="347">
        <v>9</v>
      </c>
      <c r="B20" s="304"/>
      <c r="C20" s="304"/>
      <c r="D20" s="304"/>
      <c r="E20" s="319"/>
      <c r="F20" s="346">
        <f t="shared" si="0"/>
        <v>0</v>
      </c>
    </row>
    <row r="21" spans="1:6">
      <c r="A21" s="347">
        <v>10</v>
      </c>
      <c r="B21" s="304"/>
      <c r="C21" s="304"/>
      <c r="D21" s="304"/>
      <c r="E21" s="319"/>
      <c r="F21" s="346">
        <f t="shared" si="0"/>
        <v>0</v>
      </c>
    </row>
    <row r="22" spans="1:6">
      <c r="A22" s="347">
        <v>11</v>
      </c>
      <c r="B22" s="304"/>
      <c r="C22" s="304"/>
      <c r="D22" s="304"/>
      <c r="E22" s="319"/>
      <c r="F22" s="346">
        <f t="shared" si="0"/>
        <v>0</v>
      </c>
    </row>
    <row r="23" spans="1:6">
      <c r="A23" s="347">
        <v>12</v>
      </c>
      <c r="B23" s="304"/>
      <c r="C23" s="304"/>
      <c r="D23" s="304"/>
      <c r="E23" s="319"/>
      <c r="F23" s="346">
        <f t="shared" si="0"/>
        <v>0</v>
      </c>
    </row>
    <row r="24" spans="1:6">
      <c r="A24" s="347">
        <v>13</v>
      </c>
      <c r="B24" s="304"/>
      <c r="C24" s="304"/>
      <c r="D24" s="304"/>
      <c r="E24" s="319"/>
      <c r="F24" s="346">
        <f t="shared" si="0"/>
        <v>0</v>
      </c>
    </row>
    <row r="25" spans="1:6" ht="15">
      <c r="A25" s="347">
        <v>16</v>
      </c>
      <c r="B25" s="348"/>
      <c r="C25" s="348"/>
      <c r="D25" s="348"/>
      <c r="E25" s="348"/>
      <c r="F25" s="349">
        <v>0</v>
      </c>
    </row>
    <row r="26" spans="1:6" ht="15">
      <c r="A26" s="347">
        <v>17</v>
      </c>
      <c r="B26" s="348"/>
      <c r="C26" s="348"/>
      <c r="D26" s="348"/>
      <c r="E26" s="348"/>
      <c r="F26" s="349">
        <v>0</v>
      </c>
    </row>
    <row r="27" spans="1:6" ht="15">
      <c r="A27" s="347">
        <v>18</v>
      </c>
      <c r="B27" s="348"/>
      <c r="C27" s="348"/>
      <c r="D27" s="348"/>
      <c r="E27" s="348"/>
      <c r="F27" s="349">
        <v>0</v>
      </c>
    </row>
    <row r="28" spans="1:6" ht="15">
      <c r="A28" s="347">
        <v>19</v>
      </c>
      <c r="B28" s="348"/>
      <c r="C28" s="348"/>
      <c r="D28" s="348"/>
      <c r="E28" s="348"/>
      <c r="F28" s="349">
        <v>0</v>
      </c>
    </row>
    <row r="29" spans="1:6" ht="15.75" thickBot="1">
      <c r="A29" s="350">
        <v>20</v>
      </c>
      <c r="B29" s="351"/>
      <c r="C29" s="351"/>
      <c r="D29" s="351"/>
      <c r="E29" s="351"/>
      <c r="F29" s="352">
        <v>0</v>
      </c>
    </row>
    <row r="30" spans="1:6" ht="18.75" thickBot="1">
      <c r="A30" s="353"/>
      <c r="B30" s="354" t="s">
        <v>618</v>
      </c>
      <c r="C30" s="355"/>
      <c r="D30" s="355"/>
      <c r="E30" s="355"/>
      <c r="F30" s="356">
        <f>SUM(F12:F29)</f>
        <v>0</v>
      </c>
    </row>
    <row r="32" spans="1:6" ht="20.25">
      <c r="D32" s="357" t="s">
        <v>619</v>
      </c>
    </row>
    <row r="35" spans="1:4">
      <c r="A35" s="358" t="s">
        <v>620</v>
      </c>
    </row>
    <row r="36" spans="1:4">
      <c r="A36" s="358" t="s">
        <v>621</v>
      </c>
    </row>
    <row r="47" spans="1:4">
      <c r="D47" s="317">
        <v>10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125"/>
  <sheetViews>
    <sheetView topLeftCell="A64" workbookViewId="0">
      <selection activeCell="D105" sqref="D105"/>
    </sheetView>
  </sheetViews>
  <sheetFormatPr defaultColWidth="11.42578125" defaultRowHeight="12.75"/>
  <cols>
    <col min="1" max="1" width="4.140625" style="41" customWidth="1"/>
    <col min="2" max="2" width="42.7109375" style="41" bestFit="1" customWidth="1"/>
    <col min="3" max="3" width="4.7109375" style="41" customWidth="1"/>
    <col min="4" max="5" width="14.5703125" style="41" customWidth="1"/>
    <col min="6" max="12" width="14.5703125" style="41" hidden="1" customWidth="1"/>
    <col min="13" max="13" width="12.7109375" style="41" hidden="1" customWidth="1"/>
    <col min="14" max="15" width="13.7109375" style="41" hidden="1" customWidth="1"/>
    <col min="16" max="16" width="14.5703125" style="41" hidden="1" customWidth="1"/>
    <col min="17" max="17" width="11.42578125" style="41" hidden="1" customWidth="1"/>
    <col min="18" max="18" width="11.42578125" style="41"/>
    <col min="19" max="19" width="12.85546875" style="41" bestFit="1" customWidth="1"/>
    <col min="20" max="16384" width="11.42578125" style="41"/>
  </cols>
  <sheetData>
    <row r="1" spans="1:17" ht="18" customHeight="1">
      <c r="B1" s="59" t="s">
        <v>165</v>
      </c>
    </row>
    <row r="2" spans="1:17" ht="13.5">
      <c r="B2" s="42" t="s">
        <v>698</v>
      </c>
      <c r="Q2" s="44"/>
    </row>
    <row r="3" spans="1:17">
      <c r="B3" s="58" t="s">
        <v>429</v>
      </c>
    </row>
    <row r="6" spans="1:17" ht="15">
      <c r="B6" s="62" t="s">
        <v>166</v>
      </c>
      <c r="C6" s="43" t="s">
        <v>167</v>
      </c>
      <c r="D6" s="488" t="s">
        <v>1030</v>
      </c>
      <c r="E6" s="488" t="s">
        <v>1015</v>
      </c>
      <c r="F6" s="488" t="s">
        <v>951</v>
      </c>
      <c r="G6" s="488" t="s">
        <v>941</v>
      </c>
      <c r="H6" s="488" t="s">
        <v>702</v>
      </c>
      <c r="I6" s="488" t="s">
        <v>658</v>
      </c>
      <c r="J6" s="43" t="s">
        <v>643</v>
      </c>
      <c r="K6" s="43" t="s">
        <v>632</v>
      </c>
      <c r="L6" s="43" t="s">
        <v>582</v>
      </c>
      <c r="M6" s="43" t="s">
        <v>565</v>
      </c>
      <c r="N6" s="43" t="s">
        <v>564</v>
      </c>
      <c r="O6" s="43" t="s">
        <v>563</v>
      </c>
      <c r="P6" s="43" t="s">
        <v>540</v>
      </c>
    </row>
    <row r="8" spans="1:17">
      <c r="D8" s="97"/>
      <c r="E8" s="97"/>
      <c r="F8" s="97"/>
      <c r="G8" s="97"/>
      <c r="H8" s="97"/>
      <c r="I8" s="97"/>
      <c r="J8" s="97"/>
    </row>
    <row r="9" spans="1:17">
      <c r="A9" s="45" t="s">
        <v>168</v>
      </c>
      <c r="B9" s="46" t="s">
        <v>169</v>
      </c>
      <c r="C9" s="46" t="s">
        <v>135</v>
      </c>
    </row>
    <row r="10" spans="1:17">
      <c r="A10" s="45" t="s">
        <v>170</v>
      </c>
      <c r="B10" s="46" t="s">
        <v>171</v>
      </c>
      <c r="C10" s="46" t="s">
        <v>136</v>
      </c>
      <c r="D10" s="489">
        <f t="shared" ref="D10:I10" si="0">+D18</f>
        <v>23276259</v>
      </c>
      <c r="E10" s="489">
        <f t="shared" si="0"/>
        <v>25993140</v>
      </c>
      <c r="F10" s="489">
        <f t="shared" si="0"/>
        <v>34594266</v>
      </c>
      <c r="G10" s="489">
        <f t="shared" si="0"/>
        <v>42611733</v>
      </c>
      <c r="H10" s="489">
        <f t="shared" si="0"/>
        <v>36550960</v>
      </c>
      <c r="I10" s="489">
        <f t="shared" si="0"/>
        <v>35265407</v>
      </c>
      <c r="J10" s="434">
        <v>34892661</v>
      </c>
      <c r="K10" s="434">
        <v>33494927</v>
      </c>
      <c r="L10" s="47">
        <v>36013971</v>
      </c>
      <c r="M10" s="47">
        <v>38376194</v>
      </c>
      <c r="N10" s="47">
        <v>37707939</v>
      </c>
      <c r="O10" s="47">
        <v>31825083</v>
      </c>
      <c r="P10" s="47">
        <v>28982109</v>
      </c>
    </row>
    <row r="11" spans="1:17">
      <c r="A11" s="45" t="s">
        <v>145</v>
      </c>
      <c r="B11" s="46" t="s">
        <v>172</v>
      </c>
      <c r="C11" s="46" t="s">
        <v>137</v>
      </c>
    </row>
    <row r="12" spans="1:17">
      <c r="A12" s="45" t="s">
        <v>150</v>
      </c>
      <c r="B12" s="46" t="s">
        <v>173</v>
      </c>
      <c r="C12" s="46" t="s">
        <v>138</v>
      </c>
    </row>
    <row r="13" spans="1:17">
      <c r="A13" s="45" t="s">
        <v>151</v>
      </c>
      <c r="B13" s="46" t="s">
        <v>174</v>
      </c>
      <c r="C13" s="46" t="s">
        <v>139</v>
      </c>
    </row>
    <row r="14" spans="1:17">
      <c r="A14" s="45" t="s">
        <v>152</v>
      </c>
      <c r="B14" s="46" t="s">
        <v>175</v>
      </c>
      <c r="C14" s="46" t="s">
        <v>147</v>
      </c>
    </row>
    <row r="15" spans="1:17">
      <c r="A15" s="45" t="s">
        <v>154</v>
      </c>
      <c r="B15" s="46" t="s">
        <v>176</v>
      </c>
      <c r="C15" s="46" t="s">
        <v>148</v>
      </c>
    </row>
    <row r="16" spans="1:17">
      <c r="A16" s="45" t="s">
        <v>155</v>
      </c>
      <c r="B16" s="46" t="s">
        <v>177</v>
      </c>
      <c r="C16" s="46" t="s">
        <v>149</v>
      </c>
    </row>
    <row r="17" spans="1:16">
      <c r="A17" s="45" t="s">
        <v>178</v>
      </c>
      <c r="B17" s="46" t="s">
        <v>179</v>
      </c>
      <c r="C17" s="46" t="s">
        <v>153</v>
      </c>
      <c r="D17" s="97"/>
      <c r="E17" s="97"/>
      <c r="F17" s="97"/>
      <c r="G17" s="97"/>
      <c r="H17" s="97"/>
      <c r="I17" s="97"/>
      <c r="J17" s="97"/>
      <c r="K17" s="97"/>
    </row>
    <row r="18" spans="1:16">
      <c r="A18" s="45" t="s">
        <v>146</v>
      </c>
      <c r="B18" s="46" t="s">
        <v>180</v>
      </c>
      <c r="C18" s="46" t="s">
        <v>157</v>
      </c>
      <c r="D18" s="489">
        <f t="shared" ref="D18:I18" si="1">+D20+D23</f>
        <v>23276259</v>
      </c>
      <c r="E18" s="489">
        <f t="shared" si="1"/>
        <v>25993140</v>
      </c>
      <c r="F18" s="489">
        <f t="shared" si="1"/>
        <v>34594266</v>
      </c>
      <c r="G18" s="489">
        <f t="shared" si="1"/>
        <v>42611733</v>
      </c>
      <c r="H18" s="489">
        <f t="shared" si="1"/>
        <v>36550960</v>
      </c>
      <c r="I18" s="489">
        <f t="shared" si="1"/>
        <v>35265407</v>
      </c>
      <c r="J18" s="434">
        <v>34892661</v>
      </c>
      <c r="K18" s="434">
        <v>33494927</v>
      </c>
      <c r="L18" s="47">
        <v>36013971</v>
      </c>
      <c r="M18" s="47">
        <v>38376194</v>
      </c>
      <c r="N18" s="47">
        <v>37707939</v>
      </c>
      <c r="O18" s="47">
        <v>31825083</v>
      </c>
      <c r="P18" s="47">
        <v>28982109</v>
      </c>
    </row>
    <row r="19" spans="1:16">
      <c r="A19" s="45" t="s">
        <v>150</v>
      </c>
      <c r="B19" s="46" t="s">
        <v>181</v>
      </c>
      <c r="C19" s="46" t="s">
        <v>158</v>
      </c>
    </row>
    <row r="20" spans="1:16">
      <c r="A20" s="45" t="s">
        <v>151</v>
      </c>
      <c r="B20" s="46" t="s">
        <v>182</v>
      </c>
      <c r="C20" s="46" t="s">
        <v>159</v>
      </c>
      <c r="D20" s="490">
        <v>76758145</v>
      </c>
      <c r="E20" s="490">
        <v>72031390</v>
      </c>
      <c r="F20" s="490">
        <f>44033554+4885000+22632968</f>
        <v>71551522</v>
      </c>
      <c r="G20" s="490">
        <f>44033554+4885000+928500+21156364</f>
        <v>71003418</v>
      </c>
      <c r="H20" s="490">
        <f>1567250+59272855+350917+1924075</f>
        <v>63115097</v>
      </c>
      <c r="I20" s="490">
        <f>34864669+4885000+16010100+3513086</f>
        <v>59272855</v>
      </c>
      <c r="J20" s="47">
        <v>55759769</v>
      </c>
      <c r="K20" s="47">
        <v>51658057</v>
      </c>
      <c r="L20" s="47">
        <v>50580814</v>
      </c>
      <c r="M20" s="47">
        <v>46926581</v>
      </c>
      <c r="N20" s="47">
        <v>34074669</v>
      </c>
      <c r="O20" s="47">
        <v>30092667</v>
      </c>
      <c r="P20" s="47">
        <v>32851267</v>
      </c>
    </row>
    <row r="21" spans="1:16">
      <c r="A21" s="45" t="s">
        <v>152</v>
      </c>
      <c r="B21" s="46" t="s">
        <v>183</v>
      </c>
      <c r="C21" s="46" t="s">
        <v>160</v>
      </c>
      <c r="D21" s="490">
        <v>0</v>
      </c>
      <c r="E21" s="490">
        <v>0</v>
      </c>
      <c r="F21" s="490">
        <v>0</v>
      </c>
      <c r="G21" s="490">
        <v>0</v>
      </c>
      <c r="H21" s="490">
        <v>0</v>
      </c>
      <c r="I21" s="490">
        <v>0</v>
      </c>
      <c r="J21" s="47">
        <v>0</v>
      </c>
      <c r="K21" s="47">
        <v>0</v>
      </c>
      <c r="L21" s="47">
        <v>0</v>
      </c>
      <c r="M21" s="47">
        <v>0</v>
      </c>
      <c r="N21" s="47">
        <v>9213871</v>
      </c>
      <c r="O21" s="47">
        <v>6170830</v>
      </c>
      <c r="P21" s="47"/>
    </row>
    <row r="22" spans="1:16">
      <c r="A22" s="45" t="s">
        <v>154</v>
      </c>
      <c r="B22" s="46" t="s">
        <v>184</v>
      </c>
      <c r="C22" s="46" t="s">
        <v>161</v>
      </c>
    </row>
    <row r="23" spans="1:16">
      <c r="A23" s="45" t="s">
        <v>155</v>
      </c>
      <c r="B23" s="46" t="s">
        <v>177</v>
      </c>
      <c r="C23" s="46" t="s">
        <v>185</v>
      </c>
      <c r="D23" s="490">
        <v>-53481886</v>
      </c>
      <c r="E23" s="490">
        <f>-(18039464+4164287+6187934+8565571+9080994)</f>
        <v>-46038250</v>
      </c>
      <c r="F23" s="490">
        <f>-(18039464+4164287+6187934+8565571)</f>
        <v>-36957256</v>
      </c>
      <c r="G23" s="490">
        <f>-(18039464+4164287+6187934)</f>
        <v>-28391685</v>
      </c>
      <c r="H23" s="490">
        <f>-(25509991+84294+969852)</f>
        <v>-26564137</v>
      </c>
      <c r="I23" s="490">
        <f>-(15467630+4042061+4497757)</f>
        <v>-24007448</v>
      </c>
      <c r="J23" s="47">
        <v>-20867108</v>
      </c>
      <c r="K23" s="47">
        <v>-18163130</v>
      </c>
      <c r="L23" s="47">
        <v>-14566843</v>
      </c>
      <c r="M23" s="47">
        <v>-8550387</v>
      </c>
      <c r="N23" s="47">
        <v>-5580601</v>
      </c>
      <c r="O23" s="47">
        <v>-4438414</v>
      </c>
      <c r="P23" s="47">
        <v>-3869158</v>
      </c>
    </row>
    <row r="24" spans="1:16">
      <c r="A24" s="45" t="s">
        <v>178</v>
      </c>
      <c r="B24" s="46" t="s">
        <v>179</v>
      </c>
      <c r="C24" s="46" t="s">
        <v>186</v>
      </c>
    </row>
    <row r="25" spans="1:16">
      <c r="A25" s="45" t="s">
        <v>156</v>
      </c>
      <c r="B25" s="46" t="s">
        <v>187</v>
      </c>
      <c r="C25" s="46" t="s">
        <v>188</v>
      </c>
    </row>
    <row r="26" spans="1:16">
      <c r="A26" s="45" t="s">
        <v>150</v>
      </c>
      <c r="B26" s="46" t="s">
        <v>189</v>
      </c>
      <c r="C26" s="46" t="s">
        <v>190</v>
      </c>
    </row>
    <row r="27" spans="1:16">
      <c r="A27" s="45" t="s">
        <v>151</v>
      </c>
      <c r="B27" s="46" t="s">
        <v>191</v>
      </c>
      <c r="C27" s="46" t="s">
        <v>192</v>
      </c>
    </row>
    <row r="28" spans="1:16">
      <c r="A28" s="45" t="s">
        <v>152</v>
      </c>
      <c r="B28" s="46" t="s">
        <v>193</v>
      </c>
      <c r="C28" s="46" t="s">
        <v>194</v>
      </c>
    </row>
    <row r="29" spans="1:16">
      <c r="A29" s="45" t="s">
        <v>154</v>
      </c>
      <c r="B29" s="46" t="s">
        <v>195</v>
      </c>
      <c r="C29" s="46" t="s">
        <v>196</v>
      </c>
    </row>
    <row r="30" spans="1:16">
      <c r="A30" s="45" t="s">
        <v>162</v>
      </c>
      <c r="B30" s="46" t="s">
        <v>197</v>
      </c>
      <c r="C30" s="46" t="s">
        <v>198</v>
      </c>
      <c r="D30" s="490">
        <v>-4.6566128730773926E-10</v>
      </c>
      <c r="E30" s="490">
        <v>-4.6566128730773926E-10</v>
      </c>
      <c r="F30" s="490">
        <v>-4.6566128730773926E-10</v>
      </c>
      <c r="G30" s="490">
        <v>-4.6566128730773926E-10</v>
      </c>
      <c r="H30" s="490">
        <v>-4.6566128730773926E-10</v>
      </c>
      <c r="I30" s="490">
        <v>-4.6566128730773926E-10</v>
      </c>
      <c r="J30" s="47">
        <v>-4.6566128730773926E-10</v>
      </c>
      <c r="K30" s="47">
        <v>-4.6566128730773926E-10</v>
      </c>
      <c r="L30" s="47">
        <v>-4.6566128730773926E-10</v>
      </c>
      <c r="M30" s="47">
        <v>-4.6566128730773926E-10</v>
      </c>
      <c r="N30" s="47">
        <v>-4.6566128730773926E-10</v>
      </c>
      <c r="O30" s="47">
        <v>-4.6566128730773926E-10</v>
      </c>
      <c r="P30" s="47">
        <v>-4.6566128730773926E-10</v>
      </c>
    </row>
    <row r="31" spans="1:16">
      <c r="A31" s="45" t="s">
        <v>199</v>
      </c>
      <c r="B31" s="46" t="s">
        <v>200</v>
      </c>
      <c r="C31" s="46" t="s">
        <v>201</v>
      </c>
      <c r="D31" s="489">
        <f t="shared" ref="D31:I31" si="2">+D38+D48</f>
        <v>22173264.708999999</v>
      </c>
      <c r="E31" s="489">
        <f t="shared" si="2"/>
        <v>14867979.280000001</v>
      </c>
      <c r="F31" s="489">
        <f t="shared" si="2"/>
        <v>22878989.379999999</v>
      </c>
      <c r="G31" s="489">
        <f t="shared" si="2"/>
        <v>13740541.1</v>
      </c>
      <c r="H31" s="489">
        <f t="shared" si="2"/>
        <v>16323578.547500001</v>
      </c>
      <c r="I31" s="489">
        <f t="shared" si="2"/>
        <v>22965803</v>
      </c>
      <c r="J31" s="434">
        <v>23783894</v>
      </c>
      <c r="K31" s="434">
        <v>22404828</v>
      </c>
      <c r="L31" s="47">
        <v>26862398</v>
      </c>
      <c r="M31" s="47">
        <v>22672040</v>
      </c>
      <c r="N31" s="47">
        <v>10484340</v>
      </c>
      <c r="O31" s="47">
        <v>12175020</v>
      </c>
      <c r="P31" s="47">
        <v>16685604</v>
      </c>
    </row>
    <row r="32" spans="1:16">
      <c r="A32" s="45" t="s">
        <v>145</v>
      </c>
      <c r="B32" s="46" t="s">
        <v>202</v>
      </c>
      <c r="C32" s="46" t="s">
        <v>203</v>
      </c>
      <c r="D32" s="491"/>
      <c r="E32" s="491"/>
      <c r="F32" s="491"/>
      <c r="G32" s="491"/>
      <c r="H32" s="491"/>
      <c r="I32" s="491"/>
      <c r="J32" s="60"/>
      <c r="K32" s="60"/>
      <c r="L32" s="60"/>
      <c r="M32" s="60"/>
      <c r="N32" s="60"/>
      <c r="O32" s="60"/>
      <c r="P32" s="60"/>
    </row>
    <row r="33" spans="1:16">
      <c r="A33" s="45" t="s">
        <v>150</v>
      </c>
      <c r="B33" s="46" t="s">
        <v>204</v>
      </c>
      <c r="C33" s="46" t="s">
        <v>205</v>
      </c>
      <c r="D33" s="365"/>
      <c r="E33" s="365"/>
      <c r="F33" s="365"/>
      <c r="G33" s="365"/>
      <c r="H33" s="365"/>
      <c r="I33" s="365"/>
      <c r="J33" s="365"/>
      <c r="K33" s="365"/>
    </row>
    <row r="34" spans="1:16">
      <c r="A34" s="45" t="s">
        <v>151</v>
      </c>
      <c r="B34" s="46" t="s">
        <v>206</v>
      </c>
      <c r="C34" s="46" t="s">
        <v>207</v>
      </c>
    </row>
    <row r="35" spans="1:16">
      <c r="A35" s="45" t="s">
        <v>152</v>
      </c>
      <c r="B35" s="46" t="s">
        <v>142</v>
      </c>
      <c r="C35" s="46" t="s">
        <v>208</v>
      </c>
      <c r="D35" s="490"/>
      <c r="E35" s="490"/>
      <c r="F35" s="490"/>
      <c r="G35" s="490"/>
      <c r="H35" s="490"/>
      <c r="I35" s="490"/>
      <c r="J35" s="47"/>
      <c r="K35" s="47"/>
      <c r="L35" s="47"/>
      <c r="M35" s="47"/>
      <c r="N35" s="47"/>
      <c r="O35" s="47"/>
      <c r="P35" s="47"/>
    </row>
    <row r="36" spans="1:16">
      <c r="A36" s="45" t="s">
        <v>154</v>
      </c>
      <c r="B36" s="46" t="s">
        <v>209</v>
      </c>
      <c r="C36" s="46" t="s">
        <v>210</v>
      </c>
      <c r="D36" s="365"/>
      <c r="E36" s="365"/>
      <c r="F36" s="365"/>
      <c r="G36" s="365"/>
      <c r="H36" s="365"/>
      <c r="I36" s="365"/>
      <c r="J36" s="365"/>
      <c r="K36" s="365"/>
    </row>
    <row r="37" spans="1:16">
      <c r="A37" s="45" t="s">
        <v>155</v>
      </c>
      <c r="B37" s="46" t="s">
        <v>195</v>
      </c>
      <c r="C37" s="46" t="s">
        <v>211</v>
      </c>
      <c r="D37" s="365"/>
      <c r="E37" s="365"/>
      <c r="F37" s="365"/>
      <c r="G37" s="365"/>
      <c r="H37" s="365"/>
      <c r="I37" s="365"/>
      <c r="J37" s="365"/>
      <c r="K37" s="365"/>
    </row>
    <row r="38" spans="1:16">
      <c r="A38" s="45" t="s">
        <v>146</v>
      </c>
      <c r="B38" s="46" t="s">
        <v>212</v>
      </c>
      <c r="C38" s="46" t="s">
        <v>213</v>
      </c>
      <c r="D38" s="491">
        <f t="shared" ref="D38:I38" si="3">+D40+D43</f>
        <v>21137033.129000001</v>
      </c>
      <c r="E38" s="491">
        <f t="shared" si="3"/>
        <v>13815725.280000001</v>
      </c>
      <c r="F38" s="491">
        <f t="shared" si="3"/>
        <v>20846674</v>
      </c>
      <c r="G38" s="491">
        <f t="shared" si="3"/>
        <v>13355309</v>
      </c>
      <c r="H38" s="491">
        <f t="shared" si="3"/>
        <v>15471457.177500002</v>
      </c>
      <c r="I38" s="491">
        <f t="shared" si="3"/>
        <v>21484274</v>
      </c>
      <c r="J38" s="60">
        <v>22298131</v>
      </c>
      <c r="K38" s="60">
        <v>20924067</v>
      </c>
      <c r="L38" s="60">
        <v>25325018</v>
      </c>
      <c r="M38" s="60">
        <v>21162608</v>
      </c>
      <c r="N38" s="60">
        <v>7671596</v>
      </c>
      <c r="O38" s="60">
        <v>8110867</v>
      </c>
      <c r="P38" s="60">
        <v>12248346</v>
      </c>
    </row>
    <row r="39" spans="1:16">
      <c r="B39" s="46" t="s">
        <v>214</v>
      </c>
      <c r="D39" s="365"/>
      <c r="E39" s="365"/>
      <c r="F39" s="365"/>
      <c r="G39" s="365"/>
      <c r="H39" s="365"/>
      <c r="I39" s="365"/>
      <c r="J39" s="365"/>
      <c r="K39" s="365"/>
    </row>
    <row r="40" spans="1:16">
      <c r="A40" s="45" t="s">
        <v>150</v>
      </c>
      <c r="B40" s="46" t="s">
        <v>215</v>
      </c>
      <c r="C40" s="46" t="s">
        <v>216</v>
      </c>
      <c r="D40" s="490">
        <f>21150120-13085.871-1</f>
        <v>21137033.129000001</v>
      </c>
      <c r="E40" s="490">
        <f>18499447+2916256+0.28-9000000+325000</f>
        <v>12740703.280000001</v>
      </c>
      <c r="F40" s="490">
        <v>18499447</v>
      </c>
      <c r="G40" s="490">
        <v>10485211</v>
      </c>
      <c r="H40" s="490">
        <f>11749308+502742</f>
        <v>12252050</v>
      </c>
      <c r="I40" s="490">
        <f>16545348+1246690</f>
        <v>17792038</v>
      </c>
      <c r="J40" s="47">
        <v>18285958</v>
      </c>
      <c r="K40" s="47">
        <v>17374090</v>
      </c>
      <c r="L40" s="47">
        <v>16908659</v>
      </c>
      <c r="M40" s="47">
        <v>6005912</v>
      </c>
      <c r="N40" s="47">
        <v>3183589</v>
      </c>
      <c r="O40" s="47">
        <v>1896742</v>
      </c>
      <c r="P40" s="47">
        <v>1411100</v>
      </c>
    </row>
    <row r="41" spans="1:16">
      <c r="A41" s="45" t="s">
        <v>151</v>
      </c>
      <c r="B41" s="46" t="s">
        <v>217</v>
      </c>
      <c r="C41" s="46" t="s">
        <v>218</v>
      </c>
      <c r="P41" s="47">
        <v>5179000</v>
      </c>
    </row>
    <row r="42" spans="1:16">
      <c r="A42" s="45" t="s">
        <v>152</v>
      </c>
      <c r="B42" s="148" t="s">
        <v>571</v>
      </c>
      <c r="C42" s="46" t="s">
        <v>219</v>
      </c>
      <c r="D42" s="490">
        <v>0</v>
      </c>
      <c r="E42" s="490">
        <v>0</v>
      </c>
      <c r="F42" s="490">
        <v>0</v>
      </c>
      <c r="G42" s="490">
        <v>0</v>
      </c>
      <c r="H42" s="490">
        <v>0</v>
      </c>
      <c r="I42" s="490">
        <v>0</v>
      </c>
      <c r="J42" s="47">
        <v>0</v>
      </c>
      <c r="K42" s="47">
        <v>0</v>
      </c>
      <c r="L42" s="47">
        <v>4583809</v>
      </c>
      <c r="M42" s="47">
        <v>10811289</v>
      </c>
      <c r="N42" s="47"/>
      <c r="O42" s="47"/>
      <c r="P42" s="47"/>
    </row>
    <row r="43" spans="1:16">
      <c r="A43" s="45" t="s">
        <v>154</v>
      </c>
      <c r="B43" s="46" t="s">
        <v>220</v>
      </c>
      <c r="C43" s="46" t="s">
        <v>221</v>
      </c>
      <c r="D43" s="490">
        <v>0</v>
      </c>
      <c r="E43" s="490">
        <v>1075022</v>
      </c>
      <c r="F43" s="490">
        <f>3150952-329608-474117</f>
        <v>2347227</v>
      </c>
      <c r="G43" s="490">
        <f>3150952+48754-329608</f>
        <v>2870098</v>
      </c>
      <c r="H43" s="490">
        <f>3623781+68455-'Ardh shpenz alpha'!G103</f>
        <v>3219407.1775000012</v>
      </c>
      <c r="I43" s="490">
        <f>3623781+68455</f>
        <v>3692236</v>
      </c>
      <c r="J43" s="47">
        <v>4012173</v>
      </c>
      <c r="K43" s="47">
        <v>3549977</v>
      </c>
      <c r="L43" s="47">
        <v>3832550</v>
      </c>
      <c r="M43" s="47">
        <v>4345407</v>
      </c>
      <c r="N43" s="47">
        <v>4488007</v>
      </c>
      <c r="O43" s="47">
        <v>6214125</v>
      </c>
      <c r="P43" s="47">
        <v>5658246</v>
      </c>
    </row>
    <row r="44" spans="1:16">
      <c r="A44" s="45" t="s">
        <v>155</v>
      </c>
      <c r="B44" s="46" t="s">
        <v>195</v>
      </c>
      <c r="C44" s="46" t="s">
        <v>222</v>
      </c>
    </row>
    <row r="45" spans="1:16">
      <c r="A45" s="45" t="s">
        <v>156</v>
      </c>
      <c r="B45" s="46" t="s">
        <v>223</v>
      </c>
      <c r="C45" s="46" t="s">
        <v>224</v>
      </c>
    </row>
    <row r="46" spans="1:16">
      <c r="A46" s="45" t="s">
        <v>150</v>
      </c>
      <c r="B46" s="46" t="s">
        <v>225</v>
      </c>
      <c r="C46" s="46" t="s">
        <v>226</v>
      </c>
    </row>
    <row r="47" spans="1:16">
      <c r="A47" s="45" t="s">
        <v>151</v>
      </c>
      <c r="B47" s="46" t="s">
        <v>195</v>
      </c>
      <c r="C47" s="46" t="s">
        <v>227</v>
      </c>
      <c r="D47" s="365"/>
      <c r="E47" s="365"/>
      <c r="F47" s="365"/>
      <c r="G47" s="365"/>
      <c r="H47" s="365"/>
      <c r="I47" s="365"/>
      <c r="J47" s="365"/>
      <c r="K47" s="365"/>
    </row>
    <row r="48" spans="1:16">
      <c r="A48" s="45" t="s">
        <v>162</v>
      </c>
      <c r="B48" s="46" t="s">
        <v>228</v>
      </c>
      <c r="C48" s="46" t="s">
        <v>229</v>
      </c>
      <c r="D48" s="491">
        <f t="shared" ref="D48:I48" si="4">+D49+D50</f>
        <v>1036231.58</v>
      </c>
      <c r="E48" s="491">
        <f t="shared" si="4"/>
        <v>1052254</v>
      </c>
      <c r="F48" s="491">
        <f t="shared" si="4"/>
        <v>2032315.38</v>
      </c>
      <c r="G48" s="491">
        <f t="shared" si="4"/>
        <v>385232.1</v>
      </c>
      <c r="H48" s="491">
        <f t="shared" si="4"/>
        <v>852121.37</v>
      </c>
      <c r="I48" s="491">
        <f t="shared" si="4"/>
        <v>1481529</v>
      </c>
      <c r="J48" s="60">
        <v>770163</v>
      </c>
      <c r="K48" s="60">
        <v>1480761</v>
      </c>
      <c r="L48" s="60">
        <v>1161465</v>
      </c>
      <c r="M48" s="60">
        <v>1018978</v>
      </c>
      <c r="N48" s="60">
        <v>2113643</v>
      </c>
      <c r="O48" s="60">
        <v>3313071</v>
      </c>
      <c r="P48" s="60">
        <v>4437258</v>
      </c>
    </row>
    <row r="49" spans="1:16">
      <c r="A49" s="45" t="s">
        <v>150</v>
      </c>
      <c r="B49" s="46" t="s">
        <v>230</v>
      </c>
      <c r="C49" s="46" t="s">
        <v>231</v>
      </c>
      <c r="D49" s="490">
        <f>920603.12+1063.96-555.5</f>
        <v>921111.58</v>
      </c>
      <c r="E49" s="490">
        <v>1009901</v>
      </c>
      <c r="F49" s="490">
        <f>1937410+2449-525+0.38</f>
        <v>1939334.38</v>
      </c>
      <c r="G49" s="490">
        <v>248558.1</v>
      </c>
      <c r="H49" s="490">
        <f>572303.55+146111.36-117.54</f>
        <v>718297.37</v>
      </c>
      <c r="I49" s="490">
        <f>1100429+255477+1930</f>
        <v>1357836</v>
      </c>
      <c r="J49" s="47">
        <v>679038</v>
      </c>
      <c r="K49" s="47">
        <v>770283</v>
      </c>
      <c r="L49" s="47">
        <v>386127</v>
      </c>
      <c r="M49" s="47">
        <v>610133</v>
      </c>
      <c r="N49" s="47">
        <v>568971</v>
      </c>
      <c r="O49" s="47">
        <v>1182269</v>
      </c>
      <c r="P49" s="47">
        <v>202641</v>
      </c>
    </row>
    <row r="50" spans="1:16">
      <c r="A50" s="45" t="s">
        <v>151</v>
      </c>
      <c r="B50" s="46" t="s">
        <v>232</v>
      </c>
      <c r="C50" s="46" t="s">
        <v>233</v>
      </c>
      <c r="D50" s="490">
        <v>115120</v>
      </c>
      <c r="E50" s="490">
        <v>42353</v>
      </c>
      <c r="F50" s="490">
        <v>92981</v>
      </c>
      <c r="G50" s="490">
        <v>136674</v>
      </c>
      <c r="H50" s="490">
        <v>133824</v>
      </c>
      <c r="I50" s="490">
        <v>123693</v>
      </c>
      <c r="J50" s="47">
        <v>91125</v>
      </c>
      <c r="K50" s="47">
        <v>710478</v>
      </c>
      <c r="L50" s="47">
        <v>775338</v>
      </c>
      <c r="M50" s="47">
        <v>256846</v>
      </c>
      <c r="N50" s="47">
        <v>1544672</v>
      </c>
      <c r="O50" s="47">
        <v>1515402</v>
      </c>
      <c r="P50" s="47">
        <v>4066117</v>
      </c>
    </row>
    <row r="51" spans="1:16">
      <c r="A51" s="45" t="s">
        <v>152</v>
      </c>
      <c r="B51" s="46" t="s">
        <v>234</v>
      </c>
      <c r="C51" s="46" t="s">
        <v>235</v>
      </c>
      <c r="D51" s="490">
        <v>0</v>
      </c>
      <c r="E51" s="490">
        <v>0</v>
      </c>
      <c r="F51" s="490">
        <v>0</v>
      </c>
      <c r="G51" s="490">
        <v>0</v>
      </c>
      <c r="H51" s="490">
        <v>0</v>
      </c>
      <c r="I51" s="490">
        <v>0</v>
      </c>
      <c r="J51" s="47">
        <v>0</v>
      </c>
      <c r="K51" s="47">
        <v>0</v>
      </c>
      <c r="L51" s="47">
        <v>0</v>
      </c>
      <c r="M51" s="47">
        <v>151999</v>
      </c>
      <c r="N51" s="47">
        <v>0</v>
      </c>
      <c r="O51" s="47">
        <v>615400</v>
      </c>
      <c r="P51" s="47">
        <v>168500</v>
      </c>
    </row>
    <row r="52" spans="1:16">
      <c r="A52" s="45" t="s">
        <v>163</v>
      </c>
      <c r="B52" s="46" t="s">
        <v>236</v>
      </c>
      <c r="C52" s="46" t="s">
        <v>237</v>
      </c>
      <c r="D52" s="491">
        <v>0</v>
      </c>
      <c r="E52" s="491">
        <v>0</v>
      </c>
      <c r="F52" s="491">
        <v>0</v>
      </c>
      <c r="G52" s="491">
        <v>0</v>
      </c>
      <c r="H52" s="491">
        <v>3293640</v>
      </c>
      <c r="I52" s="491">
        <v>0</v>
      </c>
      <c r="J52" s="60">
        <v>715600</v>
      </c>
      <c r="K52" s="60">
        <v>0</v>
      </c>
      <c r="L52" s="60">
        <v>375915</v>
      </c>
      <c r="M52" s="60">
        <v>490454</v>
      </c>
      <c r="N52" s="60">
        <v>699101</v>
      </c>
      <c r="O52" s="60">
        <v>751082</v>
      </c>
      <c r="P52" s="60"/>
    </row>
    <row r="53" spans="1:16">
      <c r="B53" s="46" t="s">
        <v>238</v>
      </c>
    </row>
    <row r="54" spans="1:16">
      <c r="A54" s="45" t="s">
        <v>239</v>
      </c>
      <c r="B54" s="46" t="s">
        <v>240</v>
      </c>
      <c r="C54" s="46" t="s">
        <v>241</v>
      </c>
      <c r="D54" s="491"/>
      <c r="E54" s="491"/>
      <c r="F54" s="491"/>
      <c r="G54" s="491"/>
      <c r="H54" s="491"/>
      <c r="I54" s="491"/>
      <c r="J54" s="60"/>
      <c r="K54" s="60"/>
      <c r="L54" s="60"/>
      <c r="M54" s="60"/>
      <c r="N54" s="60"/>
      <c r="O54" s="60">
        <v>7076661</v>
      </c>
      <c r="P54" s="60">
        <v>8724025</v>
      </c>
    </row>
    <row r="55" spans="1:16">
      <c r="A55" s="45" t="s">
        <v>150</v>
      </c>
      <c r="B55" s="46" t="s">
        <v>242</v>
      </c>
      <c r="C55" s="46" t="s">
        <v>243</v>
      </c>
      <c r="D55" s="490"/>
      <c r="E55" s="490"/>
      <c r="F55" s="490"/>
      <c r="G55" s="490"/>
      <c r="H55" s="490"/>
      <c r="I55" s="490"/>
      <c r="J55" s="47"/>
      <c r="K55" s="47"/>
      <c r="L55" s="47"/>
      <c r="M55" s="47"/>
      <c r="N55" s="47"/>
      <c r="O55" s="47"/>
      <c r="P55" s="47"/>
    </row>
    <row r="56" spans="1:16">
      <c r="A56" s="45" t="s">
        <v>151</v>
      </c>
      <c r="B56" s="46" t="s">
        <v>244</v>
      </c>
      <c r="C56" s="46" t="s">
        <v>245</v>
      </c>
      <c r="D56" s="490"/>
      <c r="E56" s="490"/>
      <c r="F56" s="490"/>
      <c r="G56" s="490"/>
      <c r="H56" s="490"/>
      <c r="I56" s="490"/>
      <c r="J56" s="47"/>
      <c r="K56" s="47"/>
      <c r="L56" s="47"/>
      <c r="M56" s="47"/>
      <c r="N56" s="47"/>
      <c r="O56" s="47">
        <v>7076661</v>
      </c>
      <c r="P56" s="47">
        <v>8724025</v>
      </c>
    </row>
    <row r="57" spans="1:16">
      <c r="A57" s="45" t="s">
        <v>152</v>
      </c>
      <c r="B57" s="46" t="s">
        <v>141</v>
      </c>
      <c r="C57" s="46" t="s">
        <v>246</v>
      </c>
    </row>
    <row r="58" spans="1:16">
      <c r="B58" s="46" t="s">
        <v>247</v>
      </c>
      <c r="C58" s="46" t="s">
        <v>248</v>
      </c>
      <c r="D58" s="491">
        <f>+D10+D31+D52</f>
        <v>45449523.708999999</v>
      </c>
      <c r="E58" s="491">
        <f>+E10+E31+E52</f>
        <v>40861119.280000001</v>
      </c>
      <c r="F58" s="491">
        <f>+F10+F31+F52</f>
        <v>57473255.379999995</v>
      </c>
      <c r="G58" s="491">
        <f>+G10+G31+G52</f>
        <v>56352274.100000001</v>
      </c>
      <c r="H58" s="491">
        <f>+H10+H31+H52</f>
        <v>56168178.547499999</v>
      </c>
      <c r="I58" s="491">
        <f t="shared" ref="I58:N58" si="5">+I10+I31</f>
        <v>58231210</v>
      </c>
      <c r="J58" s="60">
        <f t="shared" si="5"/>
        <v>58676555</v>
      </c>
      <c r="K58" s="60">
        <f t="shared" si="5"/>
        <v>55899755</v>
      </c>
      <c r="L58" s="60">
        <f t="shared" si="5"/>
        <v>62876369</v>
      </c>
      <c r="M58" s="60">
        <f t="shared" si="5"/>
        <v>61048234</v>
      </c>
      <c r="N58" s="60">
        <f t="shared" si="5"/>
        <v>48192279</v>
      </c>
      <c r="O58" s="60">
        <v>51076764</v>
      </c>
      <c r="P58" s="60">
        <v>54391738</v>
      </c>
    </row>
    <row r="59" spans="1:16">
      <c r="A59" s="45" t="s">
        <v>249</v>
      </c>
      <c r="B59" s="46" t="s">
        <v>250</v>
      </c>
      <c r="C59" s="46" t="s">
        <v>251</v>
      </c>
    </row>
    <row r="60" spans="1:16">
      <c r="A60" s="45" t="s">
        <v>145</v>
      </c>
      <c r="B60" s="46" t="s">
        <v>252</v>
      </c>
      <c r="C60" s="46" t="s">
        <v>253</v>
      </c>
    </row>
    <row r="61" spans="1:16">
      <c r="A61" s="45" t="s">
        <v>146</v>
      </c>
      <c r="B61" s="46" t="s">
        <v>254</v>
      </c>
      <c r="C61" s="46" t="s">
        <v>255</v>
      </c>
    </row>
    <row r="62" spans="1:16">
      <c r="A62" s="45" t="s">
        <v>156</v>
      </c>
      <c r="B62" s="46" t="s">
        <v>256</v>
      </c>
      <c r="C62" s="46" t="s">
        <v>257</v>
      </c>
    </row>
    <row r="63" spans="1:16" ht="16.5">
      <c r="A63" s="45"/>
      <c r="B63" s="59" t="s">
        <v>165</v>
      </c>
      <c r="C63" s="46"/>
    </row>
    <row r="64" spans="1:16">
      <c r="A64" s="45"/>
      <c r="B64" s="42" t="s">
        <v>698</v>
      </c>
      <c r="C64" s="46"/>
    </row>
    <row r="65" spans="1:19">
      <c r="B65" s="58" t="s">
        <v>429</v>
      </c>
      <c r="D65" s="365"/>
      <c r="E65" s="365"/>
      <c r="F65" s="365"/>
      <c r="G65" s="365"/>
      <c r="H65" s="365"/>
      <c r="I65" s="365"/>
      <c r="J65" s="365"/>
      <c r="K65" s="365"/>
    </row>
    <row r="66" spans="1:19">
      <c r="B66" s="58"/>
      <c r="D66" s="365"/>
      <c r="E66" s="365"/>
      <c r="F66" s="365"/>
      <c r="G66" s="365"/>
      <c r="H66" s="365"/>
      <c r="I66" s="365"/>
      <c r="J66" s="365"/>
      <c r="K66" s="365"/>
    </row>
    <row r="67" spans="1:19">
      <c r="A67" s="45" t="s">
        <v>168</v>
      </c>
      <c r="B67" s="61" t="s">
        <v>258</v>
      </c>
      <c r="C67" s="46" t="s">
        <v>259</v>
      </c>
      <c r="D67" s="490">
        <f t="shared" ref="D67:I67" si="6">+D68</f>
        <v>40871105.709999993</v>
      </c>
      <c r="E67" s="490">
        <f t="shared" si="6"/>
        <v>33717065.927499995</v>
      </c>
      <c r="F67" s="490">
        <f t="shared" si="6"/>
        <v>26507907.377499994</v>
      </c>
      <c r="G67" s="490">
        <f t="shared" si="6"/>
        <v>24084355.377499994</v>
      </c>
      <c r="H67" s="490">
        <f t="shared" si="6"/>
        <v>22677283.127499994</v>
      </c>
      <c r="I67" s="490">
        <f t="shared" si="6"/>
        <v>19997919.800000001</v>
      </c>
      <c r="J67" s="47">
        <v>16552433</v>
      </c>
      <c r="K67" s="47">
        <v>13886030</v>
      </c>
      <c r="L67" s="47">
        <v>10628340</v>
      </c>
      <c r="M67" s="47">
        <v>8005512</v>
      </c>
      <c r="N67" s="47">
        <v>10080208</v>
      </c>
      <c r="O67" s="47">
        <v>7868544</v>
      </c>
      <c r="P67" s="47">
        <v>6092059</v>
      </c>
    </row>
    <row r="68" spans="1:19">
      <c r="A68" s="45" t="s">
        <v>145</v>
      </c>
      <c r="B68" s="46" t="s">
        <v>260</v>
      </c>
      <c r="C68" s="46" t="s">
        <v>261</v>
      </c>
      <c r="D68" s="490">
        <f>+D70+D73+D77+D78</f>
        <v>40871105.709999993</v>
      </c>
      <c r="E68" s="490">
        <f>+E70+E73+E77+E78</f>
        <v>33717065.927499995</v>
      </c>
      <c r="F68" s="490">
        <f>+F70+F73+F77+F78</f>
        <v>26507907.377499994</v>
      </c>
      <c r="G68" s="490">
        <f>+G70+G73+G77+G78</f>
        <v>24084355.377499994</v>
      </c>
      <c r="H68" s="490">
        <f>+H70+H73+H77+H78</f>
        <v>22677283.127499994</v>
      </c>
      <c r="I68" s="490">
        <f t="shared" ref="I68:N68" si="7">+I70+I73+I77+I78</f>
        <v>19997919.800000001</v>
      </c>
      <c r="J68" s="47">
        <f t="shared" si="7"/>
        <v>16552433</v>
      </c>
      <c r="K68" s="47">
        <f t="shared" si="7"/>
        <v>13886030</v>
      </c>
      <c r="L68" s="47">
        <f t="shared" si="7"/>
        <v>10628340</v>
      </c>
      <c r="M68" s="47">
        <f t="shared" si="7"/>
        <v>8005512</v>
      </c>
      <c r="N68" s="47">
        <f t="shared" si="7"/>
        <v>10080208</v>
      </c>
      <c r="O68" s="47">
        <v>7868544</v>
      </c>
      <c r="P68" s="47">
        <v>6092059</v>
      </c>
    </row>
    <row r="69" spans="1:19">
      <c r="B69" s="46" t="s">
        <v>262</v>
      </c>
    </row>
    <row r="70" spans="1:19">
      <c r="A70" s="45" t="s">
        <v>150</v>
      </c>
      <c r="B70" s="46" t="s">
        <v>263</v>
      </c>
      <c r="C70" s="46" t="s">
        <v>264</v>
      </c>
      <c r="D70" s="490">
        <v>10000000</v>
      </c>
      <c r="E70" s="490">
        <v>10000000</v>
      </c>
      <c r="F70" s="490">
        <v>10000000</v>
      </c>
      <c r="G70" s="490">
        <v>10000000</v>
      </c>
      <c r="H70" s="490">
        <v>10000000</v>
      </c>
      <c r="I70" s="490">
        <v>10000000</v>
      </c>
      <c r="J70" s="47">
        <v>10000000</v>
      </c>
      <c r="K70" s="47">
        <v>10000000</v>
      </c>
      <c r="L70" s="47">
        <v>7800000</v>
      </c>
      <c r="M70" s="47">
        <v>7800000</v>
      </c>
      <c r="N70" s="47">
        <v>7800000</v>
      </c>
      <c r="O70" s="47">
        <v>100000</v>
      </c>
      <c r="P70" s="47">
        <v>100000</v>
      </c>
      <c r="S70" s="97"/>
    </row>
    <row r="71" spans="1:19">
      <c r="A71" s="45" t="s">
        <v>151</v>
      </c>
      <c r="B71" s="46" t="s">
        <v>265</v>
      </c>
      <c r="C71" s="46" t="s">
        <v>266</v>
      </c>
      <c r="D71" s="490"/>
      <c r="E71" s="490"/>
      <c r="F71" s="490"/>
      <c r="G71" s="490"/>
      <c r="H71" s="490"/>
      <c r="I71" s="490"/>
      <c r="J71" s="47"/>
      <c r="K71" s="47"/>
      <c r="L71" s="47"/>
      <c r="M71" s="47"/>
      <c r="N71" s="47"/>
      <c r="O71" s="47"/>
      <c r="P71" s="47"/>
    </row>
    <row r="72" spans="1:19">
      <c r="A72" s="45" t="s">
        <v>152</v>
      </c>
      <c r="B72" s="46" t="s">
        <v>267</v>
      </c>
      <c r="C72" s="46" t="s">
        <v>268</v>
      </c>
      <c r="D72" s="97"/>
      <c r="E72" s="97"/>
      <c r="F72" s="97"/>
      <c r="G72" s="97"/>
      <c r="H72" s="97"/>
      <c r="I72" s="97"/>
      <c r="J72" s="97"/>
      <c r="K72" s="97"/>
    </row>
    <row r="73" spans="1:19">
      <c r="A73" s="45" t="s">
        <v>154</v>
      </c>
      <c r="B73" s="46" t="s">
        <v>269</v>
      </c>
      <c r="C73" s="46" t="s">
        <v>270</v>
      </c>
      <c r="D73" s="490">
        <v>628340</v>
      </c>
      <c r="E73" s="490">
        <v>628340</v>
      </c>
      <c r="F73" s="490">
        <v>628340</v>
      </c>
      <c r="G73" s="490">
        <v>628340</v>
      </c>
      <c r="H73" s="490">
        <v>628340</v>
      </c>
      <c r="I73" s="490">
        <v>628340</v>
      </c>
      <c r="J73" s="47">
        <v>628340</v>
      </c>
      <c r="K73" s="47">
        <v>628340</v>
      </c>
      <c r="L73" s="47">
        <v>68544</v>
      </c>
      <c r="M73" s="47">
        <v>68544</v>
      </c>
      <c r="N73" s="47">
        <v>68544</v>
      </c>
      <c r="O73" s="47">
        <v>33000</v>
      </c>
      <c r="P73" s="47">
        <v>33000</v>
      </c>
    </row>
    <row r="74" spans="1:19">
      <c r="B74" s="46" t="s">
        <v>271</v>
      </c>
      <c r="C74" s="46" t="s">
        <v>272</v>
      </c>
      <c r="D74" s="490">
        <v>13000</v>
      </c>
      <c r="E74" s="490">
        <v>13000</v>
      </c>
      <c r="F74" s="490">
        <v>13000</v>
      </c>
      <c r="G74" s="490">
        <v>13000</v>
      </c>
      <c r="H74" s="490">
        <v>13000</v>
      </c>
      <c r="I74" s="490">
        <v>13000</v>
      </c>
      <c r="J74" s="47">
        <v>13000</v>
      </c>
      <c r="K74" s="47">
        <v>13000</v>
      </c>
      <c r="L74" s="47">
        <v>13000</v>
      </c>
      <c r="M74" s="47">
        <v>13000</v>
      </c>
      <c r="N74" s="47">
        <v>13000</v>
      </c>
      <c r="O74" s="47">
        <v>13000</v>
      </c>
      <c r="P74" s="47">
        <v>13000</v>
      </c>
    </row>
    <row r="75" spans="1:19">
      <c r="B75" s="46" t="s">
        <v>273</v>
      </c>
      <c r="C75" s="46" t="s">
        <v>274</v>
      </c>
      <c r="D75" s="490">
        <v>615340</v>
      </c>
      <c r="E75" s="490">
        <v>615340</v>
      </c>
      <c r="F75" s="490">
        <v>615340</v>
      </c>
      <c r="G75" s="490">
        <v>615340</v>
      </c>
      <c r="H75" s="490">
        <v>615340</v>
      </c>
      <c r="I75" s="490">
        <v>615340</v>
      </c>
      <c r="J75" s="47">
        <v>615340</v>
      </c>
      <c r="K75" s="47">
        <v>615340</v>
      </c>
      <c r="L75" s="47">
        <v>55544</v>
      </c>
      <c r="M75" s="47">
        <v>55544</v>
      </c>
      <c r="N75" s="47">
        <v>55544</v>
      </c>
      <c r="O75" s="47">
        <v>20000</v>
      </c>
      <c r="P75" s="47">
        <v>20000</v>
      </c>
    </row>
    <row r="76" spans="1:19">
      <c r="B76" s="46" t="s">
        <v>275</v>
      </c>
      <c r="C76" s="46" t="s">
        <v>276</v>
      </c>
      <c r="D76" s="490"/>
      <c r="E76" s="490"/>
      <c r="F76" s="490"/>
      <c r="G76" s="490"/>
      <c r="H76" s="490"/>
      <c r="I76" s="490"/>
      <c r="J76" s="47"/>
      <c r="K76" s="47"/>
      <c r="L76" s="47"/>
      <c r="M76" s="47"/>
      <c r="N76" s="47"/>
      <c r="O76" s="47"/>
      <c r="P76" s="47"/>
    </row>
    <row r="77" spans="1:19">
      <c r="A77" s="45" t="s">
        <v>155</v>
      </c>
      <c r="B77" s="46" t="s">
        <v>277</v>
      </c>
      <c r="C77" s="46" t="s">
        <v>278</v>
      </c>
      <c r="D77" s="490">
        <f t="shared" ref="D77:I77" si="8">+E77+E78</f>
        <v>23088725.927499995</v>
      </c>
      <c r="E77" s="490">
        <f t="shared" si="8"/>
        <v>15879567.377499994</v>
      </c>
      <c r="F77" s="490">
        <f t="shared" si="8"/>
        <v>13456015.377499994</v>
      </c>
      <c r="G77" s="490">
        <f t="shared" si="8"/>
        <v>12048943.127499994</v>
      </c>
      <c r="H77" s="490">
        <f t="shared" si="8"/>
        <v>9369579.8000000007</v>
      </c>
      <c r="I77" s="490">
        <f t="shared" si="8"/>
        <v>5924093</v>
      </c>
      <c r="J77" s="47">
        <v>3257690</v>
      </c>
      <c r="K77" s="47">
        <v>0</v>
      </c>
      <c r="L77" s="47">
        <v>0</v>
      </c>
      <c r="M77" s="47">
        <v>2211664</v>
      </c>
      <c r="N77" s="47"/>
      <c r="O77" s="47">
        <v>5959059</v>
      </c>
      <c r="P77" s="47">
        <v>3934495</v>
      </c>
    </row>
    <row r="78" spans="1:19">
      <c r="A78" s="45" t="s">
        <v>178</v>
      </c>
      <c r="B78" s="46" t="s">
        <v>279</v>
      </c>
      <c r="C78" s="46" t="s">
        <v>280</v>
      </c>
      <c r="D78" s="490">
        <f>+'Ardh shpenz alpha'!C107</f>
        <v>7154039.7825000025</v>
      </c>
      <c r="E78" s="490">
        <f>+'Ardh shpenz alpha'!D107</f>
        <v>7209158.5499999998</v>
      </c>
      <c r="F78" s="490">
        <f>+'Ardh shpenz alpha'!E107</f>
        <v>2423552</v>
      </c>
      <c r="G78" s="490">
        <f>+'Ardh shpenz alpha'!F107</f>
        <v>1407072.25</v>
      </c>
      <c r="H78" s="490">
        <f>+'Ardh shpenz alpha'!G107</f>
        <v>2679363.3274999922</v>
      </c>
      <c r="I78" s="490">
        <f>+'Ardh shpenz alpha'!H107</f>
        <v>3445486.8</v>
      </c>
      <c r="J78" s="47">
        <v>2666403</v>
      </c>
      <c r="K78" s="47">
        <v>3257690</v>
      </c>
      <c r="L78" s="47">
        <v>2759796</v>
      </c>
      <c r="M78" s="47">
        <v>-2074696</v>
      </c>
      <c r="N78" s="47">
        <v>2211664</v>
      </c>
      <c r="O78" s="47">
        <v>1776485</v>
      </c>
      <c r="P78" s="47">
        <v>2024564</v>
      </c>
    </row>
    <row r="79" spans="1:19">
      <c r="A79" s="45" t="s">
        <v>164</v>
      </c>
      <c r="B79" s="46" t="s">
        <v>281</v>
      </c>
      <c r="C79" s="46" t="s">
        <v>282</v>
      </c>
    </row>
    <row r="80" spans="1:19">
      <c r="A80" s="45" t="s">
        <v>146</v>
      </c>
      <c r="B80" s="46" t="s">
        <v>283</v>
      </c>
      <c r="C80" s="46" t="s">
        <v>284</v>
      </c>
    </row>
    <row r="81" spans="1:16">
      <c r="A81" s="45" t="s">
        <v>150</v>
      </c>
      <c r="B81" s="46" t="s">
        <v>285</v>
      </c>
      <c r="C81" s="46" t="s">
        <v>286</v>
      </c>
    </row>
    <row r="82" spans="1:16">
      <c r="A82" s="45" t="s">
        <v>151</v>
      </c>
      <c r="B82" s="46" t="s">
        <v>287</v>
      </c>
      <c r="C82" s="46" t="s">
        <v>288</v>
      </c>
    </row>
    <row r="83" spans="1:16">
      <c r="A83" s="45" t="s">
        <v>152</v>
      </c>
      <c r="B83" s="46" t="s">
        <v>289</v>
      </c>
      <c r="C83" s="46" t="s">
        <v>290</v>
      </c>
    </row>
    <row r="84" spans="1:16">
      <c r="A84" s="45" t="s">
        <v>154</v>
      </c>
      <c r="B84" s="46" t="s">
        <v>291</v>
      </c>
      <c r="C84" s="46" t="s">
        <v>292</v>
      </c>
    </row>
    <row r="85" spans="1:16">
      <c r="A85" s="45" t="s">
        <v>156</v>
      </c>
      <c r="B85" s="46" t="s">
        <v>293</v>
      </c>
      <c r="C85" s="46" t="s">
        <v>294</v>
      </c>
    </row>
    <row r="86" spans="1:16">
      <c r="A86" s="45" t="s">
        <v>162</v>
      </c>
      <c r="B86" s="46" t="s">
        <v>295</v>
      </c>
      <c r="C86" s="46" t="s">
        <v>296</v>
      </c>
    </row>
    <row r="87" spans="1:16">
      <c r="A87" s="45" t="s">
        <v>150</v>
      </c>
      <c r="B87" s="46" t="s">
        <v>297</v>
      </c>
      <c r="C87" s="46" t="s">
        <v>298</v>
      </c>
    </row>
    <row r="88" spans="1:16">
      <c r="A88" s="45" t="s">
        <v>151</v>
      </c>
      <c r="B88" s="46" t="s">
        <v>299</v>
      </c>
      <c r="C88" s="46" t="s">
        <v>300</v>
      </c>
    </row>
    <row r="89" spans="1:16">
      <c r="A89" s="45" t="s">
        <v>170</v>
      </c>
      <c r="B89" s="46" t="s">
        <v>301</v>
      </c>
      <c r="C89" s="46" t="s">
        <v>302</v>
      </c>
      <c r="D89" s="490">
        <f t="shared" ref="D89:I89" si="9">+D98</f>
        <v>4578418</v>
      </c>
      <c r="E89" s="490">
        <f t="shared" si="9"/>
        <v>7144053.3499999996</v>
      </c>
      <c r="F89" s="490">
        <f t="shared" si="9"/>
        <v>30965348</v>
      </c>
      <c r="G89" s="490">
        <f t="shared" si="9"/>
        <v>32267918.719999999</v>
      </c>
      <c r="H89" s="490">
        <f t="shared" si="9"/>
        <v>33490895.419999998</v>
      </c>
      <c r="I89" s="490">
        <f t="shared" si="9"/>
        <v>38233290.200000003</v>
      </c>
      <c r="J89" s="47">
        <v>42124122</v>
      </c>
      <c r="K89" s="47">
        <v>42013725</v>
      </c>
      <c r="L89" s="47">
        <v>52248029</v>
      </c>
      <c r="M89" s="47">
        <v>53042722</v>
      </c>
      <c r="N89" s="47">
        <v>38112071</v>
      </c>
      <c r="O89" s="47">
        <v>43208220</v>
      </c>
      <c r="P89" s="47">
        <v>48299679</v>
      </c>
    </row>
    <row r="90" spans="1:16">
      <c r="A90" s="45" t="s">
        <v>145</v>
      </c>
      <c r="B90" s="46" t="s">
        <v>303</v>
      </c>
      <c r="C90" s="46" t="s">
        <v>304</v>
      </c>
      <c r="D90" s="490"/>
      <c r="E90" s="490"/>
      <c r="F90" s="490"/>
      <c r="G90" s="490"/>
      <c r="H90" s="490"/>
      <c r="I90" s="490"/>
      <c r="J90" s="47"/>
      <c r="K90" s="47"/>
      <c r="L90" s="47"/>
      <c r="M90" s="47"/>
      <c r="N90" s="47"/>
      <c r="O90" s="47">
        <v>2440282</v>
      </c>
      <c r="P90" s="47">
        <v>9201526</v>
      </c>
    </row>
    <row r="91" spans="1:16">
      <c r="A91" s="45" t="s">
        <v>150</v>
      </c>
      <c r="B91" s="46" t="s">
        <v>305</v>
      </c>
      <c r="C91" s="46" t="s">
        <v>306</v>
      </c>
      <c r="D91" s="490"/>
      <c r="E91" s="490"/>
      <c r="F91" s="490"/>
      <c r="G91" s="490"/>
      <c r="H91" s="490"/>
      <c r="I91" s="490"/>
      <c r="J91" s="63"/>
      <c r="K91" s="63"/>
      <c r="L91" s="63"/>
      <c r="M91" s="63"/>
      <c r="N91" s="63"/>
      <c r="O91" s="63">
        <v>2440282</v>
      </c>
      <c r="P91" s="63">
        <v>9201526</v>
      </c>
    </row>
    <row r="92" spans="1:16">
      <c r="A92" s="45" t="s">
        <v>151</v>
      </c>
      <c r="B92" s="46" t="s">
        <v>307</v>
      </c>
      <c r="C92" s="46" t="s">
        <v>308</v>
      </c>
    </row>
    <row r="93" spans="1:16">
      <c r="A93" s="45" t="s">
        <v>152</v>
      </c>
      <c r="B93" s="46" t="s">
        <v>309</v>
      </c>
      <c r="C93" s="46" t="s">
        <v>310</v>
      </c>
      <c r="D93" s="490"/>
      <c r="E93" s="490"/>
      <c r="F93" s="490"/>
      <c r="G93" s="490"/>
      <c r="H93" s="490"/>
      <c r="I93" s="490"/>
      <c r="J93" s="63"/>
      <c r="K93" s="63"/>
      <c r="L93" s="63"/>
      <c r="M93" s="63"/>
      <c r="N93" s="63"/>
      <c r="O93" s="63"/>
      <c r="P93" s="63"/>
    </row>
    <row r="94" spans="1:16">
      <c r="A94" s="45" t="s">
        <v>154</v>
      </c>
      <c r="B94" s="46" t="s">
        <v>311</v>
      </c>
      <c r="C94" s="46" t="s">
        <v>312</v>
      </c>
      <c r="D94" s="490"/>
      <c r="E94" s="490"/>
      <c r="F94" s="490"/>
      <c r="G94" s="490"/>
      <c r="H94" s="490"/>
      <c r="I94" s="490"/>
      <c r="J94" s="63"/>
      <c r="K94" s="63"/>
      <c r="L94" s="63"/>
      <c r="M94" s="63"/>
      <c r="N94" s="63"/>
      <c r="O94" s="63"/>
      <c r="P94" s="63"/>
    </row>
    <row r="95" spans="1:16">
      <c r="A95" s="45" t="s">
        <v>155</v>
      </c>
      <c r="B95" s="46" t="s">
        <v>313</v>
      </c>
      <c r="C95" s="46" t="s">
        <v>314</v>
      </c>
    </row>
    <row r="96" spans="1:16">
      <c r="A96" s="45" t="s">
        <v>178</v>
      </c>
      <c r="B96" s="46" t="s">
        <v>124</v>
      </c>
      <c r="C96" s="46" t="s">
        <v>315</v>
      </c>
    </row>
    <row r="97" spans="1:16">
      <c r="A97" s="45" t="s">
        <v>164</v>
      </c>
      <c r="B97" s="46" t="s">
        <v>316</v>
      </c>
      <c r="C97" s="46" t="s">
        <v>317</v>
      </c>
      <c r="D97" s="490"/>
      <c r="E97" s="490"/>
      <c r="F97" s="490"/>
      <c r="G97" s="490"/>
      <c r="H97" s="490"/>
      <c r="I97" s="490"/>
      <c r="J97" s="47"/>
      <c r="K97" s="47"/>
      <c r="L97" s="47"/>
      <c r="M97" s="47"/>
      <c r="N97" s="47"/>
      <c r="O97" s="47"/>
      <c r="P97" s="47"/>
    </row>
    <row r="98" spans="1:16">
      <c r="A98" s="45" t="s">
        <v>146</v>
      </c>
      <c r="B98" s="46" t="s">
        <v>318</v>
      </c>
      <c r="C98" s="46" t="s">
        <v>319</v>
      </c>
      <c r="D98" s="490">
        <f t="shared" ref="D98:I98" si="10">+D102+D104+D105+D106+D107+D103</f>
        <v>4578418</v>
      </c>
      <c r="E98" s="490">
        <f t="shared" si="10"/>
        <v>7144053.3499999996</v>
      </c>
      <c r="F98" s="490">
        <f t="shared" si="10"/>
        <v>30965348</v>
      </c>
      <c r="G98" s="490">
        <f t="shared" si="10"/>
        <v>32267918.719999999</v>
      </c>
      <c r="H98" s="490">
        <f t="shared" si="10"/>
        <v>33490895.419999998</v>
      </c>
      <c r="I98" s="490">
        <f t="shared" si="10"/>
        <v>38233290.200000003</v>
      </c>
      <c r="J98" s="47">
        <v>42124122</v>
      </c>
      <c r="K98" s="47">
        <v>42013725</v>
      </c>
      <c r="L98" s="47">
        <v>52248029</v>
      </c>
      <c r="M98" s="47">
        <v>53042722</v>
      </c>
      <c r="N98" s="47">
        <v>38112071</v>
      </c>
      <c r="O98" s="47">
        <v>40767938</v>
      </c>
      <c r="P98" s="47">
        <v>39098153</v>
      </c>
    </row>
    <row r="99" spans="1:16">
      <c r="A99" s="45" t="s">
        <v>150</v>
      </c>
      <c r="B99" s="46" t="s">
        <v>305</v>
      </c>
      <c r="C99" s="46" t="s">
        <v>320</v>
      </c>
      <c r="D99" s="490">
        <v>0</v>
      </c>
      <c r="E99" s="490">
        <v>0</v>
      </c>
      <c r="F99" s="490">
        <v>0</v>
      </c>
      <c r="G99" s="490">
        <v>0</v>
      </c>
      <c r="H99" s="490">
        <v>0</v>
      </c>
      <c r="I99" s="490">
        <v>0</v>
      </c>
      <c r="J99" s="47">
        <v>0</v>
      </c>
      <c r="K99" s="47">
        <v>35994847</v>
      </c>
      <c r="L99" s="47">
        <v>44053275</v>
      </c>
      <c r="M99" s="47">
        <v>49932873</v>
      </c>
      <c r="N99" s="47">
        <v>7924580</v>
      </c>
      <c r="O99" s="47">
        <v>31329282</v>
      </c>
      <c r="P99" s="47">
        <v>14802280</v>
      </c>
    </row>
    <row r="100" spans="1:16">
      <c r="A100" s="45" t="s">
        <v>151</v>
      </c>
      <c r="B100" s="46" t="s">
        <v>307</v>
      </c>
      <c r="C100" s="46" t="s">
        <v>321</v>
      </c>
    </row>
    <row r="101" spans="1:16">
      <c r="A101" s="45" t="s">
        <v>152</v>
      </c>
      <c r="B101" s="46" t="s">
        <v>322</v>
      </c>
      <c r="C101" s="46" t="s">
        <v>323</v>
      </c>
    </row>
    <row r="102" spans="1:16">
      <c r="A102" s="45" t="s">
        <v>154</v>
      </c>
      <c r="B102" s="46" t="s">
        <v>311</v>
      </c>
      <c r="C102" s="46" t="s">
        <v>324</v>
      </c>
      <c r="D102" s="490">
        <v>3125119</v>
      </c>
      <c r="E102" s="490">
        <f>4211400+1007999.35</f>
        <v>5219399.3499999996</v>
      </c>
      <c r="F102" s="490">
        <f>17442585-282000-48754</f>
        <v>17111831</v>
      </c>
      <c r="G102" s="490">
        <v>22394775</v>
      </c>
      <c r="H102" s="490">
        <f>18540448.49+4311867.93-2219600</f>
        <v>20632716.419999998</v>
      </c>
      <c r="I102" s="490">
        <f>6307671+9790161.2</f>
        <v>16097832.199999999</v>
      </c>
      <c r="J102" s="47">
        <v>7878046</v>
      </c>
      <c r="K102" s="47">
        <v>5528943</v>
      </c>
      <c r="L102" s="47">
        <v>6485898</v>
      </c>
      <c r="M102" s="47">
        <v>1627585</v>
      </c>
      <c r="N102" s="47">
        <v>2474626</v>
      </c>
      <c r="O102" s="47">
        <v>1617497</v>
      </c>
      <c r="P102" s="47">
        <v>1031500</v>
      </c>
    </row>
    <row r="103" spans="1:16">
      <c r="A103" s="45" t="s">
        <v>155</v>
      </c>
      <c r="B103" s="46" t="s">
        <v>325</v>
      </c>
      <c r="C103" s="46" t="s">
        <v>326</v>
      </c>
      <c r="D103" s="490">
        <v>747800</v>
      </c>
      <c r="E103" s="490">
        <v>975000</v>
      </c>
      <c r="F103" s="490">
        <v>7061408</v>
      </c>
      <c r="G103" s="490">
        <f>2353214-3.28</f>
        <v>2353210.7200000002</v>
      </c>
      <c r="H103" s="490">
        <v>1444881</v>
      </c>
      <c r="I103" s="490">
        <v>908618</v>
      </c>
      <c r="J103" s="63">
        <v>0</v>
      </c>
      <c r="K103" s="63">
        <v>0</v>
      </c>
      <c r="L103" s="63">
        <v>1182576</v>
      </c>
      <c r="M103" s="63">
        <v>924132</v>
      </c>
      <c r="N103" s="63">
        <v>91680</v>
      </c>
      <c r="O103" s="63">
        <v>0</v>
      </c>
      <c r="P103" s="63">
        <v>0</v>
      </c>
    </row>
    <row r="104" spans="1:16">
      <c r="A104" s="45" t="s">
        <v>178</v>
      </c>
      <c r="B104" s="46" t="s">
        <v>327</v>
      </c>
      <c r="C104" s="46" t="s">
        <v>328</v>
      </c>
      <c r="D104" s="490">
        <v>342361</v>
      </c>
      <c r="E104" s="490">
        <v>337066</v>
      </c>
      <c r="F104" s="490">
        <v>323779</v>
      </c>
      <c r="G104" s="490">
        <v>329219</v>
      </c>
      <c r="H104" s="490">
        <v>295179</v>
      </c>
      <c r="I104" s="490">
        <v>289917</v>
      </c>
      <c r="J104" s="63">
        <v>219426</v>
      </c>
      <c r="K104" s="63">
        <v>210924</v>
      </c>
      <c r="L104" s="63">
        <v>216783</v>
      </c>
      <c r="M104" s="63">
        <v>223758</v>
      </c>
      <c r="N104" s="63">
        <v>263858</v>
      </c>
      <c r="O104" s="63">
        <v>272412</v>
      </c>
      <c r="P104" s="63">
        <v>175088</v>
      </c>
    </row>
    <row r="105" spans="1:16">
      <c r="A105" s="45" t="s">
        <v>164</v>
      </c>
      <c r="B105" s="46" t="s">
        <v>329</v>
      </c>
      <c r="C105" s="46" t="s">
        <v>330</v>
      </c>
      <c r="D105" s="490">
        <f>126865+236273</f>
        <v>363138</v>
      </c>
      <c r="E105" s="490">
        <v>612588</v>
      </c>
      <c r="F105" s="490">
        <v>658330</v>
      </c>
      <c r="G105" s="490">
        <v>338214</v>
      </c>
      <c r="H105" s="490">
        <v>58119</v>
      </c>
      <c r="I105" s="490">
        <f>19000+525423</f>
        <v>544423</v>
      </c>
      <c r="J105" s="63">
        <v>345808</v>
      </c>
      <c r="K105" s="63">
        <v>279011</v>
      </c>
      <c r="L105" s="63">
        <v>309497</v>
      </c>
      <c r="M105" s="63">
        <v>334374</v>
      </c>
      <c r="N105" s="63">
        <v>274989</v>
      </c>
      <c r="O105" s="63">
        <v>324346</v>
      </c>
      <c r="P105" s="63">
        <v>308562</v>
      </c>
    </row>
    <row r="106" spans="1:16">
      <c r="A106" s="45" t="s">
        <v>331</v>
      </c>
      <c r="B106" s="46" t="s">
        <v>124</v>
      </c>
      <c r="C106" s="46" t="s">
        <v>332</v>
      </c>
      <c r="D106" s="490">
        <v>0</v>
      </c>
      <c r="E106" s="490">
        <v>0</v>
      </c>
      <c r="F106" s="490">
        <v>0</v>
      </c>
      <c r="G106" s="490">
        <v>0</v>
      </c>
      <c r="H106" s="490">
        <v>0</v>
      </c>
      <c r="I106" s="490">
        <v>0</v>
      </c>
      <c r="J106" s="63">
        <v>1710842</v>
      </c>
      <c r="K106" s="63"/>
      <c r="L106" s="63"/>
      <c r="M106" s="63"/>
      <c r="N106" s="63">
        <v>27082338</v>
      </c>
      <c r="O106" s="63">
        <v>7224401</v>
      </c>
      <c r="P106" s="63">
        <v>17601723</v>
      </c>
    </row>
    <row r="107" spans="1:16">
      <c r="A107" s="45" t="s">
        <v>333</v>
      </c>
      <c r="B107" s="148" t="s">
        <v>644</v>
      </c>
      <c r="C107" s="46" t="s">
        <v>334</v>
      </c>
      <c r="D107" s="490">
        <v>0</v>
      </c>
      <c r="E107" s="490">
        <v>0</v>
      </c>
      <c r="F107" s="490">
        <v>5810000</v>
      </c>
      <c r="G107" s="490">
        <v>6852500</v>
      </c>
      <c r="H107" s="490">
        <f>8840400+2219600</f>
        <v>11060000</v>
      </c>
      <c r="I107" s="490">
        <v>20392500</v>
      </c>
      <c r="J107" s="63">
        <v>31970000</v>
      </c>
      <c r="K107" s="63"/>
      <c r="L107" s="63"/>
      <c r="M107" s="63"/>
      <c r="N107" s="63"/>
      <c r="O107" s="63"/>
      <c r="P107" s="63">
        <v>5179000</v>
      </c>
    </row>
    <row r="108" spans="1:16">
      <c r="A108" s="45" t="s">
        <v>156</v>
      </c>
      <c r="B108" s="46" t="s">
        <v>335</v>
      </c>
      <c r="C108" s="46" t="s">
        <v>336</v>
      </c>
      <c r="J108" s="64"/>
      <c r="K108" s="64"/>
      <c r="L108" s="64"/>
      <c r="M108" s="64"/>
      <c r="N108" s="64"/>
      <c r="O108" s="64"/>
      <c r="P108" s="64"/>
    </row>
    <row r="109" spans="1:16">
      <c r="A109" s="45" t="s">
        <v>199</v>
      </c>
      <c r="B109" s="46" t="s">
        <v>240</v>
      </c>
      <c r="C109" s="46" t="s">
        <v>337</v>
      </c>
      <c r="D109" s="490"/>
      <c r="E109" s="490"/>
      <c r="F109" s="490"/>
      <c r="G109" s="490"/>
      <c r="H109" s="490"/>
      <c r="I109" s="490"/>
      <c r="J109" s="63"/>
      <c r="K109" s="63"/>
      <c r="L109" s="63"/>
      <c r="M109" s="63"/>
      <c r="N109" s="63"/>
      <c r="O109" s="63"/>
      <c r="P109" s="63"/>
    </row>
    <row r="110" spans="1:16">
      <c r="A110" s="45" t="s">
        <v>150</v>
      </c>
      <c r="B110" s="46" t="s">
        <v>338</v>
      </c>
      <c r="C110" s="46" t="s">
        <v>339</v>
      </c>
      <c r="D110" s="490"/>
      <c r="E110" s="490"/>
      <c r="F110" s="490"/>
      <c r="G110" s="490"/>
      <c r="H110" s="490"/>
      <c r="I110" s="490"/>
      <c r="J110" s="47"/>
      <c r="K110" s="47"/>
      <c r="L110" s="47"/>
      <c r="M110" s="47"/>
      <c r="N110" s="47"/>
      <c r="O110" s="47"/>
      <c r="P110" s="47"/>
    </row>
    <row r="111" spans="1:16">
      <c r="A111" s="45" t="s">
        <v>151</v>
      </c>
      <c r="B111" s="46" t="s">
        <v>113</v>
      </c>
      <c r="C111" s="46" t="s">
        <v>340</v>
      </c>
    </row>
    <row r="112" spans="1:16">
      <c r="B112" s="46" t="s">
        <v>341</v>
      </c>
      <c r="C112" s="46" t="s">
        <v>342</v>
      </c>
      <c r="D112" s="491">
        <f>+D109+D89+D67</f>
        <v>45449523.709999993</v>
      </c>
      <c r="E112" s="491">
        <f t="shared" ref="E112:J112" si="11">+E109+E89+E67</f>
        <v>40861119.277499996</v>
      </c>
      <c r="F112" s="491">
        <f t="shared" si="11"/>
        <v>57473255.377499998</v>
      </c>
      <c r="G112" s="491">
        <f t="shared" si="11"/>
        <v>56352274.097499996</v>
      </c>
      <c r="H112" s="491">
        <f t="shared" si="11"/>
        <v>56168178.547499992</v>
      </c>
      <c r="I112" s="491">
        <f t="shared" si="11"/>
        <v>58231210</v>
      </c>
      <c r="J112" s="60">
        <f t="shared" si="11"/>
        <v>58676555</v>
      </c>
      <c r="K112" s="60">
        <f t="shared" ref="K112:P112" si="12">+K109+K89+K67</f>
        <v>55899755</v>
      </c>
      <c r="L112" s="60">
        <f t="shared" si="12"/>
        <v>62876369</v>
      </c>
      <c r="M112" s="60">
        <f t="shared" si="12"/>
        <v>61048234</v>
      </c>
      <c r="N112" s="60">
        <f t="shared" si="12"/>
        <v>48192279</v>
      </c>
      <c r="O112" s="60">
        <f t="shared" si="12"/>
        <v>51076764</v>
      </c>
      <c r="P112" s="60">
        <f t="shared" si="12"/>
        <v>54391738</v>
      </c>
    </row>
    <row r="113" spans="1:16">
      <c r="B113" s="46" t="s">
        <v>250</v>
      </c>
      <c r="C113" s="46" t="s">
        <v>343</v>
      </c>
    </row>
    <row r="114" spans="1:16">
      <c r="A114" s="45" t="s">
        <v>150</v>
      </c>
      <c r="B114" s="46" t="s">
        <v>344</v>
      </c>
      <c r="C114" s="46" t="s">
        <v>345</v>
      </c>
    </row>
    <row r="115" spans="1:16">
      <c r="A115" s="45" t="s">
        <v>151</v>
      </c>
      <c r="B115" s="46" t="s">
        <v>346</v>
      </c>
      <c r="C115" s="46" t="s">
        <v>347</v>
      </c>
    </row>
    <row r="116" spans="1:16">
      <c r="A116" s="45" t="s">
        <v>152</v>
      </c>
      <c r="B116" s="46" t="s">
        <v>348</v>
      </c>
      <c r="C116" s="46" t="s">
        <v>349</v>
      </c>
    </row>
    <row r="117" spans="1:16">
      <c r="C117" s="46" t="s">
        <v>350</v>
      </c>
    </row>
    <row r="119" spans="1:16">
      <c r="A119" s="48"/>
      <c r="D119" s="71">
        <f>+D58-D112</f>
        <v>-9.9999457597732544E-4</v>
      </c>
      <c r="E119" s="71">
        <f t="shared" ref="E119:J119" si="13">+E58-E112</f>
        <v>2.5000050663948059E-3</v>
      </c>
      <c r="F119" s="71">
        <f t="shared" si="13"/>
        <v>2.499997615814209E-3</v>
      </c>
      <c r="G119" s="71">
        <f t="shared" si="13"/>
        <v>2.5000050663948059E-3</v>
      </c>
      <c r="H119" s="71">
        <f t="shared" si="13"/>
        <v>0</v>
      </c>
      <c r="I119" s="71">
        <f t="shared" si="13"/>
        <v>0</v>
      </c>
      <c r="J119" s="71">
        <f t="shared" si="13"/>
        <v>0</v>
      </c>
      <c r="K119" s="71">
        <f t="shared" ref="K119:P119" si="14">+K58-K112</f>
        <v>0</v>
      </c>
      <c r="L119" s="71">
        <f t="shared" si="14"/>
        <v>0</v>
      </c>
      <c r="M119" s="71">
        <f t="shared" si="14"/>
        <v>0</v>
      </c>
      <c r="N119" s="71">
        <f t="shared" si="14"/>
        <v>0</v>
      </c>
      <c r="O119" s="71">
        <f t="shared" si="14"/>
        <v>0</v>
      </c>
      <c r="P119" s="71">
        <f t="shared" si="14"/>
        <v>0</v>
      </c>
    </row>
    <row r="120" spans="1:16">
      <c r="D120" s="365"/>
      <c r="E120" s="365"/>
      <c r="F120" s="365"/>
      <c r="G120" s="365"/>
      <c r="H120" s="365"/>
      <c r="I120" s="365"/>
      <c r="J120" s="365"/>
      <c r="K120" s="365"/>
    </row>
    <row r="121" spans="1:16"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</row>
    <row r="125" spans="1:16"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</row>
  </sheetData>
  <phoneticPr fontId="11" type="noConversion"/>
  <pageMargins left="0.23" right="0.25" top="0.32" bottom="0.47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112"/>
  <sheetViews>
    <sheetView topLeftCell="A82" workbookViewId="0">
      <selection activeCell="C90" sqref="C90"/>
    </sheetView>
  </sheetViews>
  <sheetFormatPr defaultColWidth="11.42578125" defaultRowHeight="12.75"/>
  <cols>
    <col min="1" max="1" width="8.28515625" style="49" customWidth="1"/>
    <col min="2" max="2" width="47.42578125" style="49" bestFit="1" customWidth="1"/>
    <col min="3" max="4" width="14.140625" style="49" customWidth="1"/>
    <col min="5" max="8" width="14.140625" style="49" hidden="1" customWidth="1"/>
    <col min="9" max="10" width="13.7109375" style="49" hidden="1" customWidth="1"/>
    <col min="11" max="11" width="13.28515625" style="49" hidden="1" customWidth="1"/>
    <col min="12" max="12" width="12.7109375" style="49" hidden="1" customWidth="1"/>
    <col min="13" max="13" width="13.42578125" style="49" hidden="1" customWidth="1"/>
    <col min="14" max="14" width="13.140625" style="49" hidden="1" customWidth="1"/>
    <col min="15" max="15" width="13.42578125" style="49" hidden="1" customWidth="1"/>
    <col min="16" max="16" width="11.42578125" style="49" customWidth="1"/>
    <col min="17" max="17" width="12.85546875" style="49" bestFit="1" customWidth="1"/>
    <col min="18" max="18" width="11.7109375" style="49" bestFit="1" customWidth="1"/>
    <col min="19" max="16384" width="11.42578125" style="49"/>
  </cols>
  <sheetData>
    <row r="1" spans="1:15" ht="18">
      <c r="B1" s="50" t="s">
        <v>352</v>
      </c>
    </row>
    <row r="3" spans="1:15" ht="14.25">
      <c r="B3" s="51" t="s">
        <v>353</v>
      </c>
    </row>
    <row r="9" spans="1:15" ht="15">
      <c r="A9" s="52" t="s">
        <v>354</v>
      </c>
      <c r="B9" s="53" t="s">
        <v>355</v>
      </c>
      <c r="C9" s="52" t="s">
        <v>1031</v>
      </c>
      <c r="D9" s="52" t="s">
        <v>1014</v>
      </c>
      <c r="E9" s="52" t="s">
        <v>950</v>
      </c>
      <c r="F9" s="52" t="s">
        <v>940</v>
      </c>
      <c r="G9" s="52" t="s">
        <v>701</v>
      </c>
      <c r="H9" s="52" t="s">
        <v>657</v>
      </c>
      <c r="I9" s="52" t="s">
        <v>642</v>
      </c>
      <c r="J9" s="52" t="s">
        <v>631</v>
      </c>
      <c r="K9" s="52" t="s">
        <v>580</v>
      </c>
      <c r="L9" s="52" t="s">
        <v>566</v>
      </c>
      <c r="M9" s="52" t="s">
        <v>456</v>
      </c>
      <c r="N9" s="52" t="s">
        <v>457</v>
      </c>
      <c r="O9" s="52" t="s">
        <v>539</v>
      </c>
    </row>
    <row r="11" spans="1:15">
      <c r="B11" s="364"/>
    </row>
    <row r="12" spans="1:15">
      <c r="A12" s="54" t="s">
        <v>145</v>
      </c>
      <c r="B12" s="55" t="s">
        <v>356</v>
      </c>
      <c r="C12" s="65">
        <f t="shared" ref="C12:H12" si="0">+C14</f>
        <v>59129540</v>
      </c>
      <c r="D12" s="65">
        <f t="shared" si="0"/>
        <v>57068740</v>
      </c>
      <c r="E12" s="65">
        <f t="shared" si="0"/>
        <v>52066118</v>
      </c>
      <c r="F12" s="65">
        <f t="shared" si="0"/>
        <v>42903445</v>
      </c>
      <c r="G12" s="65">
        <f t="shared" si="0"/>
        <v>48894254</v>
      </c>
      <c r="H12" s="65">
        <f t="shared" si="0"/>
        <v>65177818</v>
      </c>
      <c r="I12" s="65">
        <v>51876394</v>
      </c>
      <c r="J12" s="65">
        <v>58505056</v>
      </c>
      <c r="K12" s="65">
        <v>58073901</v>
      </c>
      <c r="L12" s="65">
        <v>32770160</v>
      </c>
      <c r="M12" s="65">
        <v>35253484</v>
      </c>
      <c r="N12" s="65">
        <v>29587117</v>
      </c>
      <c r="O12" s="65">
        <v>25787721</v>
      </c>
    </row>
    <row r="13" spans="1:15">
      <c r="A13" s="54" t="s">
        <v>135</v>
      </c>
      <c r="B13" s="55" t="s">
        <v>357</v>
      </c>
    </row>
    <row r="14" spans="1:15">
      <c r="A14" s="54" t="s">
        <v>136</v>
      </c>
      <c r="B14" s="55" t="s">
        <v>358</v>
      </c>
      <c r="C14" s="56">
        <v>59129540</v>
      </c>
      <c r="D14" s="56">
        <v>57068740</v>
      </c>
      <c r="E14" s="56">
        <v>52066118</v>
      </c>
      <c r="F14" s="56">
        <f>37768305+5135140</f>
        <v>42903445</v>
      </c>
      <c r="G14" s="56">
        <v>48894254</v>
      </c>
      <c r="H14" s="56">
        <v>65177818</v>
      </c>
      <c r="I14" s="56">
        <v>51876394</v>
      </c>
      <c r="J14" s="56">
        <v>58505056</v>
      </c>
      <c r="K14" s="56">
        <v>58073901</v>
      </c>
      <c r="L14" s="56">
        <v>32770160</v>
      </c>
      <c r="M14" s="56">
        <v>35253484</v>
      </c>
      <c r="N14" s="56">
        <v>29587117</v>
      </c>
      <c r="O14" s="56">
        <v>25787721</v>
      </c>
    </row>
    <row r="15" spans="1:15">
      <c r="A15" s="54" t="s">
        <v>137</v>
      </c>
      <c r="B15" s="55" t="s">
        <v>359</v>
      </c>
      <c r="C15" s="278" t="s">
        <v>570</v>
      </c>
      <c r="D15" s="278" t="s">
        <v>570</v>
      </c>
      <c r="E15" s="278" t="s">
        <v>570</v>
      </c>
      <c r="F15" s="278" t="s">
        <v>570</v>
      </c>
      <c r="G15" s="278" t="s">
        <v>570</v>
      </c>
      <c r="H15" s="278" t="s">
        <v>570</v>
      </c>
      <c r="I15" s="278" t="s">
        <v>570</v>
      </c>
      <c r="J15" s="278" t="s">
        <v>570</v>
      </c>
      <c r="K15" s="278" t="s">
        <v>570</v>
      </c>
      <c r="L15" s="278" t="s">
        <v>570</v>
      </c>
      <c r="M15" s="56"/>
      <c r="N15" s="56"/>
      <c r="O15" s="56"/>
    </row>
    <row r="16" spans="1:15">
      <c r="A16" s="54" t="s">
        <v>138</v>
      </c>
      <c r="B16" s="55" t="s">
        <v>360</v>
      </c>
    </row>
    <row r="17" spans="1:15">
      <c r="B17" s="55" t="s">
        <v>361</v>
      </c>
      <c r="C17" s="56">
        <f t="shared" ref="C17:H17" si="1">+C14</f>
        <v>59129540</v>
      </c>
      <c r="D17" s="56">
        <f t="shared" si="1"/>
        <v>57068740</v>
      </c>
      <c r="E17" s="56">
        <f t="shared" si="1"/>
        <v>52066118</v>
      </c>
      <c r="F17" s="56">
        <f t="shared" si="1"/>
        <v>42903445</v>
      </c>
      <c r="G17" s="56">
        <f t="shared" si="1"/>
        <v>48894254</v>
      </c>
      <c r="H17" s="56">
        <f t="shared" si="1"/>
        <v>65177818</v>
      </c>
      <c r="I17" s="56">
        <v>51876394</v>
      </c>
      <c r="J17" s="56">
        <v>58505056</v>
      </c>
      <c r="K17" s="56">
        <v>58073901</v>
      </c>
      <c r="L17" s="56">
        <v>32770160</v>
      </c>
      <c r="M17" s="56">
        <v>35253484</v>
      </c>
      <c r="N17" s="56">
        <v>29587117</v>
      </c>
      <c r="O17" s="56">
        <v>25787721</v>
      </c>
    </row>
    <row r="18" spans="1:15">
      <c r="B18" s="55" t="s">
        <v>362</v>
      </c>
    </row>
    <row r="19" spans="1:15">
      <c r="A19" s="54" t="s">
        <v>146</v>
      </c>
      <c r="B19" s="55" t="s">
        <v>363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606051</v>
      </c>
      <c r="K19" s="65">
        <v>186500</v>
      </c>
      <c r="L19" s="65"/>
      <c r="M19" s="65"/>
      <c r="N19" s="65"/>
      <c r="O19" s="65">
        <v>500000</v>
      </c>
    </row>
    <row r="20" spans="1:15">
      <c r="A20" s="54" t="s">
        <v>139</v>
      </c>
      <c r="B20" s="55" t="s">
        <v>364</v>
      </c>
    </row>
    <row r="21" spans="1:15">
      <c r="A21" s="54" t="s">
        <v>147</v>
      </c>
      <c r="B21" s="55" t="s">
        <v>365</v>
      </c>
    </row>
    <row r="22" spans="1:15">
      <c r="A22" s="54" t="s">
        <v>148</v>
      </c>
      <c r="B22" s="55" t="s">
        <v>366</v>
      </c>
    </row>
    <row r="23" spans="1:15">
      <c r="A23" s="54" t="s">
        <v>149</v>
      </c>
      <c r="B23" s="55" t="s">
        <v>367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>
        <v>500000</v>
      </c>
    </row>
    <row r="24" spans="1:15">
      <c r="A24" s="54" t="s">
        <v>150</v>
      </c>
      <c r="B24" s="55" t="s">
        <v>368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606051</v>
      </c>
      <c r="K24" s="56">
        <v>186500</v>
      </c>
      <c r="L24" s="56"/>
      <c r="M24" s="56"/>
      <c r="N24" s="56"/>
      <c r="O24" s="56">
        <v>500000</v>
      </c>
    </row>
    <row r="25" spans="1:15">
      <c r="A25" s="54" t="s">
        <v>151</v>
      </c>
      <c r="B25" s="55" t="s">
        <v>369</v>
      </c>
    </row>
    <row r="26" spans="1:15">
      <c r="A26" s="54" t="s">
        <v>152</v>
      </c>
      <c r="B26" s="55" t="s">
        <v>113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</row>
    <row r="28" spans="1:15">
      <c r="A28" s="54" t="s">
        <v>153</v>
      </c>
      <c r="B28" s="55" t="s">
        <v>370</v>
      </c>
    </row>
    <row r="29" spans="1:15">
      <c r="A29" s="54" t="s">
        <v>150</v>
      </c>
      <c r="B29" s="55" t="s">
        <v>371</v>
      </c>
    </row>
    <row r="30" spans="1:15">
      <c r="A30" s="54" t="s">
        <v>151</v>
      </c>
      <c r="B30" s="55" t="s">
        <v>372</v>
      </c>
    </row>
    <row r="31" spans="1:15">
      <c r="A31" s="54" t="s">
        <v>152</v>
      </c>
      <c r="B31" s="55" t="s">
        <v>373</v>
      </c>
    </row>
    <row r="32" spans="1:15">
      <c r="A32" s="54" t="s">
        <v>154</v>
      </c>
      <c r="B32" s="55" t="s">
        <v>374</v>
      </c>
    </row>
    <row r="33" spans="1:15">
      <c r="A33" s="54" t="s">
        <v>155</v>
      </c>
      <c r="B33" s="55" t="s">
        <v>375</v>
      </c>
    </row>
    <row r="34" spans="1:15">
      <c r="B34" s="55" t="s">
        <v>376</v>
      </c>
      <c r="C34" s="56">
        <f t="shared" ref="C34:H34" si="2">+C17</f>
        <v>59129540</v>
      </c>
      <c r="D34" s="56">
        <f t="shared" si="2"/>
        <v>57068740</v>
      </c>
      <c r="E34" s="56">
        <f t="shared" si="2"/>
        <v>52066118</v>
      </c>
      <c r="F34" s="56">
        <f t="shared" si="2"/>
        <v>42903445</v>
      </c>
      <c r="G34" s="56">
        <f t="shared" si="2"/>
        <v>48894254</v>
      </c>
      <c r="H34" s="56">
        <f t="shared" si="2"/>
        <v>65177818</v>
      </c>
      <c r="I34" s="56">
        <v>51876394</v>
      </c>
      <c r="J34" s="56">
        <v>59111107</v>
      </c>
      <c r="K34" s="56">
        <v>58260401</v>
      </c>
      <c r="L34" s="56">
        <v>32770160</v>
      </c>
      <c r="M34" s="56">
        <v>35253484</v>
      </c>
      <c r="N34" s="56">
        <v>29587117</v>
      </c>
      <c r="O34" s="56">
        <v>26287721</v>
      </c>
    </row>
    <row r="35" spans="1:15">
      <c r="C35" s="364"/>
      <c r="D35" s="364"/>
      <c r="E35" s="364"/>
      <c r="F35" s="364"/>
      <c r="G35" s="364"/>
      <c r="H35" s="364"/>
      <c r="I35" s="364"/>
      <c r="J35" s="364"/>
    </row>
    <row r="36" spans="1:15">
      <c r="A36" s="54" t="s">
        <v>156</v>
      </c>
      <c r="B36" s="55" t="s">
        <v>377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882</v>
      </c>
      <c r="J36" s="65">
        <v>5447</v>
      </c>
      <c r="K36" s="65">
        <v>7334</v>
      </c>
      <c r="L36" s="65">
        <v>29591</v>
      </c>
      <c r="M36" s="65">
        <v>13306</v>
      </c>
      <c r="N36" s="65">
        <v>204157</v>
      </c>
      <c r="O36" s="65">
        <v>3819</v>
      </c>
    </row>
    <row r="37" spans="1:15">
      <c r="A37" s="54" t="s">
        <v>157</v>
      </c>
      <c r="B37" s="55" t="s">
        <v>378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882</v>
      </c>
      <c r="J37" s="56">
        <v>1284</v>
      </c>
      <c r="K37" s="56">
        <v>3760.08</v>
      </c>
      <c r="L37" s="56">
        <v>1859</v>
      </c>
      <c r="M37" s="56">
        <v>1002</v>
      </c>
      <c r="N37" s="56">
        <v>2493</v>
      </c>
      <c r="O37" s="56">
        <v>112</v>
      </c>
    </row>
    <row r="38" spans="1:15">
      <c r="A38" s="54" t="s">
        <v>158</v>
      </c>
      <c r="B38" s="55" t="s">
        <v>379</v>
      </c>
    </row>
    <row r="39" spans="1:15">
      <c r="A39" s="54" t="s">
        <v>159</v>
      </c>
      <c r="B39" s="55" t="s">
        <v>380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4163</v>
      </c>
      <c r="K39" s="56">
        <v>3573.92</v>
      </c>
      <c r="L39" s="56">
        <v>27732</v>
      </c>
      <c r="M39" s="56">
        <v>12304</v>
      </c>
      <c r="N39" s="56">
        <v>201664</v>
      </c>
      <c r="O39" s="56">
        <v>3707</v>
      </c>
    </row>
    <row r="40" spans="1:15">
      <c r="A40" s="54" t="s">
        <v>160</v>
      </c>
      <c r="B40" s="55" t="s">
        <v>381</v>
      </c>
    </row>
    <row r="41" spans="1:15">
      <c r="A41" s="54" t="s">
        <v>161</v>
      </c>
      <c r="B41" s="55" t="s">
        <v>382</v>
      </c>
      <c r="C41" s="56">
        <v>-1.7462298274040222E-10</v>
      </c>
      <c r="D41" s="56">
        <v>-1.7462298274040222E-10</v>
      </c>
      <c r="E41" s="56">
        <v>-1.7462298274040222E-10</v>
      </c>
      <c r="F41" s="56">
        <v>-1.7462298274040222E-10</v>
      </c>
      <c r="G41" s="56">
        <v>-1.7462298274040222E-10</v>
      </c>
      <c r="H41" s="56">
        <v>-1.7462298274040222E-10</v>
      </c>
      <c r="I41" s="56">
        <v>-1.7462298274040222E-10</v>
      </c>
      <c r="J41" s="56">
        <v>-1.7462298274040222E-10</v>
      </c>
      <c r="K41" s="56">
        <v>-1.7462298274040222E-10</v>
      </c>
      <c r="L41" s="56">
        <v>-1.7462298274040222E-10</v>
      </c>
      <c r="M41" s="56">
        <v>-1.7462298274040222E-10</v>
      </c>
      <c r="N41" s="56">
        <v>-1.7462298274040222E-10</v>
      </c>
      <c r="O41" s="56">
        <v>-1.7462298274040222E-10</v>
      </c>
    </row>
    <row r="42" spans="1:15">
      <c r="C42" s="364"/>
      <c r="D42" s="364"/>
      <c r="E42" s="364"/>
      <c r="F42" s="364"/>
      <c r="G42" s="364"/>
      <c r="H42" s="364"/>
      <c r="I42" s="364"/>
      <c r="J42" s="364"/>
    </row>
    <row r="43" spans="1:15">
      <c r="B43" s="55" t="s">
        <v>383</v>
      </c>
      <c r="C43" s="65">
        <f t="shared" ref="C43:H43" si="3">+C34</f>
        <v>59129540</v>
      </c>
      <c r="D43" s="65">
        <f t="shared" si="3"/>
        <v>57068740</v>
      </c>
      <c r="E43" s="65">
        <f t="shared" si="3"/>
        <v>52066118</v>
      </c>
      <c r="F43" s="65">
        <f t="shared" si="3"/>
        <v>42903445</v>
      </c>
      <c r="G43" s="65">
        <f t="shared" si="3"/>
        <v>48894254</v>
      </c>
      <c r="H43" s="65">
        <f t="shared" si="3"/>
        <v>65177818</v>
      </c>
      <c r="I43" s="65">
        <v>51877276</v>
      </c>
      <c r="J43" s="65">
        <v>59116554</v>
      </c>
      <c r="K43" s="65">
        <v>58267735</v>
      </c>
      <c r="L43" s="65">
        <v>32799751</v>
      </c>
      <c r="M43" s="65">
        <v>35266790</v>
      </c>
      <c r="N43" s="65">
        <v>29791274</v>
      </c>
      <c r="O43" s="65">
        <v>26291540</v>
      </c>
    </row>
    <row r="44" spans="1:15">
      <c r="C44" s="364"/>
      <c r="D44" s="364"/>
      <c r="E44" s="364"/>
      <c r="F44" s="364"/>
      <c r="G44" s="364"/>
      <c r="H44" s="364"/>
      <c r="I44" s="364"/>
      <c r="J44" s="364"/>
    </row>
    <row r="45" spans="1:15">
      <c r="B45" s="55" t="s">
        <v>384</v>
      </c>
    </row>
    <row r="46" spans="1:15">
      <c r="B46" s="55" t="s">
        <v>385</v>
      </c>
    </row>
    <row r="47" spans="1:15">
      <c r="A47" s="54" t="s">
        <v>162</v>
      </c>
      <c r="B47" s="55" t="s">
        <v>386</v>
      </c>
    </row>
    <row r="48" spans="1:15">
      <c r="B48" s="55" t="s">
        <v>387</v>
      </c>
    </row>
    <row r="49" spans="1:15">
      <c r="B49" s="55" t="s">
        <v>385</v>
      </c>
    </row>
    <row r="50" spans="1:15">
      <c r="A50" s="54" t="s">
        <v>163</v>
      </c>
      <c r="B50" s="55" t="s">
        <v>388</v>
      </c>
    </row>
    <row r="51" spans="1:15">
      <c r="B51" s="55" t="s">
        <v>385</v>
      </c>
    </row>
    <row r="52" spans="1:15">
      <c r="B52" s="55"/>
    </row>
    <row r="53" spans="1:15">
      <c r="B53" s="55"/>
    </row>
    <row r="54" spans="1:15">
      <c r="B54" s="55"/>
    </row>
    <row r="55" spans="1:15">
      <c r="B55" s="55"/>
    </row>
    <row r="56" spans="1:15">
      <c r="B56" s="55"/>
    </row>
    <row r="57" spans="1:15">
      <c r="B57" s="55"/>
    </row>
    <row r="58" spans="1:15">
      <c r="B58" s="55"/>
    </row>
    <row r="62" spans="1:15" ht="15">
      <c r="A62" s="52" t="s">
        <v>354</v>
      </c>
      <c r="B62" s="53" t="s">
        <v>389</v>
      </c>
      <c r="C62" s="52" t="str">
        <f t="shared" ref="C62:H62" si="4">+C9</f>
        <v>Vlefta 2018</v>
      </c>
      <c r="D62" s="52" t="str">
        <f t="shared" si="4"/>
        <v>Vlefta 2017</v>
      </c>
      <c r="E62" s="52" t="str">
        <f t="shared" si="4"/>
        <v>Vlefta 2016</v>
      </c>
      <c r="F62" s="52" t="str">
        <f t="shared" si="4"/>
        <v>Vlefta 2015</v>
      </c>
      <c r="G62" s="52" t="str">
        <f t="shared" si="4"/>
        <v>Vlefta 2014</v>
      </c>
      <c r="H62" s="52" t="str">
        <f t="shared" si="4"/>
        <v>Vlefta 2013</v>
      </c>
      <c r="I62" s="52" t="s">
        <v>642</v>
      </c>
      <c r="J62" s="52" t="s">
        <v>631</v>
      </c>
      <c r="K62" s="52" t="s">
        <v>580</v>
      </c>
      <c r="L62" s="52" t="s">
        <v>566</v>
      </c>
      <c r="M62" s="52" t="s">
        <v>456</v>
      </c>
      <c r="N62" s="52" t="s">
        <v>457</v>
      </c>
      <c r="O62" s="52" t="s">
        <v>539</v>
      </c>
    </row>
    <row r="65" spans="1:17">
      <c r="A65" s="54" t="s">
        <v>145</v>
      </c>
      <c r="B65" s="55" t="s">
        <v>390</v>
      </c>
      <c r="C65" s="364"/>
      <c r="D65" s="364"/>
      <c r="E65" s="364"/>
      <c r="F65" s="364"/>
      <c r="G65" s="364"/>
      <c r="H65" s="364"/>
      <c r="I65" s="364"/>
      <c r="J65" s="364"/>
    </row>
    <row r="66" spans="1:17">
      <c r="A66" s="54" t="s">
        <v>146</v>
      </c>
      <c r="B66" s="55" t="s">
        <v>391</v>
      </c>
      <c r="C66" s="65">
        <f t="shared" ref="C66:H66" si="5">+C73+C74+C78+C79+C83</f>
        <v>50707987.549999997</v>
      </c>
      <c r="D66" s="65">
        <f t="shared" si="5"/>
        <v>48587377</v>
      </c>
      <c r="E66" s="65">
        <f t="shared" si="5"/>
        <v>49168449</v>
      </c>
      <c r="F66" s="65">
        <f t="shared" si="5"/>
        <v>41131527</v>
      </c>
      <c r="G66" s="65">
        <f t="shared" si="5"/>
        <v>45743352.900000006</v>
      </c>
      <c r="H66" s="65">
        <f t="shared" si="5"/>
        <v>60958592</v>
      </c>
      <c r="I66" s="65">
        <v>46274948</v>
      </c>
      <c r="J66" s="65">
        <v>54741665</v>
      </c>
      <c r="K66" s="65">
        <v>54464327</v>
      </c>
      <c r="L66" s="65">
        <v>33681801</v>
      </c>
      <c r="M66" s="65">
        <v>31022540</v>
      </c>
      <c r="N66" s="65">
        <v>26354908</v>
      </c>
      <c r="O66" s="65">
        <v>23248168</v>
      </c>
    </row>
    <row r="67" spans="1:17">
      <c r="A67" s="54" t="s">
        <v>135</v>
      </c>
      <c r="B67" s="55" t="s">
        <v>392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</row>
    <row r="68" spans="1:17">
      <c r="A68" s="54" t="s">
        <v>150</v>
      </c>
      <c r="B68" s="55" t="s">
        <v>393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1:17">
      <c r="A69" s="54" t="s">
        <v>151</v>
      </c>
      <c r="B69" s="55" t="s">
        <v>394</v>
      </c>
    </row>
    <row r="70" spans="1:17">
      <c r="A70" s="54" t="s">
        <v>136</v>
      </c>
      <c r="B70" s="55" t="s">
        <v>395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</row>
    <row r="71" spans="1:17">
      <c r="A71" s="54" t="s">
        <v>150</v>
      </c>
      <c r="B71" s="55" t="s">
        <v>396</v>
      </c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2" spans="1:17">
      <c r="A72" s="54" t="s">
        <v>151</v>
      </c>
      <c r="B72" s="55" t="s">
        <v>397</v>
      </c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1:17">
      <c r="A73" s="54" t="s">
        <v>137</v>
      </c>
      <c r="B73" s="55" t="s">
        <v>398</v>
      </c>
      <c r="C73" s="278">
        <f>287191+1503542+3354942.55+7174698+1325000+2170510+1500000+1102500+6561329+875207+52267+8250</f>
        <v>25915436.550000001</v>
      </c>
      <c r="D73" s="278">
        <f>355892+3379985+2146032+5134986+1808758+2606019+1552500+600011+6000+1229045+2747877+11165+582692+2263+1008000</f>
        <v>23171225</v>
      </c>
      <c r="E73" s="278">
        <f>250329+234984+1272833+2235737+9063238+2424119+2688029+460000+1393450+918450+3178124+30995+2500+838+179051</f>
        <v>24332677</v>
      </c>
      <c r="F73" s="278">
        <f>656442+93894+1415850+2255388+6806302+1085000+1030669+282750+43502+1252060+8257214+256517+702441</f>
        <v>24138029</v>
      </c>
      <c r="G73" s="278">
        <f>78739.8+2263750+1915994.23+5377151.15+2451605+1442537.46+1720840+33507.75+1995956+10872622.16+72486.28+213285.07</f>
        <v>28438474.900000002</v>
      </c>
      <c r="H73" s="56">
        <f>80991+1197840+2317750+6256574+1099110+1956555+1463410+3493+2033099+27638068+85984+94223</f>
        <v>44227097</v>
      </c>
      <c r="I73" s="56">
        <v>31018229</v>
      </c>
      <c r="J73" s="56">
        <v>38466633</v>
      </c>
      <c r="K73" s="56">
        <v>35364677</v>
      </c>
      <c r="L73" s="56">
        <v>17457438</v>
      </c>
      <c r="M73" s="56">
        <v>16853568</v>
      </c>
      <c r="N73" s="56">
        <v>14938858</v>
      </c>
      <c r="O73" s="56">
        <v>13944298</v>
      </c>
    </row>
    <row r="74" spans="1:17">
      <c r="A74" s="54" t="s">
        <v>138</v>
      </c>
      <c r="B74" s="55" t="s">
        <v>399</v>
      </c>
      <c r="C74" s="56">
        <f t="shared" ref="C74:H74" si="6">+C75+C76+C77</f>
        <v>16440932</v>
      </c>
      <c r="D74" s="56">
        <f t="shared" si="6"/>
        <v>16004478</v>
      </c>
      <c r="E74" s="56">
        <f t="shared" si="6"/>
        <v>15644947</v>
      </c>
      <c r="F74" s="56">
        <f t="shared" si="6"/>
        <v>14810075</v>
      </c>
      <c r="G74" s="56">
        <f t="shared" si="6"/>
        <v>14542821</v>
      </c>
      <c r="H74" s="56">
        <f t="shared" si="6"/>
        <v>13278113</v>
      </c>
      <c r="I74" s="56">
        <v>11492007</v>
      </c>
      <c r="J74" s="56">
        <v>11835414</v>
      </c>
      <c r="K74" s="56">
        <v>11998410</v>
      </c>
      <c r="L74" s="56">
        <v>12770214</v>
      </c>
      <c r="M74" s="56">
        <v>11833744</v>
      </c>
      <c r="N74" s="56">
        <v>10458094</v>
      </c>
      <c r="O74" s="56">
        <v>7504810</v>
      </c>
    </row>
    <row r="75" spans="1:17">
      <c r="A75" s="54" t="s">
        <v>150</v>
      </c>
      <c r="B75" s="55" t="s">
        <v>400</v>
      </c>
      <c r="C75" s="56">
        <v>14097000</v>
      </c>
      <c r="D75" s="56">
        <v>13720000</v>
      </c>
      <c r="E75" s="56">
        <v>13410700</v>
      </c>
      <c r="F75" s="56">
        <v>12695300</v>
      </c>
      <c r="G75" s="56">
        <v>12468000</v>
      </c>
      <c r="H75" s="56">
        <v>11382000</v>
      </c>
      <c r="I75" s="56">
        <v>9707000</v>
      </c>
      <c r="J75" s="56">
        <v>10292000</v>
      </c>
      <c r="K75" s="56">
        <v>10423600</v>
      </c>
      <c r="L75" s="56">
        <v>10926200</v>
      </c>
      <c r="M75" s="56">
        <v>9723700</v>
      </c>
      <c r="N75" s="56">
        <v>8066000</v>
      </c>
      <c r="O75" s="56">
        <v>5870000</v>
      </c>
      <c r="Q75" s="364"/>
    </row>
    <row r="76" spans="1:17">
      <c r="A76" s="54" t="s">
        <v>151</v>
      </c>
      <c r="B76" s="55" t="s">
        <v>401</v>
      </c>
      <c r="C76" s="56"/>
      <c r="D76" s="56"/>
      <c r="E76" s="56"/>
      <c r="F76" s="56"/>
      <c r="G76" s="56"/>
      <c r="H76" s="56"/>
      <c r="I76" s="56">
        <v>240000</v>
      </c>
      <c r="J76" s="49">
        <v>0</v>
      </c>
      <c r="K76" s="49">
        <v>0</v>
      </c>
      <c r="L76" s="49">
        <v>0</v>
      </c>
    </row>
    <row r="77" spans="1:17">
      <c r="A77" s="54" t="s">
        <v>152</v>
      </c>
      <c r="B77" s="55" t="s">
        <v>402</v>
      </c>
      <c r="C77" s="56">
        <v>2343932</v>
      </c>
      <c r="D77" s="56">
        <v>2284478</v>
      </c>
      <c r="E77" s="56">
        <v>2234247</v>
      </c>
      <c r="F77" s="56">
        <v>2114775</v>
      </c>
      <c r="G77" s="56">
        <v>2074821</v>
      </c>
      <c r="H77" s="56">
        <v>1896113</v>
      </c>
      <c r="I77" s="56">
        <v>1545007</v>
      </c>
      <c r="J77" s="56">
        <v>1543414</v>
      </c>
      <c r="K77" s="56">
        <v>1574810</v>
      </c>
      <c r="L77" s="56">
        <v>1844014</v>
      </c>
      <c r="M77" s="56">
        <v>2110044</v>
      </c>
      <c r="N77" s="56">
        <v>2392094</v>
      </c>
      <c r="O77" s="56">
        <v>1634810</v>
      </c>
    </row>
    <row r="78" spans="1:17">
      <c r="A78" s="54" t="s">
        <v>139</v>
      </c>
      <c r="B78" s="55" t="s">
        <v>403</v>
      </c>
      <c r="C78" s="56">
        <f>504416+375035</f>
        <v>879451</v>
      </c>
      <c r="D78" s="56">
        <f>321967+8713</f>
        <v>330680</v>
      </c>
      <c r="E78" s="56">
        <f>351443+10700</f>
        <v>362143</v>
      </c>
      <c r="F78" s="56">
        <f>244870+107808</f>
        <v>352678</v>
      </c>
      <c r="G78" s="56">
        <f>97860+107508</f>
        <v>205368</v>
      </c>
      <c r="H78" s="56">
        <f>138263+124736</f>
        <v>262999</v>
      </c>
      <c r="I78" s="56">
        <v>203368</v>
      </c>
      <c r="J78" s="56">
        <v>176499</v>
      </c>
      <c r="K78" s="56">
        <v>443546</v>
      </c>
      <c r="L78" s="56">
        <v>434053</v>
      </c>
      <c r="M78" s="56">
        <v>300448</v>
      </c>
      <c r="N78" s="56">
        <v>388700</v>
      </c>
      <c r="O78" s="56">
        <v>389060</v>
      </c>
    </row>
    <row r="79" spans="1:17">
      <c r="A79" s="54" t="s">
        <v>147</v>
      </c>
      <c r="B79" s="55" t="s">
        <v>404</v>
      </c>
      <c r="C79" s="56">
        <f t="shared" ref="C79:H79" si="7">+C80+C81+C82</f>
        <v>28532</v>
      </c>
      <c r="D79" s="56">
        <f t="shared" si="7"/>
        <v>0</v>
      </c>
      <c r="E79" s="56">
        <f t="shared" si="7"/>
        <v>263111</v>
      </c>
      <c r="F79" s="56">
        <f t="shared" si="7"/>
        <v>3197</v>
      </c>
      <c r="G79" s="56">
        <f t="shared" si="7"/>
        <v>0</v>
      </c>
      <c r="H79" s="56">
        <f t="shared" si="7"/>
        <v>50043</v>
      </c>
      <c r="I79" s="56">
        <v>857366</v>
      </c>
      <c r="J79" s="56">
        <v>496782</v>
      </c>
      <c r="K79" s="56">
        <v>557238</v>
      </c>
      <c r="L79" s="56">
        <v>50310</v>
      </c>
      <c r="M79" s="56">
        <v>892593</v>
      </c>
      <c r="N79" s="56"/>
      <c r="O79" s="56">
        <v>450000</v>
      </c>
    </row>
    <row r="80" spans="1:17">
      <c r="A80" s="54" t="s">
        <v>150</v>
      </c>
      <c r="B80" s="55" t="s">
        <v>405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  <c r="H80" s="56">
        <v>0</v>
      </c>
      <c r="I80" s="56">
        <v>0</v>
      </c>
      <c r="J80" s="56">
        <v>396782</v>
      </c>
      <c r="K80" s="56">
        <v>126000</v>
      </c>
      <c r="L80" s="56"/>
      <c r="M80" s="56"/>
      <c r="N80" s="56"/>
      <c r="O80" s="56">
        <v>450000</v>
      </c>
    </row>
    <row r="81" spans="1:15">
      <c r="A81" s="54" t="s">
        <v>151</v>
      </c>
      <c r="B81" s="55" t="s">
        <v>406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</row>
    <row r="82" spans="1:15">
      <c r="A82" s="54" t="s">
        <v>152</v>
      </c>
      <c r="B82" s="294" t="s">
        <v>581</v>
      </c>
      <c r="C82" s="56">
        <v>28532</v>
      </c>
      <c r="D82" s="56">
        <v>0</v>
      </c>
      <c r="E82" s="56">
        <v>263111</v>
      </c>
      <c r="F82" s="56">
        <v>3197</v>
      </c>
      <c r="G82" s="56">
        <v>0</v>
      </c>
      <c r="H82" s="56">
        <v>50043</v>
      </c>
      <c r="I82" s="56">
        <v>857366</v>
      </c>
      <c r="J82" s="56">
        <v>100000</v>
      </c>
      <c r="K82" s="56">
        <v>431238</v>
      </c>
      <c r="L82" s="56">
        <v>50310</v>
      </c>
      <c r="M82" s="56">
        <v>892593</v>
      </c>
      <c r="N82" s="56"/>
      <c r="O82" s="56"/>
    </row>
    <row r="83" spans="1:15">
      <c r="A83" s="54" t="s">
        <v>148</v>
      </c>
      <c r="B83" s="55" t="s">
        <v>407</v>
      </c>
      <c r="C83" s="56">
        <f t="shared" ref="C83:H83" si="8">+C84</f>
        <v>7443636</v>
      </c>
      <c r="D83" s="56">
        <f t="shared" si="8"/>
        <v>9080994</v>
      </c>
      <c r="E83" s="56">
        <f t="shared" si="8"/>
        <v>8565571</v>
      </c>
      <c r="F83" s="56">
        <f t="shared" si="8"/>
        <v>1827548</v>
      </c>
      <c r="G83" s="56">
        <f t="shared" si="8"/>
        <v>2556689</v>
      </c>
      <c r="H83" s="56">
        <f t="shared" si="8"/>
        <v>3140340</v>
      </c>
      <c r="I83" s="56">
        <v>2703978</v>
      </c>
      <c r="J83" s="56">
        <v>3766337</v>
      </c>
      <c r="K83" s="56">
        <v>6100456</v>
      </c>
      <c r="L83" s="56">
        <v>2969786</v>
      </c>
      <c r="M83" s="56">
        <v>1142187</v>
      </c>
      <c r="N83" s="56">
        <v>569256</v>
      </c>
      <c r="O83" s="56">
        <v>960000</v>
      </c>
    </row>
    <row r="84" spans="1:15">
      <c r="A84" s="54" t="s">
        <v>150</v>
      </c>
      <c r="B84" s="55" t="s">
        <v>408</v>
      </c>
      <c r="C84" s="56">
        <v>7443636</v>
      </c>
      <c r="D84" s="56">
        <v>9080994</v>
      </c>
      <c r="E84" s="56">
        <v>8565571</v>
      </c>
      <c r="F84" s="56">
        <v>1827548</v>
      </c>
      <c r="G84" s="56">
        <v>2556689</v>
      </c>
      <c r="H84" s="56">
        <v>3140340</v>
      </c>
      <c r="I84" s="56">
        <v>2703978</v>
      </c>
      <c r="J84" s="56">
        <v>3766337</v>
      </c>
      <c r="K84" s="56">
        <v>6100456</v>
      </c>
      <c r="L84" s="56">
        <v>2969786</v>
      </c>
      <c r="M84" s="56">
        <v>1142187</v>
      </c>
      <c r="N84" s="56">
        <v>569256</v>
      </c>
      <c r="O84" s="56">
        <v>960000</v>
      </c>
    </row>
    <row r="85" spans="1:15">
      <c r="A85" s="54" t="s">
        <v>151</v>
      </c>
      <c r="B85" s="55" t="s">
        <v>409</v>
      </c>
    </row>
    <row r="86" spans="1:15">
      <c r="A86" s="54" t="s">
        <v>152</v>
      </c>
      <c r="B86" s="55" t="s">
        <v>410</v>
      </c>
    </row>
    <row r="87" spans="1:15">
      <c r="A87" s="54" t="s">
        <v>154</v>
      </c>
      <c r="B87" s="55" t="s">
        <v>144</v>
      </c>
    </row>
    <row r="88" spans="1:15">
      <c r="A88" s="54" t="s">
        <v>155</v>
      </c>
      <c r="B88" s="55" t="s">
        <v>411</v>
      </c>
    </row>
    <row r="89" spans="1:15">
      <c r="A89" s="54" t="s">
        <v>164</v>
      </c>
      <c r="B89" s="55" t="s">
        <v>113</v>
      </c>
    </row>
    <row r="90" spans="1:15">
      <c r="B90" s="55" t="s">
        <v>376</v>
      </c>
      <c r="C90" s="56">
        <f t="shared" ref="C90:H90" si="9">+C66</f>
        <v>50707987.549999997</v>
      </c>
      <c r="D90" s="56">
        <f t="shared" si="9"/>
        <v>48587377</v>
      </c>
      <c r="E90" s="56">
        <f t="shared" si="9"/>
        <v>49168449</v>
      </c>
      <c r="F90" s="56">
        <f t="shared" si="9"/>
        <v>41131527</v>
      </c>
      <c r="G90" s="56">
        <f t="shared" si="9"/>
        <v>45743352.900000006</v>
      </c>
      <c r="H90" s="56">
        <f t="shared" si="9"/>
        <v>60958592</v>
      </c>
      <c r="I90" s="56">
        <v>46274948</v>
      </c>
      <c r="J90" s="56">
        <v>54741665</v>
      </c>
      <c r="K90" s="56">
        <v>54464327</v>
      </c>
      <c r="L90" s="56">
        <v>33681801</v>
      </c>
      <c r="M90" s="56">
        <v>31022540</v>
      </c>
      <c r="N90" s="56">
        <v>26354908</v>
      </c>
      <c r="O90" s="56">
        <v>23248168</v>
      </c>
    </row>
    <row r="91" spans="1:15">
      <c r="A91" s="54" t="s">
        <v>156</v>
      </c>
      <c r="B91" s="55" t="s">
        <v>412</v>
      </c>
      <c r="C91" s="65">
        <f t="shared" ref="C91:H91" si="10">SUM(C92:C95)</f>
        <v>0</v>
      </c>
      <c r="D91" s="65">
        <f t="shared" si="10"/>
        <v>0</v>
      </c>
      <c r="E91" s="65">
        <f t="shared" si="10"/>
        <v>0</v>
      </c>
      <c r="F91" s="65">
        <f t="shared" si="10"/>
        <v>35238</v>
      </c>
      <c r="G91" s="65">
        <f t="shared" si="10"/>
        <v>-1291.0500000000002</v>
      </c>
      <c r="H91" s="65">
        <f t="shared" si="10"/>
        <v>385347</v>
      </c>
      <c r="I91" s="65">
        <v>2544395</v>
      </c>
      <c r="J91" s="65">
        <v>744122</v>
      </c>
      <c r="K91" s="65">
        <v>689052</v>
      </c>
      <c r="L91" s="65">
        <v>921132</v>
      </c>
      <c r="M91" s="65">
        <v>1687669</v>
      </c>
      <c r="N91" s="65">
        <v>1215760</v>
      </c>
      <c r="O91" s="65">
        <v>512667</v>
      </c>
    </row>
    <row r="92" spans="1:15">
      <c r="A92" s="54" t="s">
        <v>149</v>
      </c>
      <c r="B92" s="55" t="s">
        <v>413</v>
      </c>
      <c r="C92" s="56"/>
      <c r="D92" s="56"/>
      <c r="E92" s="56"/>
      <c r="F92" s="56">
        <v>35238</v>
      </c>
      <c r="G92" s="56">
        <v>0</v>
      </c>
      <c r="H92" s="56">
        <v>350000</v>
      </c>
      <c r="I92" s="56">
        <v>2544395</v>
      </c>
      <c r="J92" s="56">
        <v>700000</v>
      </c>
      <c r="K92" s="56">
        <v>350000</v>
      </c>
      <c r="L92" s="56">
        <v>921132</v>
      </c>
      <c r="M92" s="56">
        <v>1685131</v>
      </c>
      <c r="N92" s="56">
        <v>1151731</v>
      </c>
      <c r="O92" s="56">
        <v>464667</v>
      </c>
    </row>
    <row r="93" spans="1:15">
      <c r="A93" s="54" t="s">
        <v>153</v>
      </c>
      <c r="B93" s="55" t="s">
        <v>414</v>
      </c>
      <c r="C93" s="366"/>
      <c r="D93" s="366"/>
      <c r="E93" s="366"/>
      <c r="F93" s="366"/>
      <c r="G93" s="366"/>
      <c r="H93" s="366"/>
      <c r="I93" s="366"/>
      <c r="J93" s="366"/>
    </row>
    <row r="94" spans="1:15">
      <c r="A94" s="54" t="s">
        <v>157</v>
      </c>
      <c r="B94" s="55" t="s">
        <v>415</v>
      </c>
      <c r="C94" s="56">
        <v>0</v>
      </c>
      <c r="D94" s="56">
        <v>0</v>
      </c>
      <c r="E94" s="56">
        <v>0</v>
      </c>
      <c r="F94" s="56">
        <v>0</v>
      </c>
      <c r="G94" s="56">
        <f>610.34+385.24-2285.69-0.94</f>
        <v>-1291.0500000000002</v>
      </c>
      <c r="H94" s="56">
        <f>39367-4020</f>
        <v>35347</v>
      </c>
      <c r="I94" s="56">
        <v>0</v>
      </c>
      <c r="J94" s="56">
        <v>44122</v>
      </c>
      <c r="K94" s="56">
        <v>339052</v>
      </c>
      <c r="L94" s="56"/>
      <c r="M94" s="56">
        <v>2538</v>
      </c>
      <c r="N94" s="56">
        <v>9029</v>
      </c>
      <c r="O94" s="56"/>
    </row>
    <row r="95" spans="1:15">
      <c r="A95" s="54" t="s">
        <v>158</v>
      </c>
      <c r="B95" s="55" t="s">
        <v>416</v>
      </c>
    </row>
    <row r="96" spans="1:15">
      <c r="A96" s="54" t="s">
        <v>159</v>
      </c>
      <c r="B96" s="55" t="s">
        <v>417</v>
      </c>
      <c r="N96" s="56">
        <v>55000</v>
      </c>
      <c r="O96" s="56">
        <v>48000</v>
      </c>
    </row>
    <row r="97" spans="1:18">
      <c r="A97" s="54" t="s">
        <v>160</v>
      </c>
      <c r="B97" s="55" t="s">
        <v>113</v>
      </c>
      <c r="C97" s="364"/>
      <c r="D97" s="364"/>
      <c r="E97" s="364"/>
      <c r="F97" s="364"/>
      <c r="G97" s="364"/>
      <c r="H97" s="364"/>
      <c r="I97" s="364"/>
      <c r="J97" s="364"/>
    </row>
    <row r="98" spans="1:18">
      <c r="B98" s="55" t="s">
        <v>418</v>
      </c>
      <c r="C98" s="65">
        <f t="shared" ref="C98:H98" si="11">+C90+C91</f>
        <v>50707987.549999997</v>
      </c>
      <c r="D98" s="65">
        <f t="shared" si="11"/>
        <v>48587377</v>
      </c>
      <c r="E98" s="65">
        <f t="shared" si="11"/>
        <v>49168449</v>
      </c>
      <c r="F98" s="65">
        <f t="shared" si="11"/>
        <v>41166765</v>
      </c>
      <c r="G98" s="65">
        <f t="shared" si="11"/>
        <v>45742061.850000009</v>
      </c>
      <c r="H98" s="65">
        <f t="shared" si="11"/>
        <v>61343939</v>
      </c>
      <c r="I98" s="65">
        <v>48819343</v>
      </c>
      <c r="J98" s="65">
        <v>55485787</v>
      </c>
      <c r="K98" s="65">
        <v>55153379</v>
      </c>
      <c r="L98" s="65">
        <v>34602933</v>
      </c>
      <c r="M98" s="65">
        <v>32710209</v>
      </c>
      <c r="N98" s="65">
        <v>27570668</v>
      </c>
      <c r="O98" s="65">
        <v>23760835</v>
      </c>
    </row>
    <row r="99" spans="1:18">
      <c r="B99" s="55" t="s">
        <v>419</v>
      </c>
      <c r="C99" s="56">
        <f t="shared" ref="C99:H99" si="12">+C43-C98</f>
        <v>8421552.450000003</v>
      </c>
      <c r="D99" s="56">
        <f t="shared" si="12"/>
        <v>8481363</v>
      </c>
      <c r="E99" s="56">
        <f t="shared" si="12"/>
        <v>2897669</v>
      </c>
      <c r="F99" s="56">
        <f t="shared" si="12"/>
        <v>1736680</v>
      </c>
      <c r="G99" s="56">
        <f t="shared" si="12"/>
        <v>3152192.1499999911</v>
      </c>
      <c r="H99" s="56">
        <f t="shared" si="12"/>
        <v>3833879</v>
      </c>
      <c r="I99" s="56">
        <v>3057933</v>
      </c>
      <c r="J99" s="56">
        <v>3630767</v>
      </c>
      <c r="K99" s="56">
        <v>3114356</v>
      </c>
      <c r="L99" s="56">
        <v>-1803182</v>
      </c>
      <c r="M99" s="56">
        <v>2556581</v>
      </c>
      <c r="N99" s="56">
        <v>2220606</v>
      </c>
      <c r="O99" s="56">
        <v>2530705</v>
      </c>
    </row>
    <row r="100" spans="1:18">
      <c r="A100" s="54" t="s">
        <v>162</v>
      </c>
      <c r="B100" s="55" t="s">
        <v>420</v>
      </c>
      <c r="C100" s="366"/>
      <c r="D100" s="366"/>
      <c r="E100" s="366"/>
      <c r="F100" s="366"/>
      <c r="G100" s="366"/>
      <c r="H100" s="366"/>
      <c r="I100" s="366"/>
      <c r="J100" s="366"/>
    </row>
    <row r="101" spans="1:18">
      <c r="B101" s="55" t="s">
        <v>387</v>
      </c>
    </row>
    <row r="102" spans="1:18">
      <c r="A102" s="54" t="s">
        <v>163</v>
      </c>
      <c r="B102" s="55" t="s">
        <v>421</v>
      </c>
      <c r="C102" s="56">
        <f t="shared" ref="C102:H102" si="13">+C99</f>
        <v>8421552.450000003</v>
      </c>
      <c r="D102" s="56">
        <f t="shared" si="13"/>
        <v>8481363</v>
      </c>
      <c r="E102" s="56">
        <f t="shared" si="13"/>
        <v>2897669</v>
      </c>
      <c r="F102" s="56">
        <f t="shared" si="13"/>
        <v>1736680</v>
      </c>
      <c r="G102" s="56">
        <f t="shared" si="13"/>
        <v>3152192.1499999911</v>
      </c>
      <c r="H102" s="56">
        <f t="shared" si="13"/>
        <v>3833879</v>
      </c>
      <c r="I102" s="56">
        <v>3057933</v>
      </c>
      <c r="J102" s="56">
        <v>3630767</v>
      </c>
      <c r="K102" s="56">
        <v>3114356</v>
      </c>
      <c r="L102" s="56">
        <v>-1803182</v>
      </c>
      <c r="M102" s="56">
        <v>2556581</v>
      </c>
      <c r="N102" s="56">
        <v>2220606</v>
      </c>
      <c r="O102" s="56">
        <v>2530705</v>
      </c>
      <c r="R102" s="427"/>
    </row>
    <row r="103" spans="1:18">
      <c r="A103" s="54" t="s">
        <v>422</v>
      </c>
      <c r="B103" s="55" t="s">
        <v>423</v>
      </c>
      <c r="C103" s="56">
        <f>+(C102+C79)*15%</f>
        <v>1267512.6675000004</v>
      </c>
      <c r="D103" s="56">
        <f>+(D102)*15%</f>
        <v>1272204.45</v>
      </c>
      <c r="E103" s="56">
        <f>+(E102+263111)*15%</f>
        <v>474117</v>
      </c>
      <c r="F103" s="56">
        <f>+(F102+F79+107508+350000)*15%</f>
        <v>329607.75</v>
      </c>
      <c r="G103" s="56">
        <f>+(G102+G79)*15%</f>
        <v>472828.82249999861</v>
      </c>
      <c r="H103" s="56">
        <f>+(H102+H79)*10%</f>
        <v>388392.2</v>
      </c>
      <c r="I103" s="56">
        <v>391530</v>
      </c>
      <c r="J103" s="56">
        <v>373077</v>
      </c>
      <c r="K103" s="56">
        <v>354559</v>
      </c>
      <c r="L103" s="56">
        <v>271514</v>
      </c>
      <c r="M103" s="56">
        <v>344917</v>
      </c>
      <c r="N103" s="56">
        <v>444121</v>
      </c>
      <c r="O103" s="56">
        <v>506141</v>
      </c>
    </row>
    <row r="104" spans="1:18">
      <c r="A104" s="54" t="s">
        <v>150</v>
      </c>
      <c r="B104" s="55" t="s">
        <v>424</v>
      </c>
      <c r="C104" s="65">
        <f t="shared" ref="C104:H104" si="14">+C103</f>
        <v>1267512.6675000004</v>
      </c>
      <c r="D104" s="65">
        <f t="shared" si="14"/>
        <v>1272204.45</v>
      </c>
      <c r="E104" s="65">
        <f t="shared" si="14"/>
        <v>474117</v>
      </c>
      <c r="F104" s="65">
        <f t="shared" si="14"/>
        <v>329607.75</v>
      </c>
      <c r="G104" s="65">
        <f t="shared" si="14"/>
        <v>472828.82249999861</v>
      </c>
      <c r="H104" s="65">
        <f t="shared" si="14"/>
        <v>388392.2</v>
      </c>
      <c r="I104" s="65">
        <v>391530</v>
      </c>
      <c r="J104" s="65">
        <v>373077</v>
      </c>
      <c r="K104" s="65">
        <v>354559</v>
      </c>
      <c r="L104" s="65">
        <v>271514</v>
      </c>
      <c r="M104" s="65">
        <v>344917</v>
      </c>
      <c r="N104" s="65">
        <v>444121</v>
      </c>
      <c r="O104" s="65">
        <v>506141</v>
      </c>
    </row>
    <row r="105" spans="1:18">
      <c r="B105" s="55" t="s">
        <v>425</v>
      </c>
    </row>
    <row r="106" spans="1:18">
      <c r="A106" s="54" t="s">
        <v>151</v>
      </c>
      <c r="B106" s="55" t="s">
        <v>426</v>
      </c>
    </row>
    <row r="107" spans="1:18">
      <c r="A107" s="54" t="s">
        <v>427</v>
      </c>
      <c r="B107" s="55" t="s">
        <v>428</v>
      </c>
      <c r="C107" s="65">
        <f t="shared" ref="C107:H107" si="15">+C102-C104</f>
        <v>7154039.7825000025</v>
      </c>
      <c r="D107" s="65">
        <f t="shared" si="15"/>
        <v>7209158.5499999998</v>
      </c>
      <c r="E107" s="65">
        <f t="shared" si="15"/>
        <v>2423552</v>
      </c>
      <c r="F107" s="65">
        <f t="shared" si="15"/>
        <v>1407072.25</v>
      </c>
      <c r="G107" s="65">
        <f t="shared" si="15"/>
        <v>2679363.3274999922</v>
      </c>
      <c r="H107" s="65">
        <f t="shared" si="15"/>
        <v>3445486.8</v>
      </c>
      <c r="I107" s="65">
        <v>2666403</v>
      </c>
      <c r="J107" s="65">
        <v>3257690</v>
      </c>
      <c r="K107" s="65">
        <v>2759796</v>
      </c>
      <c r="L107" s="65">
        <v>-2074696</v>
      </c>
      <c r="M107" s="65">
        <v>2211664</v>
      </c>
      <c r="N107" s="65">
        <v>1776485</v>
      </c>
      <c r="O107" s="65">
        <v>2024564</v>
      </c>
    </row>
    <row r="108" spans="1:18">
      <c r="C108" s="366"/>
      <c r="D108" s="366"/>
      <c r="E108" s="366"/>
      <c r="F108" s="366"/>
      <c r="G108" s="366"/>
      <c r="H108" s="366"/>
      <c r="I108" s="366"/>
      <c r="J108" s="366"/>
    </row>
    <row r="109" spans="1:18">
      <c r="C109" s="364"/>
      <c r="D109" s="364"/>
      <c r="E109" s="364"/>
      <c r="F109" s="364"/>
      <c r="G109" s="364"/>
      <c r="H109" s="364"/>
      <c r="I109" s="364"/>
      <c r="J109" s="364"/>
    </row>
    <row r="111" spans="1:18">
      <c r="C111" s="364"/>
    </row>
    <row r="112" spans="1:18" ht="13.5">
      <c r="A112" s="5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1"/>
  <sheetViews>
    <sheetView topLeftCell="A70" workbookViewId="0">
      <selection activeCell="M105" sqref="M105"/>
    </sheetView>
  </sheetViews>
  <sheetFormatPr defaultRowHeight="12.75"/>
  <cols>
    <col min="1" max="1" width="10" customWidth="1"/>
    <col min="2" max="2" width="14" customWidth="1"/>
    <col min="3" max="3" width="14.140625" customWidth="1"/>
    <col min="4" max="4" width="13.28515625" customWidth="1"/>
    <col min="5" max="5" width="14.85546875" customWidth="1"/>
    <col min="6" max="6" width="8.140625" customWidth="1"/>
    <col min="7" max="7" width="12" customWidth="1"/>
    <col min="8" max="8" width="12.85546875" customWidth="1"/>
    <col min="9" max="9" width="12" customWidth="1"/>
    <col min="10" max="10" width="7.42578125" customWidth="1"/>
    <col min="11" max="11" width="12.28515625" customWidth="1"/>
    <col min="12" max="12" width="11.42578125" customWidth="1"/>
    <col min="13" max="13" width="13.28515625" customWidth="1"/>
    <col min="14" max="14" width="10.140625" customWidth="1"/>
    <col min="15" max="15" width="11.140625" customWidth="1"/>
    <col min="16" max="16" width="13.5703125" customWidth="1"/>
  </cols>
  <sheetData>
    <row r="1" spans="1:16" ht="15" hidden="1">
      <c r="A1" s="435" t="s">
        <v>662</v>
      </c>
    </row>
    <row r="2" spans="1:16" ht="13.5" hidden="1" thickBot="1">
      <c r="A2" s="502" t="s">
        <v>937</v>
      </c>
      <c r="B2" s="503"/>
      <c r="C2" s="501" t="s">
        <v>663</v>
      </c>
      <c r="D2" s="503"/>
      <c r="E2" s="503"/>
      <c r="F2" s="503"/>
      <c r="G2" s="501" t="s">
        <v>664</v>
      </c>
      <c r="H2" s="503"/>
      <c r="I2" s="587" t="s">
        <v>686</v>
      </c>
      <c r="J2" s="588"/>
      <c r="K2" s="587" t="s">
        <v>938</v>
      </c>
      <c r="L2" s="588"/>
      <c r="M2" s="587" t="s">
        <v>687</v>
      </c>
      <c r="N2" s="588"/>
      <c r="O2" s="503"/>
      <c r="P2" s="504" t="s">
        <v>665</v>
      </c>
    </row>
    <row r="3" spans="1:16" ht="15.75" hidden="1" thickBot="1">
      <c r="A3" s="436" t="s">
        <v>666</v>
      </c>
      <c r="B3" s="437" t="s">
        <v>667</v>
      </c>
      <c r="C3" s="437" t="s">
        <v>668</v>
      </c>
      <c r="D3" s="438" t="s">
        <v>669</v>
      </c>
      <c r="E3" s="506"/>
      <c r="G3" s="436" t="s">
        <v>666</v>
      </c>
      <c r="H3" s="437" t="s">
        <v>670</v>
      </c>
      <c r="I3" s="437" t="s">
        <v>685</v>
      </c>
      <c r="J3" s="437" t="s">
        <v>669</v>
      </c>
      <c r="K3" s="437" t="s">
        <v>617</v>
      </c>
      <c r="L3" s="437" t="s">
        <v>669</v>
      </c>
      <c r="M3" s="437" t="s">
        <v>617</v>
      </c>
      <c r="N3" s="437" t="s">
        <v>669</v>
      </c>
      <c r="O3" s="499" t="s">
        <v>939</v>
      </c>
      <c r="P3" s="439" t="s">
        <v>669</v>
      </c>
    </row>
    <row r="4" spans="1:16" hidden="1">
      <c r="A4" s="320" t="s">
        <v>671</v>
      </c>
      <c r="B4" s="440">
        <v>0</v>
      </c>
      <c r="C4" s="441">
        <v>2265130</v>
      </c>
      <c r="D4" s="442">
        <f>+C4*0.2</f>
        <v>453026</v>
      </c>
      <c r="E4" s="507"/>
      <c r="G4" s="443" t="s">
        <v>671</v>
      </c>
      <c r="H4" s="444">
        <v>235060</v>
      </c>
      <c r="I4" s="444">
        <v>0</v>
      </c>
      <c r="J4" s="445">
        <f>+I4*0.2</f>
        <v>0</v>
      </c>
      <c r="K4" s="444">
        <v>0</v>
      </c>
      <c r="L4" s="445">
        <f>+K4*0.2</f>
        <v>0</v>
      </c>
      <c r="M4" s="444">
        <v>1685250</v>
      </c>
      <c r="N4" s="445">
        <f>+M4*0.2</f>
        <v>337050</v>
      </c>
      <c r="O4" s="442">
        <f>+J4+L4+N4</f>
        <v>337050</v>
      </c>
      <c r="P4" s="442">
        <f>+D4-O4-34324</f>
        <v>81652</v>
      </c>
    </row>
    <row r="5" spans="1:16" hidden="1">
      <c r="A5" s="304" t="s">
        <v>672</v>
      </c>
      <c r="B5" s="322">
        <v>0</v>
      </c>
      <c r="C5" s="446">
        <v>3321310</v>
      </c>
      <c r="D5" s="447">
        <f t="shared" ref="D5:D15" si="0">+C5*0.2</f>
        <v>664262</v>
      </c>
      <c r="E5" s="507"/>
      <c r="G5" s="448" t="s">
        <v>672</v>
      </c>
      <c r="H5" s="322">
        <v>613120</v>
      </c>
      <c r="I5" s="322">
        <v>98505</v>
      </c>
      <c r="J5" s="446">
        <f>+I5*0.2</f>
        <v>19701</v>
      </c>
      <c r="K5" s="322">
        <v>0</v>
      </c>
      <c r="L5" s="446">
        <f>+K5*0.2</f>
        <v>0</v>
      </c>
      <c r="M5" s="322">
        <v>3017550</v>
      </c>
      <c r="N5" s="446">
        <f>+M5*0.2</f>
        <v>603510</v>
      </c>
      <c r="O5" s="447">
        <f t="shared" ref="O5:O15" si="1">+J5+L5+N5</f>
        <v>623211</v>
      </c>
      <c r="P5" s="447">
        <f t="shared" ref="P5:P15" si="2">+D5-O5</f>
        <v>41051</v>
      </c>
    </row>
    <row r="6" spans="1:16" hidden="1">
      <c r="A6" s="304" t="s">
        <v>673</v>
      </c>
      <c r="B6" s="322">
        <v>915000</v>
      </c>
      <c r="C6" s="446">
        <v>2888330</v>
      </c>
      <c r="D6" s="447">
        <f t="shared" si="0"/>
        <v>577666</v>
      </c>
      <c r="E6" s="507"/>
      <c r="G6" s="448" t="s">
        <v>673</v>
      </c>
      <c r="H6" s="322">
        <v>595198</v>
      </c>
      <c r="I6" s="322">
        <v>0</v>
      </c>
      <c r="J6" s="446">
        <f t="shared" ref="J6:J15" si="3">+I6*0.2</f>
        <v>0</v>
      </c>
      <c r="K6" s="322">
        <v>0</v>
      </c>
      <c r="L6" s="446">
        <f t="shared" ref="L6:L15" si="4">+K6*0.2</f>
        <v>0</v>
      </c>
      <c r="M6" s="322">
        <v>2143055</v>
      </c>
      <c r="N6" s="446">
        <f t="shared" ref="N6:N15" si="5">+M6*0.2</f>
        <v>428611</v>
      </c>
      <c r="O6" s="447">
        <f t="shared" si="1"/>
        <v>428611</v>
      </c>
      <c r="P6" s="447">
        <f t="shared" si="2"/>
        <v>149055</v>
      </c>
    </row>
    <row r="7" spans="1:16" hidden="1">
      <c r="A7" s="304" t="s">
        <v>674</v>
      </c>
      <c r="B7" s="322">
        <v>0</v>
      </c>
      <c r="C7" s="446">
        <v>3039015</v>
      </c>
      <c r="D7" s="447">
        <f t="shared" si="0"/>
        <v>607803</v>
      </c>
      <c r="E7" s="507"/>
      <c r="G7" s="448" t="s">
        <v>674</v>
      </c>
      <c r="H7" s="322">
        <v>74807</v>
      </c>
      <c r="I7" s="322">
        <v>0</v>
      </c>
      <c r="J7" s="446">
        <f t="shared" si="3"/>
        <v>0</v>
      </c>
      <c r="K7" s="322">
        <v>0</v>
      </c>
      <c r="L7" s="446">
        <f t="shared" si="4"/>
        <v>0</v>
      </c>
      <c r="M7" s="322">
        <v>1922660</v>
      </c>
      <c r="N7" s="446">
        <f t="shared" si="5"/>
        <v>384532</v>
      </c>
      <c r="O7" s="447">
        <f t="shared" si="1"/>
        <v>384532</v>
      </c>
      <c r="P7" s="447">
        <f t="shared" si="2"/>
        <v>223271</v>
      </c>
    </row>
    <row r="8" spans="1:16" hidden="1">
      <c r="A8" s="304" t="s">
        <v>675</v>
      </c>
      <c r="B8" s="322">
        <v>0</v>
      </c>
      <c r="C8" s="446">
        <v>2955815</v>
      </c>
      <c r="D8" s="447">
        <f t="shared" si="0"/>
        <v>591163</v>
      </c>
      <c r="E8" s="507"/>
      <c r="G8" s="448" t="s">
        <v>675</v>
      </c>
      <c r="H8" s="322">
        <v>496095</v>
      </c>
      <c r="I8" s="322">
        <v>0</v>
      </c>
      <c r="J8" s="446">
        <f t="shared" si="3"/>
        <v>0</v>
      </c>
      <c r="K8" s="322">
        <v>0</v>
      </c>
      <c r="L8" s="446">
        <f t="shared" si="4"/>
        <v>0</v>
      </c>
      <c r="M8" s="322">
        <v>1815230</v>
      </c>
      <c r="N8" s="446">
        <f t="shared" si="5"/>
        <v>363046</v>
      </c>
      <c r="O8" s="447">
        <f t="shared" si="1"/>
        <v>363046</v>
      </c>
      <c r="P8" s="447">
        <f t="shared" si="2"/>
        <v>228117</v>
      </c>
    </row>
    <row r="9" spans="1:16" hidden="1">
      <c r="A9" s="304" t="s">
        <v>676</v>
      </c>
      <c r="B9" s="322">
        <v>0</v>
      </c>
      <c r="C9" s="446">
        <v>3459950</v>
      </c>
      <c r="D9" s="447">
        <f t="shared" si="0"/>
        <v>691990</v>
      </c>
      <c r="E9" s="507"/>
      <c r="G9" s="448" t="s">
        <v>676</v>
      </c>
      <c r="H9" s="322">
        <v>604249</v>
      </c>
      <c r="I9" s="322">
        <v>0</v>
      </c>
      <c r="J9" s="446">
        <f t="shared" si="3"/>
        <v>0</v>
      </c>
      <c r="K9" s="322">
        <v>0</v>
      </c>
      <c r="L9" s="446">
        <f t="shared" si="4"/>
        <v>0</v>
      </c>
      <c r="M9" s="322">
        <v>2690235</v>
      </c>
      <c r="N9" s="446">
        <f t="shared" si="5"/>
        <v>538047</v>
      </c>
      <c r="O9" s="447">
        <f t="shared" si="1"/>
        <v>538047</v>
      </c>
      <c r="P9" s="447">
        <f t="shared" si="2"/>
        <v>153943</v>
      </c>
    </row>
    <row r="10" spans="1:16" hidden="1">
      <c r="A10" s="304" t="s">
        <v>677</v>
      </c>
      <c r="B10" s="322">
        <v>0</v>
      </c>
      <c r="C10" s="446">
        <v>2650085</v>
      </c>
      <c r="D10" s="447">
        <f t="shared" si="0"/>
        <v>530017</v>
      </c>
      <c r="E10" s="507"/>
      <c r="G10" s="448" t="s">
        <v>677</v>
      </c>
      <c r="H10" s="322">
        <v>132259</v>
      </c>
      <c r="I10" s="322">
        <v>0</v>
      </c>
      <c r="J10" s="446">
        <f t="shared" si="3"/>
        <v>0</v>
      </c>
      <c r="K10" s="322">
        <v>0</v>
      </c>
      <c r="L10" s="446">
        <f t="shared" si="4"/>
        <v>0</v>
      </c>
      <c r="M10" s="322">
        <v>1643710</v>
      </c>
      <c r="N10" s="446">
        <f t="shared" si="5"/>
        <v>328742</v>
      </c>
      <c r="O10" s="447">
        <f t="shared" si="1"/>
        <v>328742</v>
      </c>
      <c r="P10" s="447">
        <f t="shared" si="2"/>
        <v>201275</v>
      </c>
    </row>
    <row r="11" spans="1:16" hidden="1">
      <c r="A11" s="304" t="s">
        <v>678</v>
      </c>
      <c r="B11" s="322">
        <v>0</v>
      </c>
      <c r="C11" s="446">
        <v>1904040</v>
      </c>
      <c r="D11" s="447">
        <f t="shared" si="0"/>
        <v>380808</v>
      </c>
      <c r="E11" s="507"/>
      <c r="G11" s="448" t="s">
        <v>678</v>
      </c>
      <c r="H11" s="322">
        <v>217595</v>
      </c>
      <c r="I11" s="322">
        <v>0</v>
      </c>
      <c r="J11" s="446">
        <f t="shared" si="3"/>
        <v>0</v>
      </c>
      <c r="K11" s="322">
        <v>73065</v>
      </c>
      <c r="L11" s="446">
        <f t="shared" si="4"/>
        <v>14613</v>
      </c>
      <c r="M11" s="322">
        <v>881155</v>
      </c>
      <c r="N11" s="446">
        <f t="shared" si="5"/>
        <v>176231</v>
      </c>
      <c r="O11" s="447">
        <f t="shared" si="1"/>
        <v>190844</v>
      </c>
      <c r="P11" s="447">
        <f t="shared" si="2"/>
        <v>189964</v>
      </c>
    </row>
    <row r="12" spans="1:16" hidden="1">
      <c r="A12" s="304" t="s">
        <v>679</v>
      </c>
      <c r="B12" s="322">
        <v>0</v>
      </c>
      <c r="C12" s="446">
        <v>3259980</v>
      </c>
      <c r="D12" s="447">
        <f t="shared" si="0"/>
        <v>651996</v>
      </c>
      <c r="E12" s="507"/>
      <c r="G12" s="448" t="s">
        <v>679</v>
      </c>
      <c r="H12" s="322">
        <v>279775</v>
      </c>
      <c r="I12" s="322">
        <v>0</v>
      </c>
      <c r="J12" s="446">
        <f t="shared" si="3"/>
        <v>0</v>
      </c>
      <c r="K12" s="322">
        <v>0</v>
      </c>
      <c r="L12" s="446">
        <f t="shared" si="4"/>
        <v>0</v>
      </c>
      <c r="M12" s="322">
        <v>2325215</v>
      </c>
      <c r="N12" s="446">
        <f t="shared" si="5"/>
        <v>465043</v>
      </c>
      <c r="O12" s="447">
        <f t="shared" si="1"/>
        <v>465043</v>
      </c>
      <c r="P12" s="447">
        <f t="shared" si="2"/>
        <v>186953</v>
      </c>
    </row>
    <row r="13" spans="1:16" hidden="1">
      <c r="A13" s="304" t="s">
        <v>680</v>
      </c>
      <c r="B13" s="322">
        <v>0</v>
      </c>
      <c r="C13" s="446">
        <v>3443100</v>
      </c>
      <c r="D13" s="447">
        <f t="shared" si="0"/>
        <v>688620</v>
      </c>
      <c r="E13" s="507"/>
      <c r="G13" s="448" t="s">
        <v>680</v>
      </c>
      <c r="H13" s="322">
        <v>349328</v>
      </c>
      <c r="I13" s="322">
        <v>0</v>
      </c>
      <c r="J13" s="446">
        <f t="shared" si="3"/>
        <v>0</v>
      </c>
      <c r="K13" s="322">
        <v>23335</v>
      </c>
      <c r="L13" s="446">
        <f t="shared" si="4"/>
        <v>4667</v>
      </c>
      <c r="M13" s="322">
        <v>1555395</v>
      </c>
      <c r="N13" s="446">
        <f t="shared" si="5"/>
        <v>311079</v>
      </c>
      <c r="O13" s="447">
        <f t="shared" si="1"/>
        <v>315746</v>
      </c>
      <c r="P13" s="447">
        <f t="shared" si="2"/>
        <v>372874</v>
      </c>
    </row>
    <row r="14" spans="1:16" hidden="1">
      <c r="A14" s="304" t="s">
        <v>681</v>
      </c>
      <c r="B14" s="322">
        <v>0</v>
      </c>
      <c r="C14" s="446">
        <v>3422385</v>
      </c>
      <c r="D14" s="447">
        <f t="shared" si="0"/>
        <v>684477</v>
      </c>
      <c r="E14" s="507"/>
      <c r="G14" s="448" t="s">
        <v>681</v>
      </c>
      <c r="H14" s="322">
        <v>364022</v>
      </c>
      <c r="I14" s="322">
        <v>0</v>
      </c>
      <c r="J14" s="446">
        <f t="shared" si="3"/>
        <v>0</v>
      </c>
      <c r="K14" s="322">
        <v>0</v>
      </c>
      <c r="L14" s="446">
        <f t="shared" si="4"/>
        <v>0</v>
      </c>
      <c r="M14" s="322">
        <v>2013130</v>
      </c>
      <c r="N14" s="446">
        <f t="shared" si="5"/>
        <v>402626</v>
      </c>
      <c r="O14" s="447">
        <f t="shared" si="1"/>
        <v>402626</v>
      </c>
      <c r="P14" s="447">
        <f t="shared" si="2"/>
        <v>281851</v>
      </c>
    </row>
    <row r="15" spans="1:16" ht="13.5" hidden="1" thickBot="1">
      <c r="A15" s="306" t="s">
        <v>682</v>
      </c>
      <c r="B15" s="449">
        <f>483000+5135140</f>
        <v>5618140</v>
      </c>
      <c r="C15" s="450">
        <v>3761165</v>
      </c>
      <c r="D15" s="451">
        <f t="shared" si="0"/>
        <v>752233</v>
      </c>
      <c r="E15" s="507"/>
      <c r="G15" s="460" t="s">
        <v>682</v>
      </c>
      <c r="H15" s="449">
        <v>470333</v>
      </c>
      <c r="I15" s="449">
        <v>0</v>
      </c>
      <c r="J15" s="450">
        <f t="shared" si="3"/>
        <v>0</v>
      </c>
      <c r="K15" s="449">
        <v>341750</v>
      </c>
      <c r="L15" s="450">
        <f t="shared" si="4"/>
        <v>68350</v>
      </c>
      <c r="M15" s="449">
        <v>1728345</v>
      </c>
      <c r="N15" s="450">
        <f t="shared" si="5"/>
        <v>345669</v>
      </c>
      <c r="O15" s="452">
        <f t="shared" si="1"/>
        <v>414019</v>
      </c>
      <c r="P15" s="452">
        <f t="shared" si="2"/>
        <v>338214</v>
      </c>
    </row>
    <row r="16" spans="1:16" ht="15.75" hidden="1" thickBot="1">
      <c r="A16" s="453"/>
      <c r="B16" s="454">
        <f>SUM(B4:B15)</f>
        <v>6533140</v>
      </c>
      <c r="C16" s="455">
        <f>SUM(C4:C15)</f>
        <v>36370305</v>
      </c>
      <c r="D16" s="456">
        <f>SUM(D4:D15)</f>
        <v>7274061</v>
      </c>
      <c r="E16" s="507"/>
      <c r="G16" s="453"/>
      <c r="H16" s="454">
        <f t="shared" ref="H16:O16" si="6">SUM(H4:H15)</f>
        <v>4431841</v>
      </c>
      <c r="I16" s="454">
        <f t="shared" si="6"/>
        <v>98505</v>
      </c>
      <c r="J16" s="455">
        <f t="shared" si="6"/>
        <v>19701</v>
      </c>
      <c r="K16" s="454">
        <f t="shared" si="6"/>
        <v>438150</v>
      </c>
      <c r="L16" s="455">
        <f t="shared" si="6"/>
        <v>87630</v>
      </c>
      <c r="M16" s="454">
        <f t="shared" si="6"/>
        <v>23420930</v>
      </c>
      <c r="N16" s="455">
        <f t="shared" si="6"/>
        <v>4684186</v>
      </c>
      <c r="O16" s="500">
        <f t="shared" si="6"/>
        <v>4791517</v>
      </c>
      <c r="P16" s="457">
        <f>SUM(P4:P15)</f>
        <v>2448220</v>
      </c>
    </row>
    <row r="17" spans="1:16" hidden="1"/>
    <row r="18" spans="1:16" ht="18.75" hidden="1">
      <c r="A18" t="s">
        <v>683</v>
      </c>
      <c r="B18" s="458">
        <f>+B16+C16</f>
        <v>42903445</v>
      </c>
      <c r="G18" t="s">
        <v>684</v>
      </c>
      <c r="H18" s="324">
        <f>+H16+K16+M16</f>
        <v>28290921</v>
      </c>
      <c r="M18" s="459"/>
    </row>
    <row r="19" spans="1:16" hidden="1"/>
    <row r="20" spans="1:16" hidden="1">
      <c r="H20" s="324"/>
    </row>
    <row r="21" spans="1:16" hidden="1"/>
    <row r="22" spans="1:16" ht="15.75" hidden="1" thickBot="1">
      <c r="A22" s="435" t="s">
        <v>662</v>
      </c>
    </row>
    <row r="23" spans="1:16" ht="13.5" hidden="1" thickBot="1">
      <c r="A23" s="502" t="s">
        <v>949</v>
      </c>
      <c r="B23" s="503"/>
      <c r="C23" s="501" t="s">
        <v>663</v>
      </c>
      <c r="D23" s="503"/>
      <c r="E23" s="503"/>
      <c r="F23" s="503"/>
      <c r="G23" s="501" t="s">
        <v>664</v>
      </c>
      <c r="H23" s="503"/>
      <c r="I23" s="587" t="s">
        <v>686</v>
      </c>
      <c r="J23" s="588"/>
      <c r="K23" s="587" t="s">
        <v>938</v>
      </c>
      <c r="L23" s="588"/>
      <c r="M23" s="587" t="s">
        <v>687</v>
      </c>
      <c r="N23" s="588"/>
      <c r="O23" s="503"/>
      <c r="P23" s="504" t="s">
        <v>665</v>
      </c>
    </row>
    <row r="24" spans="1:16" ht="15.75" hidden="1" thickBot="1">
      <c r="A24" s="436" t="s">
        <v>666</v>
      </c>
      <c r="B24" s="437" t="s">
        <v>667</v>
      </c>
      <c r="C24" s="437" t="s">
        <v>668</v>
      </c>
      <c r="D24" s="438" t="s">
        <v>669</v>
      </c>
      <c r="E24" s="506"/>
      <c r="G24" s="436" t="s">
        <v>666</v>
      </c>
      <c r="H24" s="437" t="s">
        <v>670</v>
      </c>
      <c r="I24" s="437" t="s">
        <v>685</v>
      </c>
      <c r="J24" s="437" t="s">
        <v>669</v>
      </c>
      <c r="K24" s="437" t="s">
        <v>617</v>
      </c>
      <c r="L24" s="437" t="s">
        <v>669</v>
      </c>
      <c r="M24" s="437" t="s">
        <v>617</v>
      </c>
      <c r="N24" s="437" t="s">
        <v>669</v>
      </c>
      <c r="O24" s="499" t="s">
        <v>939</v>
      </c>
      <c r="P24" s="439" t="s">
        <v>669</v>
      </c>
    </row>
    <row r="25" spans="1:16" hidden="1">
      <c r="A25" s="320" t="s">
        <v>671</v>
      </c>
      <c r="B25" s="440"/>
      <c r="C25" s="441">
        <v>3786680</v>
      </c>
      <c r="D25" s="442">
        <f>+C25*0.2</f>
        <v>757336</v>
      </c>
      <c r="E25" s="507"/>
      <c r="G25" s="443" t="s">
        <v>671</v>
      </c>
      <c r="H25" s="444">
        <v>145489</v>
      </c>
      <c r="I25" s="444"/>
      <c r="J25" s="445">
        <f>+I25*0.2</f>
        <v>0</v>
      </c>
      <c r="K25" s="444">
        <v>0</v>
      </c>
      <c r="L25" s="445">
        <f>+K25*0.2</f>
        <v>0</v>
      </c>
      <c r="M25" s="444">
        <v>2362105</v>
      </c>
      <c r="N25" s="445">
        <f>+M25*0.2</f>
        <v>472421</v>
      </c>
      <c r="O25" s="442">
        <f>+J25+L25+N25</f>
        <v>472421</v>
      </c>
      <c r="P25" s="442">
        <f>+D25-O25</f>
        <v>284915</v>
      </c>
    </row>
    <row r="26" spans="1:16" hidden="1">
      <c r="A26" s="304" t="s">
        <v>672</v>
      </c>
      <c r="B26" s="322"/>
      <c r="C26" s="446">
        <v>4050330</v>
      </c>
      <c r="D26" s="447">
        <f t="shared" ref="D26:D36" si="7">+C26*0.2</f>
        <v>810066</v>
      </c>
      <c r="E26" s="507">
        <f>+B25+C25+C26</f>
        <v>7837010</v>
      </c>
      <c r="G26" s="448" t="s">
        <v>672</v>
      </c>
      <c r="H26" s="322">
        <v>182963</v>
      </c>
      <c r="I26" s="322"/>
      <c r="J26" s="446">
        <f>+I26*0.2</f>
        <v>0</v>
      </c>
      <c r="K26" s="322"/>
      <c r="L26" s="446">
        <f>+K26*0.2</f>
        <v>0</v>
      </c>
      <c r="M26" s="322">
        <v>1928690</v>
      </c>
      <c r="N26" s="446">
        <f>+M26*0.2</f>
        <v>385738</v>
      </c>
      <c r="O26" s="447">
        <f t="shared" ref="O26:O36" si="8">+J26+L26+N26</f>
        <v>385738</v>
      </c>
      <c r="P26" s="447">
        <f t="shared" ref="P26:P36" si="9">+D26-O26</f>
        <v>424328</v>
      </c>
    </row>
    <row r="27" spans="1:16" hidden="1">
      <c r="A27" s="304" t="s">
        <v>673</v>
      </c>
      <c r="B27" s="322">
        <v>120000</v>
      </c>
      <c r="C27" s="446">
        <v>4037900</v>
      </c>
      <c r="D27" s="447">
        <f t="shared" si="7"/>
        <v>807580</v>
      </c>
      <c r="E27" s="507">
        <f>+E26+B27+C27</f>
        <v>11994910</v>
      </c>
      <c r="G27" s="448" t="s">
        <v>673</v>
      </c>
      <c r="H27" s="322">
        <v>450251</v>
      </c>
      <c r="I27" s="322"/>
      <c r="J27" s="446">
        <f t="shared" ref="J27:J36" si="10">+I27*0.2</f>
        <v>0</v>
      </c>
      <c r="K27" s="322"/>
      <c r="L27" s="446">
        <f t="shared" ref="L27:L36" si="11">+K27*0.2</f>
        <v>0</v>
      </c>
      <c r="M27" s="322">
        <v>1077245</v>
      </c>
      <c r="N27" s="446">
        <f t="shared" ref="N27:N36" si="12">+M27*0.2</f>
        <v>215449</v>
      </c>
      <c r="O27" s="447">
        <f t="shared" si="8"/>
        <v>215449</v>
      </c>
      <c r="P27" s="447">
        <f t="shared" si="9"/>
        <v>592131</v>
      </c>
    </row>
    <row r="28" spans="1:16" hidden="1">
      <c r="A28" s="304" t="s">
        <v>674</v>
      </c>
      <c r="B28" s="322">
        <v>48475</v>
      </c>
      <c r="C28" s="446">
        <v>4422290</v>
      </c>
      <c r="D28" s="447">
        <f t="shared" si="7"/>
        <v>884458</v>
      </c>
      <c r="E28" s="507">
        <f t="shared" ref="E28:E36" si="13">+E27+B28+C28</f>
        <v>16465675</v>
      </c>
      <c r="G28" s="448" t="s">
        <v>674</v>
      </c>
      <c r="H28" s="322">
        <v>737159</v>
      </c>
      <c r="I28" s="322"/>
      <c r="J28" s="446">
        <f t="shared" si="10"/>
        <v>0</v>
      </c>
      <c r="K28" s="322"/>
      <c r="L28" s="446">
        <f t="shared" si="11"/>
        <v>0</v>
      </c>
      <c r="M28" s="322">
        <v>2926845</v>
      </c>
      <c r="N28" s="446">
        <f t="shared" si="12"/>
        <v>585369</v>
      </c>
      <c r="O28" s="447">
        <f t="shared" si="8"/>
        <v>585369</v>
      </c>
      <c r="P28" s="447">
        <f t="shared" si="9"/>
        <v>299089</v>
      </c>
    </row>
    <row r="29" spans="1:16" hidden="1">
      <c r="A29" s="304" t="s">
        <v>675</v>
      </c>
      <c r="B29" s="322">
        <v>680000</v>
      </c>
      <c r="C29" s="446">
        <v>4459425</v>
      </c>
      <c r="D29" s="447">
        <f t="shared" si="7"/>
        <v>891885</v>
      </c>
      <c r="E29" s="507">
        <f t="shared" si="13"/>
        <v>21605100</v>
      </c>
      <c r="F29">
        <v>44160</v>
      </c>
      <c r="G29" s="448" t="s">
        <v>675</v>
      </c>
      <c r="H29" s="322">
        <f>231389+44160</f>
        <v>275549</v>
      </c>
      <c r="I29" s="322"/>
      <c r="J29" s="446">
        <f t="shared" si="10"/>
        <v>0</v>
      </c>
      <c r="K29" s="322"/>
      <c r="L29" s="446">
        <f t="shared" si="11"/>
        <v>0</v>
      </c>
      <c r="M29" s="322">
        <v>1631090</v>
      </c>
      <c r="N29" s="446">
        <f t="shared" si="12"/>
        <v>326218</v>
      </c>
      <c r="O29" s="447">
        <f t="shared" si="8"/>
        <v>326218</v>
      </c>
      <c r="P29" s="447">
        <f t="shared" si="9"/>
        <v>565667</v>
      </c>
    </row>
    <row r="30" spans="1:16" hidden="1">
      <c r="A30" s="304" t="s">
        <v>676</v>
      </c>
      <c r="B30" s="322"/>
      <c r="C30" s="446">
        <v>2982220</v>
      </c>
      <c r="D30" s="447">
        <f t="shared" si="7"/>
        <v>596444</v>
      </c>
      <c r="E30" s="507">
        <f t="shared" si="13"/>
        <v>24587320</v>
      </c>
      <c r="G30" s="448" t="s">
        <v>676</v>
      </c>
      <c r="H30" s="322">
        <v>274291</v>
      </c>
      <c r="I30" s="322"/>
      <c r="J30" s="446">
        <f t="shared" si="10"/>
        <v>0</v>
      </c>
      <c r="K30" s="322">
        <v>95835</v>
      </c>
      <c r="L30" s="446">
        <f t="shared" si="11"/>
        <v>19167</v>
      </c>
      <c r="M30" s="322">
        <v>1710325</v>
      </c>
      <c r="N30" s="446">
        <f t="shared" si="12"/>
        <v>342065</v>
      </c>
      <c r="O30" s="447">
        <f t="shared" si="8"/>
        <v>361232</v>
      </c>
      <c r="P30" s="447">
        <f t="shared" si="9"/>
        <v>235212</v>
      </c>
    </row>
    <row r="31" spans="1:16" hidden="1">
      <c r="A31" s="304" t="s">
        <v>677</v>
      </c>
      <c r="B31" s="322">
        <v>712000</v>
      </c>
      <c r="C31" s="446">
        <v>4085255</v>
      </c>
      <c r="D31" s="447">
        <f t="shared" si="7"/>
        <v>817051</v>
      </c>
      <c r="E31" s="507">
        <f t="shared" si="13"/>
        <v>29384575</v>
      </c>
      <c r="G31" s="448" t="s">
        <v>677</v>
      </c>
      <c r="H31" s="322">
        <v>581722</v>
      </c>
      <c r="I31" s="322"/>
      <c r="J31" s="446">
        <f t="shared" si="10"/>
        <v>0</v>
      </c>
      <c r="K31" s="322"/>
      <c r="L31" s="446">
        <f t="shared" si="11"/>
        <v>0</v>
      </c>
      <c r="M31" s="322">
        <v>1383070</v>
      </c>
      <c r="N31" s="446">
        <f t="shared" si="12"/>
        <v>276614</v>
      </c>
      <c r="O31" s="447">
        <f t="shared" si="8"/>
        <v>276614</v>
      </c>
      <c r="P31" s="447">
        <f t="shared" si="9"/>
        <v>540437</v>
      </c>
    </row>
    <row r="32" spans="1:16" hidden="1">
      <c r="A32" s="304" t="s">
        <v>678</v>
      </c>
      <c r="B32" s="322">
        <v>157500</v>
      </c>
      <c r="C32" s="446">
        <v>4218445</v>
      </c>
      <c r="D32" s="447">
        <f t="shared" si="7"/>
        <v>843689</v>
      </c>
      <c r="E32" s="507">
        <f t="shared" si="13"/>
        <v>33760520</v>
      </c>
      <c r="G32" s="448" t="s">
        <v>678</v>
      </c>
      <c r="H32" s="322">
        <v>156995</v>
      </c>
      <c r="I32" s="322"/>
      <c r="J32" s="446">
        <f t="shared" si="10"/>
        <v>0</v>
      </c>
      <c r="K32" s="322">
        <v>343835</v>
      </c>
      <c r="L32" s="446">
        <f t="shared" si="11"/>
        <v>68767</v>
      </c>
      <c r="M32" s="322">
        <v>1186100</v>
      </c>
      <c r="N32" s="446">
        <f t="shared" si="12"/>
        <v>237220</v>
      </c>
      <c r="O32" s="447">
        <f t="shared" si="8"/>
        <v>305987</v>
      </c>
      <c r="P32" s="447">
        <f t="shared" si="9"/>
        <v>537702</v>
      </c>
    </row>
    <row r="33" spans="1:16" hidden="1">
      <c r="A33" s="304" t="s">
        <v>679</v>
      </c>
      <c r="B33" s="322">
        <v>401400</v>
      </c>
      <c r="C33" s="446">
        <v>4018415</v>
      </c>
      <c r="D33" s="447">
        <f t="shared" si="7"/>
        <v>803683</v>
      </c>
      <c r="E33" s="507">
        <f t="shared" si="13"/>
        <v>38180335</v>
      </c>
      <c r="G33" s="448" t="s">
        <v>679</v>
      </c>
      <c r="H33" s="322">
        <v>119430</v>
      </c>
      <c r="I33" s="322"/>
      <c r="J33" s="446">
        <f t="shared" si="10"/>
        <v>0</v>
      </c>
      <c r="K33" s="322">
        <v>16355</v>
      </c>
      <c r="L33" s="446">
        <f t="shared" si="11"/>
        <v>3271</v>
      </c>
      <c r="M33" s="322">
        <v>1526090</v>
      </c>
      <c r="N33" s="446">
        <f t="shared" si="12"/>
        <v>305218</v>
      </c>
      <c r="O33" s="447">
        <f t="shared" si="8"/>
        <v>308489</v>
      </c>
      <c r="P33" s="447">
        <f t="shared" si="9"/>
        <v>495194</v>
      </c>
    </row>
    <row r="34" spans="1:16" hidden="1">
      <c r="A34" s="304" t="s">
        <v>680</v>
      </c>
      <c r="B34" s="322">
        <v>18838</v>
      </c>
      <c r="C34" s="446">
        <v>4348025</v>
      </c>
      <c r="D34" s="447">
        <f t="shared" si="7"/>
        <v>869605</v>
      </c>
      <c r="E34" s="507">
        <f t="shared" si="13"/>
        <v>42547198</v>
      </c>
      <c r="G34" s="448" t="s">
        <v>680</v>
      </c>
      <c r="H34" s="322">
        <v>101018</v>
      </c>
      <c r="I34" s="322"/>
      <c r="J34" s="446">
        <f t="shared" si="10"/>
        <v>0</v>
      </c>
      <c r="K34" s="322">
        <v>47915</v>
      </c>
      <c r="L34" s="446">
        <f t="shared" si="11"/>
        <v>9583</v>
      </c>
      <c r="M34" s="322">
        <v>1478240</v>
      </c>
      <c r="N34" s="446">
        <f t="shared" si="12"/>
        <v>295648</v>
      </c>
      <c r="O34" s="447">
        <f t="shared" si="8"/>
        <v>305231</v>
      </c>
      <c r="P34" s="447">
        <f t="shared" si="9"/>
        <v>564374</v>
      </c>
    </row>
    <row r="35" spans="1:16" hidden="1">
      <c r="A35" s="304" t="s">
        <v>681</v>
      </c>
      <c r="B35" s="322"/>
      <c r="C35" s="446">
        <v>4080245</v>
      </c>
      <c r="D35" s="447">
        <f t="shared" si="7"/>
        <v>816049</v>
      </c>
      <c r="E35" s="507">
        <f t="shared" si="13"/>
        <v>46627443</v>
      </c>
      <c r="G35" s="448" t="s">
        <v>681</v>
      </c>
      <c r="H35" s="322">
        <v>1208462</v>
      </c>
      <c r="I35" s="322"/>
      <c r="J35" s="446">
        <f t="shared" si="10"/>
        <v>0</v>
      </c>
      <c r="K35" s="322"/>
      <c r="L35" s="446">
        <f t="shared" si="11"/>
        <v>0</v>
      </c>
      <c r="M35" s="322">
        <v>1133705</v>
      </c>
      <c r="N35" s="446">
        <f t="shared" si="12"/>
        <v>226741</v>
      </c>
      <c r="O35" s="447">
        <f t="shared" si="8"/>
        <v>226741</v>
      </c>
      <c r="P35" s="447">
        <f t="shared" si="9"/>
        <v>589308</v>
      </c>
    </row>
    <row r="36" spans="1:16" ht="13.5" hidden="1" thickBot="1">
      <c r="A36" s="306" t="s">
        <v>682</v>
      </c>
      <c r="B36" s="449">
        <v>365000</v>
      </c>
      <c r="C36" s="450">
        <v>5073675</v>
      </c>
      <c r="D36" s="451">
        <f t="shared" si="7"/>
        <v>1014735</v>
      </c>
      <c r="E36" s="507">
        <f t="shared" si="13"/>
        <v>52066118</v>
      </c>
      <c r="G36" s="460" t="s">
        <v>682</v>
      </c>
      <c r="H36" s="449">
        <v>200398</v>
      </c>
      <c r="I36" s="449"/>
      <c r="J36" s="450">
        <f t="shared" si="10"/>
        <v>0</v>
      </c>
      <c r="K36" s="449"/>
      <c r="L36" s="450">
        <f t="shared" si="11"/>
        <v>0</v>
      </c>
      <c r="M36" s="449">
        <v>1782025</v>
      </c>
      <c r="N36" s="450">
        <f t="shared" si="12"/>
        <v>356405</v>
      </c>
      <c r="O36" s="452">
        <f t="shared" si="8"/>
        <v>356405</v>
      </c>
      <c r="P36" s="452">
        <f t="shared" si="9"/>
        <v>658330</v>
      </c>
    </row>
    <row r="37" spans="1:16" ht="15.75" hidden="1" thickBot="1">
      <c r="A37" s="453"/>
      <c r="B37" s="454">
        <f>SUM(B25:B36)</f>
        <v>2503213</v>
      </c>
      <c r="C37" s="455">
        <f>SUM(C25:C36)</f>
        <v>49562905</v>
      </c>
      <c r="D37" s="456">
        <f>SUM(D25:D36)</f>
        <v>9912581</v>
      </c>
      <c r="E37" s="507"/>
      <c r="G37" s="453"/>
      <c r="H37" s="454">
        <f t="shared" ref="H37:O37" si="14">SUM(H25:H36)</f>
        <v>4433727</v>
      </c>
      <c r="I37" s="454">
        <f t="shared" si="14"/>
        <v>0</v>
      </c>
      <c r="J37" s="455">
        <f t="shared" si="14"/>
        <v>0</v>
      </c>
      <c r="K37" s="454">
        <f t="shared" si="14"/>
        <v>503940</v>
      </c>
      <c r="L37" s="455">
        <f t="shared" si="14"/>
        <v>100788</v>
      </c>
      <c r="M37" s="454">
        <f t="shared" si="14"/>
        <v>20125530</v>
      </c>
      <c r="N37" s="455">
        <f t="shared" si="14"/>
        <v>4025106</v>
      </c>
      <c r="O37" s="500">
        <f t="shared" si="14"/>
        <v>4125894</v>
      </c>
      <c r="P37" s="457">
        <f>SUM(P25:P36)</f>
        <v>5786687</v>
      </c>
    </row>
    <row r="38" spans="1:16" hidden="1"/>
    <row r="39" spans="1:16" ht="18.75" hidden="1">
      <c r="A39" t="s">
        <v>683</v>
      </c>
      <c r="B39" s="458">
        <f>+B37+C37</f>
        <v>52066118</v>
      </c>
      <c r="G39" t="s">
        <v>684</v>
      </c>
      <c r="H39" s="324">
        <f>+H37+K37+M37</f>
        <v>25063197</v>
      </c>
      <c r="M39" s="459"/>
    </row>
    <row r="40" spans="1:16" hidden="1">
      <c r="K40" s="324">
        <f>+K37+F29</f>
        <v>548100</v>
      </c>
    </row>
    <row r="41" spans="1:16" hidden="1"/>
    <row r="42" spans="1:16" hidden="1">
      <c r="G42" s="324">
        <f>+B39-H39</f>
        <v>27002921</v>
      </c>
    </row>
    <row r="43" spans="1:16" hidden="1"/>
    <row r="44" spans="1:16" hidden="1"/>
    <row r="45" spans="1:16" hidden="1"/>
    <row r="46" spans="1:16" hidden="1"/>
    <row r="47" spans="1:16" hidden="1"/>
    <row r="48" spans="1:16" ht="15.75" hidden="1" thickBot="1">
      <c r="A48" s="435" t="s">
        <v>662</v>
      </c>
    </row>
    <row r="49" spans="1:16" ht="13.5" hidden="1" thickBot="1">
      <c r="A49" s="502" t="s">
        <v>1013</v>
      </c>
      <c r="B49" s="503"/>
      <c r="C49" s="501" t="s">
        <v>663</v>
      </c>
      <c r="D49" s="503"/>
      <c r="E49" s="503"/>
      <c r="F49" s="503"/>
      <c r="G49" s="501" t="s">
        <v>664</v>
      </c>
      <c r="H49" s="503"/>
      <c r="I49" s="587" t="s">
        <v>686</v>
      </c>
      <c r="J49" s="588"/>
      <c r="K49" s="587" t="s">
        <v>938</v>
      </c>
      <c r="L49" s="588"/>
      <c r="M49" s="587" t="s">
        <v>687</v>
      </c>
      <c r="N49" s="588"/>
      <c r="O49" s="503"/>
      <c r="P49" s="504" t="s">
        <v>665</v>
      </c>
    </row>
    <row r="50" spans="1:16" ht="15.75" hidden="1" thickBot="1">
      <c r="A50" s="436" t="s">
        <v>666</v>
      </c>
      <c r="B50" s="437" t="s">
        <v>667</v>
      </c>
      <c r="C50" s="437" t="s">
        <v>668</v>
      </c>
      <c r="D50" s="438" t="s">
        <v>669</v>
      </c>
      <c r="E50" s="506"/>
      <c r="G50" s="436" t="s">
        <v>666</v>
      </c>
      <c r="H50" s="437" t="s">
        <v>670</v>
      </c>
      <c r="I50" s="437" t="s">
        <v>685</v>
      </c>
      <c r="J50" s="437" t="s">
        <v>669</v>
      </c>
      <c r="K50" s="437" t="s">
        <v>617</v>
      </c>
      <c r="L50" s="437" t="s">
        <v>669</v>
      </c>
      <c r="M50" s="437" t="s">
        <v>617</v>
      </c>
      <c r="N50" s="437" t="s">
        <v>669</v>
      </c>
      <c r="O50" s="499" t="s">
        <v>939</v>
      </c>
      <c r="P50" s="439" t="s">
        <v>669</v>
      </c>
    </row>
    <row r="51" spans="1:16" hidden="1">
      <c r="A51" s="320" t="s">
        <v>671</v>
      </c>
      <c r="B51" s="440">
        <v>830000</v>
      </c>
      <c r="C51" s="441">
        <v>3458640</v>
      </c>
      <c r="D51" s="442">
        <f>+C51*0.2</f>
        <v>691728</v>
      </c>
      <c r="E51" s="507">
        <f>+B51+C51</f>
        <v>4288640</v>
      </c>
      <c r="G51" s="443" t="s">
        <v>671</v>
      </c>
      <c r="H51" s="444">
        <v>204054</v>
      </c>
      <c r="I51" s="444"/>
      <c r="J51" s="445">
        <f>+I51*0.2</f>
        <v>0</v>
      </c>
      <c r="K51" s="444">
        <v>1799370</v>
      </c>
      <c r="L51" s="445">
        <f>+K51*0.2</f>
        <v>359874</v>
      </c>
      <c r="M51" s="444"/>
      <c r="N51" s="445">
        <f>+M51*0.2</f>
        <v>0</v>
      </c>
      <c r="O51" s="442">
        <f>+J51+L51+N51</f>
        <v>359874</v>
      </c>
      <c r="P51" s="442">
        <f>+D51-O51</f>
        <v>331854</v>
      </c>
    </row>
    <row r="52" spans="1:16" hidden="1">
      <c r="A52" s="304" t="s">
        <v>672</v>
      </c>
      <c r="B52" s="322">
        <v>245000</v>
      </c>
      <c r="C52" s="446">
        <v>4031815</v>
      </c>
      <c r="D52" s="447">
        <f t="shared" ref="D52:D62" si="15">+C52*0.2</f>
        <v>806363</v>
      </c>
      <c r="E52" s="507">
        <f>+E51+B52+C52</f>
        <v>8565455</v>
      </c>
      <c r="G52" s="448" t="s">
        <v>672</v>
      </c>
      <c r="H52" s="322">
        <v>137659</v>
      </c>
      <c r="I52" s="322"/>
      <c r="J52" s="446">
        <f>+I52*0.2</f>
        <v>0</v>
      </c>
      <c r="K52" s="322">
        <v>935000</v>
      </c>
      <c r="L52" s="446">
        <f>+K52*0.2</f>
        <v>187000</v>
      </c>
      <c r="M52" s="322"/>
      <c r="N52" s="446">
        <f>+M52*0.2</f>
        <v>0</v>
      </c>
      <c r="O52" s="447">
        <f t="shared" ref="O52:O62" si="16">+J52+L52+N52</f>
        <v>187000</v>
      </c>
      <c r="P52" s="447">
        <f t="shared" ref="P52:P62" si="17">+D52-O52</f>
        <v>619363</v>
      </c>
    </row>
    <row r="53" spans="1:16" hidden="1">
      <c r="A53" s="304" t="s">
        <v>673</v>
      </c>
      <c r="B53" s="322">
        <v>340000</v>
      </c>
      <c r="C53" s="446">
        <v>4836530</v>
      </c>
      <c r="D53" s="447">
        <f t="shared" si="15"/>
        <v>967306</v>
      </c>
      <c r="E53" s="507">
        <f t="shared" ref="E53:E62" si="18">+E52+B53+C53</f>
        <v>13741985</v>
      </c>
      <c r="G53" s="448" t="s">
        <v>673</v>
      </c>
      <c r="H53" s="322">
        <v>150748</v>
      </c>
      <c r="I53" s="322"/>
      <c r="J53" s="446">
        <f t="shared" ref="J53:J62" si="19">+I53*0.2</f>
        <v>0</v>
      </c>
      <c r="K53" s="322">
        <v>1894760</v>
      </c>
      <c r="L53" s="446">
        <f t="shared" ref="L53:L62" si="20">+K53*0.2</f>
        <v>378952</v>
      </c>
      <c r="M53" s="322">
        <v>19250</v>
      </c>
      <c r="N53" s="446">
        <f t="shared" ref="N53:N62" si="21">+M53*0.2</f>
        <v>3850</v>
      </c>
      <c r="O53" s="447">
        <f t="shared" si="16"/>
        <v>382802</v>
      </c>
      <c r="P53" s="447">
        <f t="shared" si="17"/>
        <v>584504</v>
      </c>
    </row>
    <row r="54" spans="1:16" hidden="1">
      <c r="A54" s="304" t="s">
        <v>674</v>
      </c>
      <c r="B54" s="322">
        <v>280000</v>
      </c>
      <c r="C54" s="446">
        <v>4010770</v>
      </c>
      <c r="D54" s="447">
        <f t="shared" si="15"/>
        <v>802154</v>
      </c>
      <c r="E54" s="507">
        <f t="shared" si="18"/>
        <v>18032755</v>
      </c>
      <c r="G54" s="448" t="s">
        <v>674</v>
      </c>
      <c r="H54" s="322">
        <v>251182</v>
      </c>
      <c r="I54" s="322"/>
      <c r="J54" s="446">
        <f t="shared" si="19"/>
        <v>0</v>
      </c>
      <c r="K54" s="322">
        <v>811055</v>
      </c>
      <c r="L54" s="446">
        <f t="shared" si="20"/>
        <v>162211</v>
      </c>
      <c r="M54" s="322">
        <v>149865</v>
      </c>
      <c r="N54" s="446">
        <f t="shared" si="21"/>
        <v>29973</v>
      </c>
      <c r="O54" s="447">
        <f t="shared" si="16"/>
        <v>192184</v>
      </c>
      <c r="P54" s="447">
        <f t="shared" si="17"/>
        <v>609970</v>
      </c>
    </row>
    <row r="55" spans="1:16" hidden="1">
      <c r="A55" s="304" t="s">
        <v>675</v>
      </c>
      <c r="B55" s="322">
        <v>295000</v>
      </c>
      <c r="C55" s="446">
        <v>5075965</v>
      </c>
      <c r="D55" s="447">
        <f t="shared" si="15"/>
        <v>1015193</v>
      </c>
      <c r="E55" s="507">
        <f t="shared" si="18"/>
        <v>23403720</v>
      </c>
      <c r="G55" s="448" t="s">
        <v>675</v>
      </c>
      <c r="H55" s="322">
        <v>105049</v>
      </c>
      <c r="I55" s="322"/>
      <c r="J55" s="446">
        <f t="shared" si="19"/>
        <v>0</v>
      </c>
      <c r="K55" s="322">
        <v>2229075</v>
      </c>
      <c r="L55" s="446">
        <f t="shared" si="20"/>
        <v>445815</v>
      </c>
      <c r="M55" s="322">
        <v>72580</v>
      </c>
      <c r="N55" s="446">
        <f t="shared" si="21"/>
        <v>14516</v>
      </c>
      <c r="O55" s="447">
        <f t="shared" si="16"/>
        <v>460331</v>
      </c>
      <c r="P55" s="447">
        <f t="shared" si="17"/>
        <v>554862</v>
      </c>
    </row>
    <row r="56" spans="1:16" hidden="1">
      <c r="A56" s="304" t="s">
        <v>676</v>
      </c>
      <c r="B56" s="322">
        <v>240000</v>
      </c>
      <c r="C56" s="446">
        <v>4643375</v>
      </c>
      <c r="D56" s="447">
        <f t="shared" si="15"/>
        <v>928675</v>
      </c>
      <c r="E56" s="507">
        <f t="shared" si="18"/>
        <v>28287095</v>
      </c>
      <c r="G56" s="448" t="s">
        <v>676</v>
      </c>
      <c r="H56" s="322">
        <v>201149</v>
      </c>
      <c r="I56" s="322"/>
      <c r="J56" s="446">
        <f t="shared" si="19"/>
        <v>0</v>
      </c>
      <c r="K56" s="322">
        <v>1463140</v>
      </c>
      <c r="L56" s="446">
        <f t="shared" si="20"/>
        <v>292628</v>
      </c>
      <c r="M56" s="322">
        <v>167935</v>
      </c>
      <c r="N56" s="446">
        <f t="shared" si="21"/>
        <v>33587</v>
      </c>
      <c r="O56" s="447">
        <f t="shared" si="16"/>
        <v>326215</v>
      </c>
      <c r="P56" s="447">
        <f t="shared" si="17"/>
        <v>602460</v>
      </c>
    </row>
    <row r="57" spans="1:16" hidden="1">
      <c r="A57" s="304" t="s">
        <v>677</v>
      </c>
      <c r="B57" s="322">
        <v>0</v>
      </c>
      <c r="C57" s="446">
        <v>4994165</v>
      </c>
      <c r="D57" s="447">
        <f t="shared" si="15"/>
        <v>998833</v>
      </c>
      <c r="E57" s="507">
        <f t="shared" si="18"/>
        <v>33281260</v>
      </c>
      <c r="G57" s="448" t="s">
        <v>677</v>
      </c>
      <c r="H57" s="322">
        <v>641258</v>
      </c>
      <c r="I57" s="322"/>
      <c r="J57" s="446">
        <f t="shared" si="19"/>
        <v>0</v>
      </c>
      <c r="K57" s="322">
        <v>1915785</v>
      </c>
      <c r="L57" s="446">
        <f t="shared" si="20"/>
        <v>383157</v>
      </c>
      <c r="M57" s="322">
        <v>0</v>
      </c>
      <c r="N57" s="446">
        <f t="shared" si="21"/>
        <v>0</v>
      </c>
      <c r="O57" s="447">
        <f t="shared" si="16"/>
        <v>383157</v>
      </c>
      <c r="P57" s="447">
        <f t="shared" si="17"/>
        <v>615676</v>
      </c>
    </row>
    <row r="58" spans="1:16" hidden="1">
      <c r="A58" s="304" t="s">
        <v>678</v>
      </c>
      <c r="B58" s="322">
        <v>710000</v>
      </c>
      <c r="C58" s="446">
        <v>4093430</v>
      </c>
      <c r="D58" s="447">
        <f t="shared" si="15"/>
        <v>818686</v>
      </c>
      <c r="E58" s="507">
        <f t="shared" si="18"/>
        <v>38084690</v>
      </c>
      <c r="G58" s="448" t="s">
        <v>678</v>
      </c>
      <c r="H58" s="322">
        <v>167735</v>
      </c>
      <c r="I58" s="322"/>
      <c r="J58" s="446">
        <f t="shared" si="19"/>
        <v>0</v>
      </c>
      <c r="K58" s="322">
        <v>1558100</v>
      </c>
      <c r="L58" s="446">
        <f t="shared" si="20"/>
        <v>311620</v>
      </c>
      <c r="M58" s="322">
        <v>19165</v>
      </c>
      <c r="N58" s="446">
        <f t="shared" si="21"/>
        <v>3833</v>
      </c>
      <c r="O58" s="447">
        <f t="shared" si="16"/>
        <v>315453</v>
      </c>
      <c r="P58" s="447">
        <f t="shared" si="17"/>
        <v>503233</v>
      </c>
    </row>
    <row r="59" spans="1:16" hidden="1">
      <c r="A59" s="304" t="s">
        <v>679</v>
      </c>
      <c r="B59" s="322">
        <v>0</v>
      </c>
      <c r="C59" s="446">
        <v>4499290</v>
      </c>
      <c r="D59" s="447">
        <f t="shared" si="15"/>
        <v>899858</v>
      </c>
      <c r="E59" s="507">
        <f t="shared" si="18"/>
        <v>42583980</v>
      </c>
      <c r="G59" s="448" t="s">
        <v>679</v>
      </c>
      <c r="H59" s="322">
        <v>106472</v>
      </c>
      <c r="I59" s="322"/>
      <c r="J59" s="446">
        <f t="shared" si="19"/>
        <v>0</v>
      </c>
      <c r="K59" s="322">
        <v>1304205</v>
      </c>
      <c r="L59" s="446">
        <f t="shared" si="20"/>
        <v>260841</v>
      </c>
      <c r="M59" s="322">
        <v>0</v>
      </c>
      <c r="N59" s="446">
        <f t="shared" si="21"/>
        <v>0</v>
      </c>
      <c r="O59" s="447">
        <f t="shared" si="16"/>
        <v>260841</v>
      </c>
      <c r="P59" s="447">
        <f t="shared" si="17"/>
        <v>639017</v>
      </c>
    </row>
    <row r="60" spans="1:16" hidden="1">
      <c r="A60" s="304" t="s">
        <v>680</v>
      </c>
      <c r="B60" s="322">
        <v>0</v>
      </c>
      <c r="C60" s="446">
        <v>5255945</v>
      </c>
      <c r="D60" s="447">
        <f t="shared" si="15"/>
        <v>1051189</v>
      </c>
      <c r="E60" s="507">
        <f t="shared" si="18"/>
        <v>47839925</v>
      </c>
      <c r="G60" s="448" t="s">
        <v>680</v>
      </c>
      <c r="H60" s="322">
        <v>372566</v>
      </c>
      <c r="I60" s="322"/>
      <c r="J60" s="446">
        <f t="shared" si="19"/>
        <v>0</v>
      </c>
      <c r="K60" s="322">
        <v>2117615</v>
      </c>
      <c r="L60" s="446">
        <f t="shared" si="20"/>
        <v>423523</v>
      </c>
      <c r="M60" s="322">
        <v>0</v>
      </c>
      <c r="N60" s="446">
        <f t="shared" si="21"/>
        <v>0</v>
      </c>
      <c r="O60" s="447">
        <f t="shared" si="16"/>
        <v>423523</v>
      </c>
      <c r="P60" s="447">
        <f t="shared" si="17"/>
        <v>627666</v>
      </c>
    </row>
    <row r="61" spans="1:16" hidden="1">
      <c r="A61" s="304" t="s">
        <v>681</v>
      </c>
      <c r="B61" s="322">
        <v>0</v>
      </c>
      <c r="C61" s="446">
        <v>5132895</v>
      </c>
      <c r="D61" s="447">
        <f t="shared" si="15"/>
        <v>1026579</v>
      </c>
      <c r="E61" s="507">
        <f t="shared" si="18"/>
        <v>52972820</v>
      </c>
      <c r="G61" s="448" t="s">
        <v>681</v>
      </c>
      <c r="H61" s="322">
        <v>1392159</v>
      </c>
      <c r="I61" s="322">
        <v>58605</v>
      </c>
      <c r="J61" s="446">
        <f t="shared" si="19"/>
        <v>11721</v>
      </c>
      <c r="K61" s="322">
        <v>1664755</v>
      </c>
      <c r="L61" s="446">
        <f t="shared" si="20"/>
        <v>332951</v>
      </c>
      <c r="M61" s="322">
        <v>0</v>
      </c>
      <c r="N61" s="446">
        <f t="shared" si="21"/>
        <v>0</v>
      </c>
      <c r="O61" s="447">
        <f t="shared" si="16"/>
        <v>344672</v>
      </c>
      <c r="P61" s="447">
        <f t="shared" si="17"/>
        <v>681907</v>
      </c>
    </row>
    <row r="62" spans="1:16" ht="13.5" hidden="1" thickBot="1">
      <c r="A62" s="306" t="s">
        <v>682</v>
      </c>
      <c r="B62" s="449">
        <v>0</v>
      </c>
      <c r="C62" s="450">
        <v>4095920</v>
      </c>
      <c r="D62" s="451">
        <f t="shared" si="15"/>
        <v>819184</v>
      </c>
      <c r="E62" s="507">
        <f t="shared" si="18"/>
        <v>57068740</v>
      </c>
      <c r="G62" s="460" t="s">
        <v>682</v>
      </c>
      <c r="H62" s="449">
        <v>20859</v>
      </c>
      <c r="I62" s="449">
        <v>0</v>
      </c>
      <c r="J62" s="450">
        <f t="shared" si="19"/>
        <v>0</v>
      </c>
      <c r="K62" s="449">
        <v>981915</v>
      </c>
      <c r="L62" s="450">
        <f t="shared" si="20"/>
        <v>196383</v>
      </c>
      <c r="M62" s="449">
        <v>51065</v>
      </c>
      <c r="N62" s="450">
        <f t="shared" si="21"/>
        <v>10213</v>
      </c>
      <c r="O62" s="452">
        <f t="shared" si="16"/>
        <v>206596</v>
      </c>
      <c r="P62" s="452">
        <f t="shared" si="17"/>
        <v>612588</v>
      </c>
    </row>
    <row r="63" spans="1:16" ht="13.5" hidden="1" thickBot="1">
      <c r="A63" s="453"/>
      <c r="B63" s="454">
        <f>SUM(B51:B62)</f>
        <v>2940000</v>
      </c>
      <c r="C63" s="455">
        <f>SUM(C51:C62)</f>
        <v>54128740</v>
      </c>
      <c r="D63" s="456">
        <f>SUM(D51:D62)</f>
        <v>10825748</v>
      </c>
      <c r="E63" s="507"/>
      <c r="G63" s="453"/>
      <c r="H63" s="454">
        <f>SUM(H51:H62)</f>
        <v>3750890</v>
      </c>
      <c r="I63" s="454">
        <f t="shared" ref="I63:P63" si="22">SUM(I51:I62)</f>
        <v>58605</v>
      </c>
      <c r="J63" s="454">
        <f t="shared" si="22"/>
        <v>11721</v>
      </c>
      <c r="K63" s="454">
        <f t="shared" si="22"/>
        <v>18674775</v>
      </c>
      <c r="L63" s="454">
        <f t="shared" si="22"/>
        <v>3734955</v>
      </c>
      <c r="M63" s="454">
        <f t="shared" si="22"/>
        <v>479860</v>
      </c>
      <c r="N63" s="454">
        <f t="shared" si="22"/>
        <v>95972</v>
      </c>
      <c r="O63" s="454">
        <f t="shared" si="22"/>
        <v>3842648</v>
      </c>
      <c r="P63" s="454">
        <f t="shared" si="22"/>
        <v>6983100</v>
      </c>
    </row>
    <row r="64" spans="1:16" hidden="1"/>
    <row r="65" spans="1:16" ht="18.75" hidden="1">
      <c r="A65" t="s">
        <v>683</v>
      </c>
      <c r="B65" s="458">
        <f>+B63+C63</f>
        <v>57068740</v>
      </c>
      <c r="G65" t="s">
        <v>684</v>
      </c>
      <c r="H65" s="324">
        <f>+H63+K63+M63+I63</f>
        <v>22964130</v>
      </c>
      <c r="I65" s="324">
        <f>+H63+I63+K63+M63</f>
        <v>22964130</v>
      </c>
      <c r="M65" s="459"/>
    </row>
    <row r="66" spans="1:16" hidden="1">
      <c r="K66" s="324"/>
    </row>
    <row r="67" spans="1:16" hidden="1"/>
    <row r="68" spans="1:16" hidden="1">
      <c r="G68" s="324">
        <f>+B65-H65</f>
        <v>34104610</v>
      </c>
    </row>
    <row r="69" spans="1:16" hidden="1"/>
    <row r="70" spans="1:16" ht="15.75" thickBot="1">
      <c r="A70" s="435" t="s">
        <v>662</v>
      </c>
    </row>
    <row r="71" spans="1:16" ht="13.5" thickBot="1">
      <c r="A71" s="502" t="s">
        <v>1032</v>
      </c>
      <c r="B71" s="503"/>
      <c r="C71" s="501" t="s">
        <v>663</v>
      </c>
      <c r="D71" s="503"/>
      <c r="E71" s="503"/>
      <c r="F71" s="503"/>
      <c r="G71" s="501" t="s">
        <v>664</v>
      </c>
      <c r="H71" s="503"/>
      <c r="I71" s="587" t="s">
        <v>686</v>
      </c>
      <c r="J71" s="588"/>
      <c r="K71" s="587" t="s">
        <v>938</v>
      </c>
      <c r="L71" s="588"/>
      <c r="M71" s="587" t="s">
        <v>687</v>
      </c>
      <c r="N71" s="588"/>
      <c r="O71" s="503"/>
      <c r="P71" s="504" t="s">
        <v>665</v>
      </c>
    </row>
    <row r="72" spans="1:16" ht="15.75" thickBot="1">
      <c r="A72" s="436" t="s">
        <v>666</v>
      </c>
      <c r="B72" s="437" t="s">
        <v>667</v>
      </c>
      <c r="C72" s="437" t="s">
        <v>668</v>
      </c>
      <c r="D72" s="438" t="s">
        <v>669</v>
      </c>
      <c r="E72" s="506"/>
      <c r="G72" s="436" t="s">
        <v>666</v>
      </c>
      <c r="H72" s="437" t="s">
        <v>670</v>
      </c>
      <c r="I72" s="437" t="s">
        <v>685</v>
      </c>
      <c r="J72" s="437" t="s">
        <v>669</v>
      </c>
      <c r="K72" s="437" t="s">
        <v>617</v>
      </c>
      <c r="L72" s="437" t="s">
        <v>669</v>
      </c>
      <c r="M72" s="437" t="s">
        <v>617</v>
      </c>
      <c r="N72" s="437" t="s">
        <v>669</v>
      </c>
      <c r="O72" s="499" t="s">
        <v>939</v>
      </c>
      <c r="P72" s="439" t="s">
        <v>669</v>
      </c>
    </row>
    <row r="73" spans="1:16">
      <c r="A73" s="320" t="s">
        <v>671</v>
      </c>
      <c r="B73" s="440">
        <v>0</v>
      </c>
      <c r="C73" s="441">
        <v>3798210</v>
      </c>
      <c r="D73" s="442">
        <f>+C73*0.2</f>
        <v>759642</v>
      </c>
      <c r="E73" s="507">
        <f>+B73+C73</f>
        <v>3798210</v>
      </c>
      <c r="G73" s="443" t="s">
        <v>671</v>
      </c>
      <c r="H73" s="444">
        <v>113228</v>
      </c>
      <c r="I73" s="444"/>
      <c r="J73" s="445">
        <f>+I73*0.2</f>
        <v>0</v>
      </c>
      <c r="K73" s="444"/>
      <c r="L73" s="445">
        <f>+K73*0.2</f>
        <v>0</v>
      </c>
      <c r="M73" s="444">
        <v>1087995</v>
      </c>
      <c r="N73" s="445">
        <f>+M73*0.2</f>
        <v>217599</v>
      </c>
      <c r="O73" s="442">
        <f>+J73+L73+N73</f>
        <v>217599</v>
      </c>
      <c r="P73" s="442">
        <f>+D73-O73</f>
        <v>542043</v>
      </c>
    </row>
    <row r="74" spans="1:16">
      <c r="A74" s="304" t="s">
        <v>672</v>
      </c>
      <c r="B74" s="322">
        <v>0</v>
      </c>
      <c r="C74" s="446">
        <v>4298635</v>
      </c>
      <c r="D74" s="447">
        <f t="shared" ref="D74:D84" si="23">+C74*0.2</f>
        <v>859727</v>
      </c>
      <c r="E74" s="507">
        <f>+E73+B74+C74</f>
        <v>8096845</v>
      </c>
      <c r="G74" s="448" t="s">
        <v>672</v>
      </c>
      <c r="H74" s="322">
        <v>146437</v>
      </c>
      <c r="I74" s="322"/>
      <c r="J74" s="446">
        <f>+I74*0.2</f>
        <v>0</v>
      </c>
      <c r="K74" s="322">
        <v>14205</v>
      </c>
      <c r="L74" s="446">
        <f>+K74*0.2</f>
        <v>2841</v>
      </c>
      <c r="M74" s="322">
        <v>1240845</v>
      </c>
      <c r="N74" s="446">
        <f>+M74*0.2</f>
        <v>248169</v>
      </c>
      <c r="O74" s="447">
        <f t="shared" ref="O74:O84" si="24">+J74+L74+N74</f>
        <v>251010</v>
      </c>
      <c r="P74" s="447">
        <f t="shared" ref="P74:P84" si="25">+D74-O74</f>
        <v>608717</v>
      </c>
    </row>
    <row r="75" spans="1:16">
      <c r="A75" s="304" t="s">
        <v>673</v>
      </c>
      <c r="B75" s="322">
        <v>0</v>
      </c>
      <c r="C75" s="446">
        <v>4744415</v>
      </c>
      <c r="D75" s="447">
        <f t="shared" si="23"/>
        <v>948883</v>
      </c>
      <c r="E75" s="507">
        <f t="shared" ref="E75:E84" si="26">+E74+B75+C75</f>
        <v>12841260</v>
      </c>
      <c r="G75" s="448" t="s">
        <v>673</v>
      </c>
      <c r="H75" s="322">
        <v>193726</v>
      </c>
      <c r="I75" s="322"/>
      <c r="J75" s="446">
        <f t="shared" ref="J75:J84" si="27">+I75*0.2</f>
        <v>0</v>
      </c>
      <c r="K75" s="322">
        <v>3348300</v>
      </c>
      <c r="L75" s="446">
        <f t="shared" ref="L75:L84" si="28">+K75*0.2</f>
        <v>669660</v>
      </c>
      <c r="M75" s="322">
        <v>382280</v>
      </c>
      <c r="N75" s="446">
        <f t="shared" ref="N75:N84" si="29">+M75*0.2</f>
        <v>76456</v>
      </c>
      <c r="O75" s="447">
        <f t="shared" si="24"/>
        <v>746116</v>
      </c>
      <c r="P75" s="447">
        <f t="shared" si="25"/>
        <v>202767</v>
      </c>
    </row>
    <row r="76" spans="1:16">
      <c r="A76" s="304" t="s">
        <v>674</v>
      </c>
      <c r="B76" s="322">
        <v>0</v>
      </c>
      <c r="C76" s="446">
        <v>4341995</v>
      </c>
      <c r="D76" s="447">
        <f t="shared" si="23"/>
        <v>868399</v>
      </c>
      <c r="E76" s="507">
        <f t="shared" si="26"/>
        <v>17183255</v>
      </c>
      <c r="G76" s="448" t="s">
        <v>674</v>
      </c>
      <c r="H76" s="322">
        <v>454804</v>
      </c>
      <c r="I76" s="322"/>
      <c r="J76" s="446">
        <f t="shared" si="27"/>
        <v>0</v>
      </c>
      <c r="K76" s="322">
        <v>0</v>
      </c>
      <c r="L76" s="446">
        <f t="shared" si="28"/>
        <v>0</v>
      </c>
      <c r="M76" s="322">
        <v>1775620</v>
      </c>
      <c r="N76" s="446">
        <f t="shared" si="29"/>
        <v>355124</v>
      </c>
      <c r="O76" s="447">
        <f t="shared" si="24"/>
        <v>355124</v>
      </c>
      <c r="P76" s="447">
        <f t="shared" si="25"/>
        <v>513275</v>
      </c>
    </row>
    <row r="77" spans="1:16">
      <c r="A77" s="304" t="s">
        <v>675</v>
      </c>
      <c r="B77" s="322">
        <v>0</v>
      </c>
      <c r="C77" s="446">
        <v>5147265</v>
      </c>
      <c r="D77" s="447">
        <f t="shared" si="23"/>
        <v>1029453</v>
      </c>
      <c r="E77" s="507">
        <f t="shared" si="26"/>
        <v>22330520</v>
      </c>
      <c r="G77" s="448" t="s">
        <v>675</v>
      </c>
      <c r="H77" s="322">
        <v>236199</v>
      </c>
      <c r="I77" s="322"/>
      <c r="J77" s="446">
        <f t="shared" si="27"/>
        <v>0</v>
      </c>
      <c r="K77" s="322">
        <v>32250</v>
      </c>
      <c r="L77" s="446">
        <f t="shared" si="28"/>
        <v>6450</v>
      </c>
      <c r="M77" s="322">
        <v>1690785</v>
      </c>
      <c r="N77" s="446">
        <f t="shared" si="29"/>
        <v>338157</v>
      </c>
      <c r="O77" s="447">
        <f t="shared" si="24"/>
        <v>344607</v>
      </c>
      <c r="P77" s="447">
        <f t="shared" si="25"/>
        <v>684846</v>
      </c>
    </row>
    <row r="78" spans="1:16">
      <c r="A78" s="304" t="s">
        <v>676</v>
      </c>
      <c r="B78" s="322">
        <v>15000</v>
      </c>
      <c r="C78" s="446">
        <v>4648035</v>
      </c>
      <c r="D78" s="447">
        <f t="shared" si="23"/>
        <v>929607</v>
      </c>
      <c r="E78" s="507">
        <f t="shared" si="26"/>
        <v>26993555</v>
      </c>
      <c r="G78" s="448" t="s">
        <v>676</v>
      </c>
      <c r="H78" s="322">
        <v>303308</v>
      </c>
      <c r="I78" s="322"/>
      <c r="J78" s="446">
        <f t="shared" si="27"/>
        <v>0</v>
      </c>
      <c r="K78" s="322">
        <v>64255</v>
      </c>
      <c r="L78" s="446">
        <f t="shared" si="28"/>
        <v>12851</v>
      </c>
      <c r="M78" s="322">
        <v>1678535</v>
      </c>
      <c r="N78" s="446">
        <f t="shared" si="29"/>
        <v>335707</v>
      </c>
      <c r="O78" s="447">
        <f t="shared" si="24"/>
        <v>348558</v>
      </c>
      <c r="P78" s="447">
        <f t="shared" si="25"/>
        <v>581049</v>
      </c>
    </row>
    <row r="79" spans="1:16">
      <c r="A79" s="304" t="s">
        <v>677</v>
      </c>
      <c r="B79" s="322">
        <v>0</v>
      </c>
      <c r="C79" s="446">
        <v>5009070</v>
      </c>
      <c r="D79" s="447">
        <f t="shared" si="23"/>
        <v>1001814</v>
      </c>
      <c r="E79" s="507">
        <f t="shared" si="26"/>
        <v>32002625</v>
      </c>
      <c r="G79" s="448" t="s">
        <v>677</v>
      </c>
      <c r="H79" s="322">
        <v>265363</v>
      </c>
      <c r="I79" s="322"/>
      <c r="J79" s="446">
        <f t="shared" si="27"/>
        <v>0</v>
      </c>
      <c r="K79" s="322">
        <v>1015165</v>
      </c>
      <c r="L79" s="446">
        <f t="shared" si="28"/>
        <v>203033</v>
      </c>
      <c r="M79" s="322">
        <v>1113195</v>
      </c>
      <c r="N79" s="446">
        <f t="shared" si="29"/>
        <v>222639</v>
      </c>
      <c r="O79" s="447">
        <f t="shared" si="24"/>
        <v>425672</v>
      </c>
      <c r="P79" s="447">
        <f t="shared" si="25"/>
        <v>576142</v>
      </c>
    </row>
    <row r="80" spans="1:16">
      <c r="A80" s="304" t="s">
        <v>678</v>
      </c>
      <c r="B80" s="322">
        <v>0</v>
      </c>
      <c r="C80" s="446">
        <v>5220610</v>
      </c>
      <c r="D80" s="447">
        <f t="shared" si="23"/>
        <v>1044122</v>
      </c>
      <c r="E80" s="507">
        <f t="shared" si="26"/>
        <v>37223235</v>
      </c>
      <c r="G80" s="448" t="s">
        <v>678</v>
      </c>
      <c r="H80" s="322">
        <v>94484</v>
      </c>
      <c r="I80" s="322"/>
      <c r="J80" s="446">
        <f t="shared" si="27"/>
        <v>0</v>
      </c>
      <c r="K80" s="322">
        <v>0</v>
      </c>
      <c r="L80" s="446">
        <f t="shared" si="28"/>
        <v>0</v>
      </c>
      <c r="M80" s="322">
        <v>1834310</v>
      </c>
      <c r="N80" s="446">
        <f t="shared" si="29"/>
        <v>366862</v>
      </c>
      <c r="O80" s="447">
        <f t="shared" si="24"/>
        <v>366862</v>
      </c>
      <c r="P80" s="447">
        <f t="shared" si="25"/>
        <v>677260</v>
      </c>
    </row>
    <row r="81" spans="1:16">
      <c r="A81" s="304" t="s">
        <v>679</v>
      </c>
      <c r="B81" s="322">
        <v>60000</v>
      </c>
      <c r="C81" s="446">
        <v>4986420</v>
      </c>
      <c r="D81" s="447">
        <f t="shared" si="23"/>
        <v>997284</v>
      </c>
      <c r="E81" s="507">
        <f t="shared" si="26"/>
        <v>42269655</v>
      </c>
      <c r="G81" s="448" t="s">
        <v>679</v>
      </c>
      <c r="H81" s="322">
        <v>113711</v>
      </c>
      <c r="I81" s="322"/>
      <c r="J81" s="446">
        <f t="shared" si="27"/>
        <v>0</v>
      </c>
      <c r="K81" s="322"/>
      <c r="L81" s="446">
        <f t="shared" si="28"/>
        <v>0</v>
      </c>
      <c r="M81" s="322">
        <v>2094355</v>
      </c>
      <c r="N81" s="446">
        <f t="shared" si="29"/>
        <v>418871</v>
      </c>
      <c r="O81" s="447">
        <f t="shared" si="24"/>
        <v>418871</v>
      </c>
      <c r="P81" s="447">
        <f t="shared" si="25"/>
        <v>578413</v>
      </c>
    </row>
    <row r="82" spans="1:16">
      <c r="A82" s="304" t="s">
        <v>680</v>
      </c>
      <c r="B82" s="322">
        <v>0</v>
      </c>
      <c r="C82" s="446">
        <v>5146015</v>
      </c>
      <c r="D82" s="447">
        <f t="shared" si="23"/>
        <v>1029203</v>
      </c>
      <c r="E82" s="507">
        <f t="shared" si="26"/>
        <v>47415670</v>
      </c>
      <c r="G82" s="448" t="s">
        <v>680</v>
      </c>
      <c r="H82" s="322">
        <v>1418716</v>
      </c>
      <c r="I82" s="322"/>
      <c r="J82" s="446">
        <f t="shared" si="27"/>
        <v>0</v>
      </c>
      <c r="K82" s="322">
        <v>252580</v>
      </c>
      <c r="L82" s="446">
        <f t="shared" si="28"/>
        <v>50516</v>
      </c>
      <c r="M82" s="322">
        <v>1504320</v>
      </c>
      <c r="N82" s="446">
        <f t="shared" si="29"/>
        <v>300864</v>
      </c>
      <c r="O82" s="447">
        <f t="shared" si="24"/>
        <v>351380</v>
      </c>
      <c r="P82" s="447">
        <f t="shared" si="25"/>
        <v>677823</v>
      </c>
    </row>
    <row r="83" spans="1:16">
      <c r="A83" s="304" t="s">
        <v>681</v>
      </c>
      <c r="B83" s="322">
        <v>24000</v>
      </c>
      <c r="C83" s="446">
        <v>5110805</v>
      </c>
      <c r="D83" s="447">
        <f t="shared" si="23"/>
        <v>1022161</v>
      </c>
      <c r="E83" s="507">
        <f t="shared" si="26"/>
        <v>52550475</v>
      </c>
      <c r="G83" s="448" t="s">
        <v>681</v>
      </c>
      <c r="H83" s="322">
        <v>401752</v>
      </c>
      <c r="I83" s="322"/>
      <c r="J83" s="446">
        <f t="shared" si="27"/>
        <v>0</v>
      </c>
      <c r="K83" s="322">
        <v>0</v>
      </c>
      <c r="L83" s="446">
        <f t="shared" si="28"/>
        <v>0</v>
      </c>
      <c r="M83" s="322">
        <v>1901905</v>
      </c>
      <c r="N83" s="446">
        <f t="shared" si="29"/>
        <v>380381</v>
      </c>
      <c r="O83" s="447">
        <f t="shared" si="24"/>
        <v>380381</v>
      </c>
      <c r="P83" s="447">
        <f t="shared" si="25"/>
        <v>641780</v>
      </c>
    </row>
    <row r="84" spans="1:16" ht="13.5" thickBot="1">
      <c r="A84" s="306" t="s">
        <v>682</v>
      </c>
      <c r="B84" s="449">
        <v>0</v>
      </c>
      <c r="C84" s="450">
        <v>6579065</v>
      </c>
      <c r="D84" s="451">
        <f t="shared" si="23"/>
        <v>1315813</v>
      </c>
      <c r="E84" s="507">
        <f t="shared" si="26"/>
        <v>59129540</v>
      </c>
      <c r="G84" s="460" t="s">
        <v>682</v>
      </c>
      <c r="H84" s="449">
        <v>271942</v>
      </c>
      <c r="I84" s="449"/>
      <c r="J84" s="450">
        <f t="shared" si="27"/>
        <v>0</v>
      </c>
      <c r="K84" s="449"/>
      <c r="L84" s="450">
        <f t="shared" si="28"/>
        <v>0</v>
      </c>
      <c r="M84" s="449">
        <v>5397700</v>
      </c>
      <c r="N84" s="450">
        <f t="shared" si="29"/>
        <v>1079540</v>
      </c>
      <c r="O84" s="452">
        <f t="shared" si="24"/>
        <v>1079540</v>
      </c>
      <c r="P84" s="452">
        <f t="shared" si="25"/>
        <v>236273</v>
      </c>
    </row>
    <row r="85" spans="1:16" ht="13.5" thickBot="1">
      <c r="A85" s="453"/>
      <c r="B85" s="454">
        <f>SUM(B73:B84)</f>
        <v>99000</v>
      </c>
      <c r="C85" s="455">
        <f>SUM(C73:C84)</f>
        <v>59030540</v>
      </c>
      <c r="D85" s="456">
        <f>SUM(D73:D84)</f>
        <v>11806108</v>
      </c>
      <c r="E85" s="507"/>
      <c r="G85" s="453"/>
      <c r="H85" s="454">
        <f>SUM(H73:H84)</f>
        <v>4013670</v>
      </c>
      <c r="I85" s="454">
        <f t="shared" ref="I85:P85" si="30">SUM(I73:I84)</f>
        <v>0</v>
      </c>
      <c r="J85" s="454">
        <f t="shared" si="30"/>
        <v>0</v>
      </c>
      <c r="K85" s="454">
        <f t="shared" si="30"/>
        <v>4726755</v>
      </c>
      <c r="L85" s="454">
        <f t="shared" si="30"/>
        <v>945351</v>
      </c>
      <c r="M85" s="454">
        <f t="shared" si="30"/>
        <v>21701845</v>
      </c>
      <c r="N85" s="454">
        <f t="shared" si="30"/>
        <v>4340369</v>
      </c>
      <c r="O85" s="454">
        <f t="shared" si="30"/>
        <v>5285720</v>
      </c>
      <c r="P85" s="454">
        <f t="shared" si="30"/>
        <v>6520388</v>
      </c>
    </row>
    <row r="87" spans="1:16" ht="18.75">
      <c r="A87" t="s">
        <v>683</v>
      </c>
      <c r="B87" s="458">
        <f>+B85+C85</f>
        <v>59129540</v>
      </c>
      <c r="G87" t="s">
        <v>684</v>
      </c>
      <c r="H87" s="324">
        <f>+H85+K85+M85+I85</f>
        <v>30442270</v>
      </c>
      <c r="I87" s="324">
        <f>+H85+I85+K85+M85</f>
        <v>30442270</v>
      </c>
      <c r="M87" s="459"/>
    </row>
    <row r="88" spans="1:16">
      <c r="K88" s="324"/>
    </row>
    <row r="90" spans="1:16">
      <c r="F90" s="324" t="s">
        <v>1048</v>
      </c>
      <c r="G90" s="324">
        <f>+B87-H87</f>
        <v>28687270</v>
      </c>
      <c r="K90">
        <v>14205</v>
      </c>
      <c r="L90" t="s">
        <v>1037</v>
      </c>
    </row>
    <row r="91" spans="1:16">
      <c r="K91">
        <v>612000</v>
      </c>
      <c r="L91" t="s">
        <v>1038</v>
      </c>
    </row>
    <row r="92" spans="1:16">
      <c r="K92">
        <v>628300</v>
      </c>
      <c r="L92" t="s">
        <v>1039</v>
      </c>
    </row>
    <row r="93" spans="1:16">
      <c r="K93">
        <v>378000</v>
      </c>
      <c r="L93" t="s">
        <v>1040</v>
      </c>
    </row>
    <row r="94" spans="1:16">
      <c r="K94">
        <v>390000</v>
      </c>
      <c r="L94" t="s">
        <v>1041</v>
      </c>
    </row>
    <row r="95" spans="1:16">
      <c r="K95">
        <v>575000</v>
      </c>
      <c r="L95" t="s">
        <v>1042</v>
      </c>
    </row>
    <row r="96" spans="1:16">
      <c r="K96">
        <v>765000</v>
      </c>
      <c r="L96" t="s">
        <v>1043</v>
      </c>
    </row>
    <row r="97" spans="11:12">
      <c r="K97">
        <v>32250</v>
      </c>
      <c r="L97" t="s">
        <v>1044</v>
      </c>
    </row>
    <row r="98" spans="11:12">
      <c r="K98">
        <v>64255</v>
      </c>
      <c r="L98" t="s">
        <v>1045</v>
      </c>
    </row>
    <row r="99" spans="11:12">
      <c r="K99">
        <v>1015165</v>
      </c>
      <c r="L99" t="s">
        <v>1046</v>
      </c>
    </row>
    <row r="100" spans="11:12">
      <c r="K100">
        <v>252580</v>
      </c>
      <c r="L100" t="s">
        <v>1047</v>
      </c>
    </row>
    <row r="101" spans="11:12">
      <c r="K101">
        <f>SUM(K90:K100)</f>
        <v>4726755</v>
      </c>
    </row>
  </sheetData>
  <mergeCells count="12">
    <mergeCell ref="I2:J2"/>
    <mergeCell ref="K2:L2"/>
    <mergeCell ref="M2:N2"/>
    <mergeCell ref="I23:J23"/>
    <mergeCell ref="K23:L23"/>
    <mergeCell ref="M23:N23"/>
    <mergeCell ref="I71:J71"/>
    <mergeCell ref="K71:L71"/>
    <mergeCell ref="M71:N71"/>
    <mergeCell ref="I49:J49"/>
    <mergeCell ref="K49:L49"/>
    <mergeCell ref="M49:N49"/>
  </mergeCells>
  <pageMargins left="0.19685039370078741" right="0.19685039370078741" top="0.74803149606299213" bottom="0.74803149606299213" header="0.31496062992125984" footer="0.31496062992125984"/>
  <pageSetup scale="71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3:AA244"/>
  <sheetViews>
    <sheetView topLeftCell="A85" zoomScale="80" workbookViewId="0">
      <selection activeCell="R132" sqref="R132"/>
    </sheetView>
  </sheetViews>
  <sheetFormatPr defaultRowHeight="15"/>
  <cols>
    <col min="1" max="1" width="5.85546875" style="25" customWidth="1"/>
    <col min="2" max="2" width="54.5703125" style="25" customWidth="1"/>
    <col min="3" max="4" width="21.5703125" style="25" customWidth="1"/>
    <col min="5" max="9" width="21.5703125" style="25" hidden="1" customWidth="1"/>
    <col min="10" max="10" width="20.140625" style="25" hidden="1" customWidth="1"/>
    <col min="11" max="11" width="22.85546875" style="25" hidden="1" customWidth="1"/>
    <col min="12" max="12" width="19.28515625" style="25" hidden="1" customWidth="1"/>
    <col min="13" max="13" width="3.85546875" style="25" hidden="1" customWidth="1"/>
    <col min="14" max="14" width="19.28515625" style="25" hidden="1" customWidth="1"/>
    <col min="15" max="15" width="3.7109375" style="25" hidden="1" customWidth="1"/>
    <col min="16" max="16" width="18.7109375" style="25" hidden="1" customWidth="1"/>
    <col min="17" max="17" width="5.42578125" style="25" customWidth="1"/>
    <col min="18" max="18" width="18.42578125" style="25" customWidth="1"/>
    <col min="19" max="19" width="16" style="25" customWidth="1"/>
    <col min="20" max="16384" width="9.140625" style="25"/>
  </cols>
  <sheetData>
    <row r="3" spans="2:18">
      <c r="B3" s="382" t="s">
        <v>99</v>
      </c>
      <c r="C3" s="382"/>
      <c r="D3" s="382"/>
      <c r="E3" s="382"/>
      <c r="F3" s="382"/>
      <c r="G3" s="382"/>
      <c r="H3" s="382"/>
      <c r="I3" s="382"/>
      <c r="J3" s="382"/>
      <c r="M3" s="382"/>
    </row>
    <row r="4" spans="2:18">
      <c r="B4" s="382" t="s">
        <v>515</v>
      </c>
      <c r="C4" s="382"/>
      <c r="D4" s="382"/>
      <c r="E4" s="382"/>
      <c r="F4" s="382"/>
      <c r="G4" s="382"/>
      <c r="H4" s="382"/>
      <c r="I4" s="382"/>
      <c r="J4" s="382"/>
      <c r="M4" s="382"/>
    </row>
    <row r="5" spans="2:18">
      <c r="B5" s="461" t="s">
        <v>479</v>
      </c>
      <c r="C5" s="462" t="s">
        <v>1033</v>
      </c>
      <c r="D5" s="462" t="s">
        <v>1019</v>
      </c>
      <c r="E5" s="462" t="s">
        <v>954</v>
      </c>
      <c r="F5" s="462" t="s">
        <v>948</v>
      </c>
      <c r="G5" s="462" t="s">
        <v>706</v>
      </c>
      <c r="H5" s="462" t="s">
        <v>661</v>
      </c>
      <c r="I5" s="462" t="s">
        <v>648</v>
      </c>
      <c r="J5" s="384" t="s">
        <v>635</v>
      </c>
      <c r="K5" s="384" t="s">
        <v>585</v>
      </c>
      <c r="L5" s="384" t="s">
        <v>569</v>
      </c>
      <c r="M5" s="383"/>
      <c r="N5" s="384" t="s">
        <v>110</v>
      </c>
      <c r="P5" s="384" t="s">
        <v>100</v>
      </c>
      <c r="Q5" s="385"/>
    </row>
    <row r="6" spans="2:18">
      <c r="B6" s="461" t="s">
        <v>101</v>
      </c>
      <c r="C6" s="463">
        <f>+'Bilanci Alpha'!D50</f>
        <v>115120</v>
      </c>
      <c r="D6" s="463">
        <f>+'Bilanci Alpha'!E50</f>
        <v>42353</v>
      </c>
      <c r="E6" s="463">
        <f>+'Bilanci Alpha'!F50</f>
        <v>92981</v>
      </c>
      <c r="F6" s="463">
        <f>+'Bilanci Alpha'!G50</f>
        <v>136674</v>
      </c>
      <c r="G6" s="463">
        <f>+'Bilanci Alpha'!H50</f>
        <v>133824</v>
      </c>
      <c r="H6" s="463">
        <f>+'Bilanci Alpha'!I50</f>
        <v>123693</v>
      </c>
      <c r="I6" s="463">
        <f>+'Bilanci Alpha'!J50</f>
        <v>91125</v>
      </c>
      <c r="J6" s="386">
        <v>770283</v>
      </c>
      <c r="K6" s="386">
        <f>+'Bilanci Alpha'!L50</f>
        <v>775338</v>
      </c>
      <c r="L6" s="386">
        <f>+'Bilanci Alpha'!M50</f>
        <v>256846</v>
      </c>
      <c r="M6" s="383"/>
      <c r="N6" s="386">
        <f>+'Bilanci Alpha'!N50</f>
        <v>1544672</v>
      </c>
      <c r="O6" s="386"/>
      <c r="P6" s="386">
        <f>+'Bilanci Alpha'!O50</f>
        <v>1515402</v>
      </c>
      <c r="R6" s="17"/>
    </row>
    <row r="7" spans="2:18">
      <c r="B7" s="461" t="s">
        <v>102</v>
      </c>
      <c r="C7" s="463">
        <f>+'Bilanci Alpha'!D49</f>
        <v>921111.58</v>
      </c>
      <c r="D7" s="463">
        <f>+'Bilanci Alpha'!E49</f>
        <v>1009901</v>
      </c>
      <c r="E7" s="463">
        <f>+'Bilanci Alpha'!F49</f>
        <v>1939334.38</v>
      </c>
      <c r="F7" s="463">
        <f>+'Bilanci Alpha'!G49</f>
        <v>248558.1</v>
      </c>
      <c r="G7" s="463">
        <f>+'Bilanci Alpha'!H49</f>
        <v>718297.37</v>
      </c>
      <c r="H7" s="463">
        <f>+'Bilanci Alpha'!I49</f>
        <v>1357836</v>
      </c>
      <c r="I7" s="463">
        <f>+'Bilanci Alpha'!J49</f>
        <v>679038</v>
      </c>
      <c r="J7" s="386">
        <v>710478</v>
      </c>
      <c r="K7" s="386">
        <f>+'Bilanci Alpha'!L49</f>
        <v>386127</v>
      </c>
      <c r="L7" s="386">
        <f>+'Bilanci Alpha'!M49</f>
        <v>610133</v>
      </c>
      <c r="M7" s="383"/>
      <c r="N7" s="386">
        <f>+'Bilanci Alpha'!N49</f>
        <v>568971</v>
      </c>
      <c r="O7" s="386"/>
      <c r="P7" s="386">
        <f>+'Bilanci Alpha'!O49</f>
        <v>1182269</v>
      </c>
      <c r="R7" s="17"/>
    </row>
    <row r="8" spans="2:18">
      <c r="B8" s="461" t="s">
        <v>572</v>
      </c>
      <c r="C8" s="463">
        <f>+'Bilanci Alpha'!D51</f>
        <v>0</v>
      </c>
      <c r="D8" s="463">
        <f>+'Bilanci Alpha'!E51</f>
        <v>0</v>
      </c>
      <c r="E8" s="463">
        <f>+'Bilanci Alpha'!F51</f>
        <v>0</v>
      </c>
      <c r="F8" s="463">
        <f>+'Bilanci Alpha'!G51</f>
        <v>0</v>
      </c>
      <c r="G8" s="463">
        <f>+'Bilanci Alpha'!H51</f>
        <v>0</v>
      </c>
      <c r="H8" s="463">
        <f>+'Bilanci Alpha'!I51</f>
        <v>0</v>
      </c>
      <c r="I8" s="463">
        <f>+'Bilanci Alpha'!J51</f>
        <v>0</v>
      </c>
      <c r="J8" s="386">
        <f>+'Bilanci Alpha'!K51</f>
        <v>0</v>
      </c>
      <c r="K8" s="386">
        <f>+'Bilanci Alpha'!L51</f>
        <v>0</v>
      </c>
      <c r="L8" s="386">
        <f>+'Bilanci Alpha'!M51</f>
        <v>151999</v>
      </c>
      <c r="M8" s="383"/>
      <c r="N8" s="386"/>
      <c r="O8" s="386"/>
      <c r="P8" s="386">
        <f>+'Bilanci Alpha'!O51</f>
        <v>615400</v>
      </c>
    </row>
    <row r="9" spans="2:18" ht="15.75" thickBot="1">
      <c r="B9" s="464" t="s">
        <v>2</v>
      </c>
      <c r="C9" s="465">
        <f>SUM(C6:C8)</f>
        <v>1036231.58</v>
      </c>
      <c r="D9" s="465">
        <f>SUM(D6:D8)</f>
        <v>1052254</v>
      </c>
      <c r="E9" s="465">
        <f>SUM(E6:E8)</f>
        <v>2032315.38</v>
      </c>
      <c r="F9" s="465">
        <f>SUM(F6:F8)</f>
        <v>385232.1</v>
      </c>
      <c r="G9" s="465">
        <f t="shared" ref="G9:L9" si="0">SUM(G6:G8)</f>
        <v>852121.37</v>
      </c>
      <c r="H9" s="465">
        <f t="shared" si="0"/>
        <v>1481529</v>
      </c>
      <c r="I9" s="465">
        <f t="shared" si="0"/>
        <v>770163</v>
      </c>
      <c r="J9" s="388">
        <f t="shared" si="0"/>
        <v>1480761</v>
      </c>
      <c r="K9" s="388">
        <f t="shared" si="0"/>
        <v>1161465</v>
      </c>
      <c r="L9" s="389">
        <f t="shared" si="0"/>
        <v>1018978</v>
      </c>
      <c r="M9" s="387"/>
      <c r="N9" s="389">
        <f>SUM(N6:N8)</f>
        <v>2113643</v>
      </c>
      <c r="O9" s="386"/>
      <c r="P9" s="389">
        <f>SUM(P6:P8)</f>
        <v>3313071</v>
      </c>
      <c r="Q9" s="382"/>
    </row>
    <row r="10" spans="2:18" ht="15.75" thickTop="1">
      <c r="B10" s="20">
        <f>+N9-N10</f>
        <v>0</v>
      </c>
      <c r="C10" s="390">
        <f>+BK!D8</f>
        <v>1036231.58</v>
      </c>
      <c r="D10" s="390">
        <f>+BK!E8</f>
        <v>1052254</v>
      </c>
      <c r="E10" s="390">
        <f>+BK!F8</f>
        <v>2032315.38</v>
      </c>
      <c r="F10" s="390">
        <f>+BK!G8</f>
        <v>385232.1</v>
      </c>
      <c r="G10" s="390">
        <f>+BK!H8</f>
        <v>852121.37</v>
      </c>
      <c r="H10" s="390">
        <f>+BK!I8</f>
        <v>1481529</v>
      </c>
      <c r="I10" s="390">
        <f>+BK!J8</f>
        <v>770163</v>
      </c>
      <c r="J10" s="390">
        <f>+BK!K8</f>
        <v>1480761</v>
      </c>
      <c r="K10" s="390">
        <f>+BK!L8</f>
        <v>1161465</v>
      </c>
      <c r="L10" s="390">
        <f>+BK!M8</f>
        <v>1018978</v>
      </c>
      <c r="M10" s="20"/>
      <c r="N10" s="390">
        <f>+BK!N8</f>
        <v>2113643</v>
      </c>
      <c r="O10" s="390"/>
      <c r="P10" s="390">
        <f>+BK!P8</f>
        <v>3313071</v>
      </c>
    </row>
    <row r="11" spans="2:18">
      <c r="B11" s="391" t="s">
        <v>103</v>
      </c>
      <c r="C11" s="391"/>
      <c r="D11" s="391"/>
      <c r="E11" s="391"/>
      <c r="F11" s="391"/>
      <c r="G11" s="391"/>
      <c r="H11" s="391"/>
      <c r="I11" s="391"/>
      <c r="J11" s="391"/>
      <c r="K11" s="383"/>
      <c r="L11" s="383"/>
      <c r="M11" s="391"/>
      <c r="N11" s="383"/>
      <c r="O11" s="383"/>
      <c r="P11" s="383"/>
    </row>
    <row r="12" spans="2:18">
      <c r="B12" s="383"/>
      <c r="C12" s="384" t="str">
        <f>+C5</f>
        <v>31 Dhjetor 2018</v>
      </c>
      <c r="D12" s="384" t="str">
        <f>+D5</f>
        <v>31 Dhjetor 2017</v>
      </c>
      <c r="E12" s="384" t="str">
        <f>+E5</f>
        <v>31 Dhjetor 2016</v>
      </c>
      <c r="F12" s="384" t="str">
        <f t="shared" ref="F12:K12" si="1">+F5</f>
        <v>31 Dhjetor 2015</v>
      </c>
      <c r="G12" s="384" t="str">
        <f t="shared" si="1"/>
        <v>31 Dhjetor 2014</v>
      </c>
      <c r="H12" s="384" t="str">
        <f t="shared" si="1"/>
        <v>31 Dhjetor 2013</v>
      </c>
      <c r="I12" s="384" t="str">
        <f t="shared" si="1"/>
        <v>31 Dhjetor 2012</v>
      </c>
      <c r="J12" s="384" t="str">
        <f t="shared" si="1"/>
        <v>31 Dhjetor 2011</v>
      </c>
      <c r="K12" s="384" t="str">
        <f t="shared" si="1"/>
        <v>31 Dhjetor 2010</v>
      </c>
      <c r="L12" s="384" t="s">
        <v>569</v>
      </c>
      <c r="M12" s="383"/>
      <c r="N12" s="384" t="s">
        <v>110</v>
      </c>
      <c r="P12" s="384" t="s">
        <v>100</v>
      </c>
      <c r="Q12" s="385"/>
    </row>
    <row r="13" spans="2:18">
      <c r="B13" s="383" t="s">
        <v>142</v>
      </c>
      <c r="C13" s="25">
        <f>+BK!D20</f>
        <v>0</v>
      </c>
      <c r="D13" s="25">
        <f>+BK!E20</f>
        <v>0</v>
      </c>
      <c r="E13" s="25">
        <f>+BK!F20</f>
        <v>0</v>
      </c>
      <c r="F13" s="25">
        <f>+BK!G20</f>
        <v>0</v>
      </c>
      <c r="G13" s="25">
        <f>+BK!H20</f>
        <v>0</v>
      </c>
      <c r="H13" s="25">
        <f>+BK!I20</f>
        <v>0</v>
      </c>
      <c r="I13" s="25">
        <f>+BK!J20</f>
        <v>0</v>
      </c>
      <c r="J13" s="25">
        <f>+BK!K20</f>
        <v>0</v>
      </c>
      <c r="K13" s="25">
        <f>+BK!L20</f>
        <v>0</v>
      </c>
      <c r="L13" s="25">
        <f>+BK!M20</f>
        <v>0</v>
      </c>
      <c r="N13" s="25">
        <f>+BK!N20</f>
        <v>0</v>
      </c>
      <c r="O13" s="386"/>
      <c r="P13" s="25">
        <f>+BK!P20</f>
        <v>0</v>
      </c>
    </row>
    <row r="14" spans="2:18">
      <c r="B14" s="383"/>
      <c r="C14" s="383"/>
      <c r="D14" s="383"/>
      <c r="E14" s="383"/>
      <c r="F14" s="383"/>
      <c r="G14" s="383"/>
      <c r="H14" s="383"/>
      <c r="I14" s="383"/>
      <c r="J14" s="383"/>
      <c r="M14" s="383"/>
      <c r="O14" s="386"/>
    </row>
    <row r="15" spans="2:18" ht="15.75" thickBot="1">
      <c r="B15" s="387" t="s">
        <v>2</v>
      </c>
      <c r="C15" s="387"/>
      <c r="D15" s="387"/>
      <c r="E15" s="387"/>
      <c r="F15" s="387"/>
      <c r="G15" s="387"/>
      <c r="H15" s="387"/>
      <c r="I15" s="387"/>
      <c r="J15" s="387"/>
      <c r="K15" s="389">
        <f>SUM(K13:K14)</f>
        <v>0</v>
      </c>
      <c r="L15" s="389">
        <f>SUM(L13:L14)</f>
        <v>0</v>
      </c>
      <c r="M15" s="387"/>
      <c r="N15" s="389">
        <f>SUM(N13:N14)</f>
        <v>0</v>
      </c>
      <c r="O15" s="386"/>
      <c r="P15" s="389">
        <f>SUM(P13:P14)</f>
        <v>0</v>
      </c>
      <c r="Q15" s="382"/>
    </row>
    <row r="16" spans="2:18" ht="15.75" thickTop="1">
      <c r="B16" s="387"/>
      <c r="C16" s="387"/>
      <c r="D16" s="387"/>
      <c r="E16" s="387"/>
      <c r="F16" s="387"/>
      <c r="G16" s="387"/>
      <c r="H16" s="387"/>
      <c r="I16" s="387"/>
      <c r="J16" s="387"/>
      <c r="K16" s="162"/>
      <c r="L16" s="162"/>
      <c r="M16" s="387"/>
      <c r="N16" s="162"/>
      <c r="O16" s="386"/>
      <c r="P16" s="162"/>
      <c r="Q16" s="382"/>
    </row>
    <row r="17" spans="1:22">
      <c r="B17" s="20"/>
      <c r="C17" s="20"/>
      <c r="D17" s="20"/>
      <c r="E17" s="20"/>
      <c r="F17" s="20"/>
      <c r="G17" s="20"/>
      <c r="H17" s="20"/>
      <c r="I17" s="20"/>
      <c r="J17" s="20"/>
      <c r="K17" s="390" t="str">
        <f>+BK!B18</f>
        <v xml:space="preserve">Lendet e para </v>
      </c>
      <c r="L17" s="390">
        <f>+BK!C18</f>
        <v>0</v>
      </c>
      <c r="M17" s="20"/>
      <c r="N17" s="390">
        <f>+BK!N18</f>
        <v>0</v>
      </c>
      <c r="O17" s="390"/>
      <c r="P17" s="390">
        <f>+BK!P18</f>
        <v>0</v>
      </c>
    </row>
    <row r="18" spans="1:22">
      <c r="B18" s="383" t="s">
        <v>104</v>
      </c>
      <c r="C18" s="383"/>
      <c r="D18" s="383"/>
      <c r="E18" s="383"/>
      <c r="F18" s="383"/>
      <c r="G18" s="383"/>
      <c r="H18" s="383"/>
      <c r="I18" s="383"/>
      <c r="J18" s="383"/>
      <c r="K18" s="392"/>
      <c r="L18" s="392"/>
      <c r="M18" s="383"/>
      <c r="N18" s="392"/>
      <c r="O18" s="383"/>
      <c r="P18" s="383"/>
    </row>
    <row r="19" spans="1:22">
      <c r="B19" s="466" t="s">
        <v>479</v>
      </c>
      <c r="C19" s="462" t="str">
        <f>+C12</f>
        <v>31 Dhjetor 2018</v>
      </c>
      <c r="D19" s="462" t="str">
        <f>+D12</f>
        <v>31 Dhjetor 2017</v>
      </c>
      <c r="E19" s="462" t="str">
        <f>+E12</f>
        <v>31 Dhjetor 2016</v>
      </c>
      <c r="F19" s="462" t="str">
        <f t="shared" ref="F19:K19" si="2">+F12</f>
        <v>31 Dhjetor 2015</v>
      </c>
      <c r="G19" s="462" t="str">
        <f t="shared" si="2"/>
        <v>31 Dhjetor 2014</v>
      </c>
      <c r="H19" s="462" t="str">
        <f t="shared" si="2"/>
        <v>31 Dhjetor 2013</v>
      </c>
      <c r="I19" s="462" t="str">
        <f t="shared" si="2"/>
        <v>31 Dhjetor 2012</v>
      </c>
      <c r="J19" s="384" t="str">
        <f t="shared" si="2"/>
        <v>31 Dhjetor 2011</v>
      </c>
      <c r="K19" s="384" t="str">
        <f t="shared" si="2"/>
        <v>31 Dhjetor 2010</v>
      </c>
      <c r="L19" s="384" t="s">
        <v>569</v>
      </c>
      <c r="M19" s="393"/>
      <c r="N19" s="384" t="s">
        <v>110</v>
      </c>
      <c r="O19" s="394"/>
      <c r="P19" s="384" t="s">
        <v>100</v>
      </c>
      <c r="Q19" s="385"/>
    </row>
    <row r="20" spans="1:22">
      <c r="B20" s="467" t="s">
        <v>134</v>
      </c>
      <c r="C20" s="468">
        <f>+BK!D12</f>
        <v>21137033.129000001</v>
      </c>
      <c r="D20" s="468">
        <f>+BK!E12</f>
        <v>12740703.280000001</v>
      </c>
      <c r="E20" s="468">
        <f>+BK!F12</f>
        <v>18499447</v>
      </c>
      <c r="F20" s="468">
        <f>+BK!G12</f>
        <v>10485211</v>
      </c>
      <c r="G20" s="468">
        <f>+BK!H12</f>
        <v>12252050</v>
      </c>
      <c r="H20" s="468">
        <f>+BK!I12</f>
        <v>17792038</v>
      </c>
      <c r="I20" s="468">
        <f>+BK!J12</f>
        <v>18285958</v>
      </c>
      <c r="J20" s="396">
        <f>+BK!K12</f>
        <v>17374090</v>
      </c>
      <c r="K20" s="396">
        <f>+BK!L12</f>
        <v>16908659</v>
      </c>
      <c r="L20" s="396">
        <f>+BK!M12</f>
        <v>6005912</v>
      </c>
      <c r="M20" s="395"/>
      <c r="N20" s="396">
        <f>+BK!N12</f>
        <v>3183589</v>
      </c>
      <c r="O20" s="396"/>
      <c r="P20" s="396">
        <f>+BK!P12</f>
        <v>1896742</v>
      </c>
      <c r="S20" s="160"/>
      <c r="T20" s="161"/>
      <c r="U20" s="160"/>
      <c r="V20" s="161"/>
    </row>
    <row r="21" spans="1:22">
      <c r="B21" s="467" t="s">
        <v>1012</v>
      </c>
      <c r="C21" s="468">
        <f>+BK!D13</f>
        <v>0</v>
      </c>
      <c r="D21" s="468">
        <f>+BK!E13</f>
        <v>1075022</v>
      </c>
      <c r="E21" s="468">
        <f>+BK!F13</f>
        <v>2347227</v>
      </c>
      <c r="F21" s="468">
        <f>+BK!G13</f>
        <v>2870098</v>
      </c>
      <c r="G21" s="468">
        <f>+BK!H13</f>
        <v>3219407.1775000012</v>
      </c>
      <c r="H21" s="468">
        <f>+BK!I13</f>
        <v>3692236</v>
      </c>
      <c r="I21" s="468">
        <f>+BK!J13</f>
        <v>4012173</v>
      </c>
      <c r="J21" s="396">
        <f>+BK!K13</f>
        <v>3549977</v>
      </c>
      <c r="K21" s="396">
        <f>+BK!L13</f>
        <v>8416359</v>
      </c>
      <c r="L21" s="396">
        <f>+BK!M13</f>
        <v>15156696</v>
      </c>
      <c r="M21" s="395"/>
      <c r="N21" s="396">
        <f>+BK!N13</f>
        <v>4488007</v>
      </c>
      <c r="O21" s="396"/>
      <c r="P21" s="396">
        <f>+BK!P13</f>
        <v>6214125</v>
      </c>
      <c r="S21" s="160"/>
      <c r="T21" s="162"/>
      <c r="U21" s="160"/>
      <c r="V21" s="162"/>
    </row>
    <row r="22" spans="1:22">
      <c r="B22" s="466"/>
      <c r="C22" s="466"/>
      <c r="D22" s="466"/>
      <c r="E22" s="466"/>
      <c r="F22" s="466"/>
      <c r="G22" s="466"/>
      <c r="H22" s="466"/>
      <c r="I22" s="466"/>
      <c r="J22" s="393"/>
      <c r="K22" s="396"/>
      <c r="L22" s="396"/>
      <c r="M22" s="393"/>
      <c r="N22" s="396"/>
      <c r="O22" s="396"/>
      <c r="P22" s="396"/>
      <c r="Q22" s="382"/>
      <c r="S22" s="160"/>
      <c r="T22" s="162"/>
      <c r="U22" s="160"/>
      <c r="V22" s="162"/>
    </row>
    <row r="23" spans="1:22" ht="15.75" thickBot="1">
      <c r="B23" s="464" t="s">
        <v>2</v>
      </c>
      <c r="C23" s="469">
        <f>SUM(C20:C22)</f>
        <v>21137033.129000001</v>
      </c>
      <c r="D23" s="469">
        <f>SUM(D20:D22)</f>
        <v>13815725.280000001</v>
      </c>
      <c r="E23" s="469">
        <f>SUM(E20:E22)</f>
        <v>20846674</v>
      </c>
      <c r="F23" s="469">
        <f>SUM(F20:F22)</f>
        <v>13355309</v>
      </c>
      <c r="G23" s="469">
        <f t="shared" ref="G23:L23" si="3">SUM(G20:G22)</f>
        <v>15471457.177500002</v>
      </c>
      <c r="H23" s="469">
        <f t="shared" si="3"/>
        <v>21484274</v>
      </c>
      <c r="I23" s="469">
        <f t="shared" si="3"/>
        <v>22298131</v>
      </c>
      <c r="J23" s="397">
        <f t="shared" si="3"/>
        <v>20924067</v>
      </c>
      <c r="K23" s="397">
        <f t="shared" si="3"/>
        <v>25325018</v>
      </c>
      <c r="L23" s="398">
        <f t="shared" si="3"/>
        <v>21162608</v>
      </c>
      <c r="M23" s="387"/>
      <c r="N23" s="398">
        <f>SUM(N20:N22)</f>
        <v>7671596</v>
      </c>
      <c r="O23" s="399"/>
      <c r="P23" s="398">
        <f>SUM(P20:P22)</f>
        <v>8110867</v>
      </c>
      <c r="S23" s="160"/>
      <c r="T23" s="162"/>
      <c r="U23" s="160"/>
      <c r="V23" s="162"/>
    </row>
    <row r="24" spans="1:22" ht="15.75" thickTop="1">
      <c r="B24" s="383"/>
      <c r="C24" s="570">
        <f>+BK!D16</f>
        <v>21137033.129000001</v>
      </c>
      <c r="D24" s="570">
        <f>+BK!E16</f>
        <v>13815725.280000001</v>
      </c>
      <c r="E24" s="383"/>
      <c r="F24" s="383"/>
      <c r="G24" s="383"/>
      <c r="H24" s="383"/>
      <c r="I24" s="383"/>
      <c r="J24" s="383"/>
      <c r="K24" s="400">
        <f>+BK!B16</f>
        <v>0</v>
      </c>
      <c r="L24" s="400">
        <f>+BK!C16</f>
        <v>0</v>
      </c>
      <c r="M24" s="383"/>
      <c r="N24" s="400">
        <f>+BK!N16</f>
        <v>7671596</v>
      </c>
      <c r="O24" s="400"/>
      <c r="P24" s="400">
        <f>+BK!P16</f>
        <v>8110867</v>
      </c>
      <c r="S24" s="163"/>
      <c r="T24" s="162"/>
      <c r="U24" s="163"/>
      <c r="V24" s="162"/>
    </row>
    <row r="25" spans="1:22" ht="12.75" customHeight="1">
      <c r="B25" s="391" t="s">
        <v>431</v>
      </c>
      <c r="C25" s="391"/>
      <c r="D25" s="391"/>
      <c r="E25" s="391"/>
      <c r="F25" s="391"/>
      <c r="G25" s="391"/>
      <c r="H25" s="391"/>
      <c r="I25" s="391"/>
      <c r="J25" s="391"/>
      <c r="K25" s="400"/>
      <c r="L25" s="400"/>
      <c r="M25" s="391"/>
      <c r="N25" s="400"/>
      <c r="O25" s="400"/>
      <c r="P25" s="400"/>
    </row>
    <row r="26" spans="1:22" ht="12.75" hidden="1" customHeight="1">
      <c r="B26" s="391"/>
      <c r="C26" s="391"/>
      <c r="D26" s="391"/>
      <c r="E26" s="391"/>
      <c r="F26" s="391"/>
      <c r="G26" s="391"/>
      <c r="H26" s="391"/>
      <c r="I26" s="391"/>
      <c r="J26" s="391"/>
      <c r="K26" s="400"/>
      <c r="L26" s="400"/>
      <c r="M26" s="391"/>
      <c r="N26" s="400"/>
      <c r="O26" s="400"/>
      <c r="P26" s="400"/>
    </row>
    <row r="27" spans="1:22" ht="12.75" hidden="1" customHeight="1">
      <c r="A27" s="547" t="s">
        <v>959</v>
      </c>
      <c r="B27" s="547" t="s">
        <v>479</v>
      </c>
      <c r="C27" s="547" t="s">
        <v>618</v>
      </c>
      <c r="D27" s="547" t="s">
        <v>618</v>
      </c>
      <c r="E27" s="547" t="s">
        <v>618</v>
      </c>
      <c r="F27" s="493" t="s">
        <v>707</v>
      </c>
      <c r="G27" s="493" t="s">
        <v>707</v>
      </c>
      <c r="H27" s="493" t="s">
        <v>708</v>
      </c>
      <c r="J27" s="391"/>
      <c r="K27" s="400"/>
      <c r="L27" s="400"/>
      <c r="M27" s="391"/>
      <c r="N27" s="400"/>
      <c r="O27" s="400"/>
      <c r="P27" s="400"/>
    </row>
    <row r="28" spans="1:22" ht="12.75" hidden="1" customHeight="1">
      <c r="A28" s="548" t="s">
        <v>138</v>
      </c>
      <c r="B28" s="548" t="s">
        <v>600</v>
      </c>
      <c r="C28" s="549">
        <v>86600</v>
      </c>
      <c r="D28" s="549">
        <v>86600</v>
      </c>
      <c r="E28" s="549">
        <v>86600</v>
      </c>
      <c r="F28" s="492" t="s">
        <v>699</v>
      </c>
      <c r="G28" s="492" t="s">
        <v>699</v>
      </c>
      <c r="H28" s="492">
        <v>96000</v>
      </c>
      <c r="J28" s="391"/>
      <c r="K28" s="400"/>
      <c r="L28" s="400"/>
      <c r="M28" s="391"/>
      <c r="N28" s="400"/>
      <c r="O28" s="400"/>
      <c r="P28" s="400"/>
    </row>
    <row r="29" spans="1:22" ht="12.75" hidden="1" customHeight="1">
      <c r="A29" s="548" t="s">
        <v>960</v>
      </c>
      <c r="B29" s="548" t="s">
        <v>961</v>
      </c>
      <c r="C29" s="549">
        <v>442575</v>
      </c>
      <c r="D29" s="549">
        <v>442575</v>
      </c>
      <c r="E29" s="549">
        <v>442575</v>
      </c>
      <c r="F29" s="492" t="s">
        <v>699</v>
      </c>
      <c r="G29" s="492" t="s">
        <v>699</v>
      </c>
      <c r="H29" s="492">
        <v>421299.6</v>
      </c>
      <c r="J29" s="391"/>
      <c r="K29" s="400"/>
      <c r="L29" s="400"/>
      <c r="M29" s="391"/>
      <c r="N29" s="400"/>
      <c r="O29" s="400"/>
      <c r="P29" s="400"/>
    </row>
    <row r="30" spans="1:22" ht="12.75" hidden="1" customHeight="1">
      <c r="A30" s="548" t="s">
        <v>709</v>
      </c>
      <c r="B30" s="548" t="s">
        <v>516</v>
      </c>
      <c r="C30" s="549">
        <v>421299.9</v>
      </c>
      <c r="D30" s="549">
        <v>421299.9</v>
      </c>
      <c r="E30" s="549">
        <v>421299.9</v>
      </c>
      <c r="F30" s="492" t="s">
        <v>699</v>
      </c>
      <c r="G30" s="492" t="s">
        <v>699</v>
      </c>
      <c r="H30" s="492">
        <v>10100</v>
      </c>
      <c r="J30" s="391"/>
      <c r="K30" s="400"/>
      <c r="L30" s="400"/>
      <c r="M30" s="391"/>
      <c r="N30" s="400"/>
      <c r="O30" s="400"/>
      <c r="P30" s="400"/>
    </row>
    <row r="31" spans="1:22" ht="12.75" hidden="1" customHeight="1">
      <c r="A31" s="548" t="s">
        <v>710</v>
      </c>
      <c r="B31" s="548" t="s">
        <v>517</v>
      </c>
      <c r="C31" s="549">
        <v>53499</v>
      </c>
      <c r="D31" s="549">
        <v>53499</v>
      </c>
      <c r="E31" s="549">
        <v>53499</v>
      </c>
      <c r="F31" s="492" t="s">
        <v>699</v>
      </c>
      <c r="G31" s="492" t="s">
        <v>699</v>
      </c>
      <c r="H31" s="492">
        <v>47499</v>
      </c>
      <c r="J31" s="391"/>
      <c r="K31" s="400"/>
      <c r="L31" s="400"/>
      <c r="M31" s="391"/>
      <c r="N31" s="400"/>
      <c r="O31" s="400"/>
      <c r="P31" s="400"/>
    </row>
    <row r="32" spans="1:22" ht="12.75" hidden="1" customHeight="1">
      <c r="A32" s="548" t="s">
        <v>711</v>
      </c>
      <c r="B32" s="548" t="s">
        <v>649</v>
      </c>
      <c r="C32" s="549">
        <v>12500</v>
      </c>
      <c r="D32" s="549">
        <v>12500</v>
      </c>
      <c r="E32" s="549">
        <v>12500</v>
      </c>
      <c r="F32" s="492" t="s">
        <v>699</v>
      </c>
      <c r="G32" s="492" t="s">
        <v>699</v>
      </c>
      <c r="H32" s="492">
        <v>12500</v>
      </c>
      <c r="J32" s="391"/>
      <c r="K32" s="400"/>
      <c r="L32" s="400"/>
      <c r="M32" s="391"/>
      <c r="N32" s="400"/>
      <c r="O32" s="400"/>
      <c r="P32" s="400"/>
    </row>
    <row r="33" spans="1:16" ht="12.75" hidden="1" customHeight="1">
      <c r="A33" s="548" t="s">
        <v>712</v>
      </c>
      <c r="B33" s="548" t="s">
        <v>688</v>
      </c>
      <c r="C33" s="549">
        <v>842000</v>
      </c>
      <c r="D33" s="549">
        <v>842000</v>
      </c>
      <c r="E33" s="549">
        <v>842000</v>
      </c>
      <c r="F33" s="492" t="s">
        <v>699</v>
      </c>
      <c r="G33" s="492" t="s">
        <v>699</v>
      </c>
      <c r="H33" s="492">
        <v>14900</v>
      </c>
      <c r="J33" s="391"/>
      <c r="K33" s="400"/>
      <c r="L33" s="400"/>
      <c r="M33" s="391"/>
      <c r="N33" s="400"/>
      <c r="O33" s="400"/>
      <c r="P33" s="400"/>
    </row>
    <row r="34" spans="1:16" ht="12.75" hidden="1" customHeight="1">
      <c r="A34" s="548" t="s">
        <v>713</v>
      </c>
      <c r="B34" s="548" t="s">
        <v>689</v>
      </c>
      <c r="C34" s="549">
        <v>79200</v>
      </c>
      <c r="D34" s="549">
        <v>79200</v>
      </c>
      <c r="E34" s="549">
        <v>79200</v>
      </c>
      <c r="F34" s="492" t="s">
        <v>699</v>
      </c>
      <c r="G34" s="492" t="s">
        <v>699</v>
      </c>
      <c r="H34" s="492">
        <v>421000</v>
      </c>
      <c r="J34" s="391"/>
      <c r="K34" s="400"/>
      <c r="L34" s="400"/>
      <c r="M34" s="391"/>
      <c r="N34" s="400"/>
      <c r="O34" s="400"/>
      <c r="P34" s="400"/>
    </row>
    <row r="35" spans="1:16" ht="12.75" hidden="1" customHeight="1">
      <c r="A35" s="548" t="s">
        <v>714</v>
      </c>
      <c r="B35" s="548" t="s">
        <v>690</v>
      </c>
      <c r="C35" s="549">
        <v>28200</v>
      </c>
      <c r="D35" s="549">
        <v>28200</v>
      </c>
      <c r="E35" s="549">
        <v>28200</v>
      </c>
      <c r="F35" s="492" t="s">
        <v>699</v>
      </c>
      <c r="G35" s="492" t="s">
        <v>699</v>
      </c>
      <c r="H35" s="492">
        <v>79200</v>
      </c>
      <c r="J35" s="391"/>
      <c r="K35" s="400"/>
      <c r="L35" s="400"/>
      <c r="M35" s="391"/>
      <c r="N35" s="400"/>
      <c r="O35" s="400"/>
      <c r="P35" s="400"/>
    </row>
    <row r="36" spans="1:16" ht="12.75" hidden="1" customHeight="1">
      <c r="A36" s="548" t="s">
        <v>715</v>
      </c>
      <c r="B36" s="548" t="s">
        <v>691</v>
      </c>
      <c r="C36" s="549">
        <v>17846.599999999999</v>
      </c>
      <c r="D36" s="549">
        <v>17846.599999999999</v>
      </c>
      <c r="E36" s="549">
        <v>17846.599999999999</v>
      </c>
      <c r="F36" s="492" t="s">
        <v>699</v>
      </c>
      <c r="G36" s="492" t="s">
        <v>699</v>
      </c>
      <c r="H36" s="492">
        <v>44258</v>
      </c>
      <c r="J36" s="391"/>
      <c r="K36" s="400"/>
      <c r="L36" s="400"/>
      <c r="M36" s="391"/>
      <c r="N36" s="400"/>
      <c r="O36" s="400"/>
      <c r="P36" s="400"/>
    </row>
    <row r="37" spans="1:16" ht="12.75" hidden="1" customHeight="1">
      <c r="A37" s="548" t="s">
        <v>962</v>
      </c>
      <c r="B37" s="548" t="s">
        <v>963</v>
      </c>
      <c r="C37" s="549">
        <v>55000</v>
      </c>
      <c r="D37" s="549">
        <v>55000</v>
      </c>
      <c r="E37" s="549">
        <v>55000</v>
      </c>
      <c r="F37" s="492" t="s">
        <v>699</v>
      </c>
      <c r="G37" s="492" t="s">
        <v>699</v>
      </c>
      <c r="H37" s="492">
        <v>21000</v>
      </c>
      <c r="J37" s="391"/>
      <c r="K37" s="400"/>
      <c r="L37" s="400"/>
      <c r="M37" s="391"/>
      <c r="N37" s="400"/>
      <c r="O37" s="400"/>
      <c r="P37" s="400"/>
    </row>
    <row r="38" spans="1:16" ht="12.75" hidden="1" customHeight="1">
      <c r="A38" s="548" t="s">
        <v>964</v>
      </c>
      <c r="B38" s="548" t="s">
        <v>965</v>
      </c>
      <c r="C38" s="549">
        <v>8000</v>
      </c>
      <c r="D38" s="549">
        <v>8000</v>
      </c>
      <c r="E38" s="549">
        <v>8000</v>
      </c>
      <c r="F38" s="492" t="s">
        <v>699</v>
      </c>
      <c r="G38" s="492" t="s">
        <v>699</v>
      </c>
      <c r="H38" s="492">
        <v>6600</v>
      </c>
      <c r="J38" s="391"/>
      <c r="K38" s="400"/>
      <c r="L38" s="400"/>
      <c r="M38" s="391"/>
      <c r="N38" s="400"/>
      <c r="O38" s="400"/>
      <c r="P38" s="400"/>
    </row>
    <row r="39" spans="1:16" ht="12.75" hidden="1" customHeight="1">
      <c r="A39" s="548" t="s">
        <v>716</v>
      </c>
      <c r="B39" s="548" t="s">
        <v>518</v>
      </c>
      <c r="C39" s="549">
        <v>45420</v>
      </c>
      <c r="D39" s="549">
        <v>45420</v>
      </c>
      <c r="E39" s="549">
        <v>45420</v>
      </c>
      <c r="F39" s="492" t="s">
        <v>699</v>
      </c>
      <c r="G39" s="492" t="s">
        <v>699</v>
      </c>
      <c r="H39" s="492">
        <v>17846.599999999999</v>
      </c>
      <c r="J39" s="391"/>
      <c r="K39" s="400"/>
      <c r="L39" s="400"/>
      <c r="M39" s="391"/>
      <c r="N39" s="400"/>
      <c r="O39" s="400"/>
      <c r="P39" s="400"/>
    </row>
    <row r="40" spans="1:16" ht="12.75" hidden="1" customHeight="1">
      <c r="A40" s="548" t="s">
        <v>752</v>
      </c>
      <c r="B40" s="548" t="s">
        <v>639</v>
      </c>
      <c r="C40" s="549">
        <v>105000</v>
      </c>
      <c r="D40" s="549">
        <v>105000</v>
      </c>
      <c r="E40" s="549">
        <v>105000</v>
      </c>
      <c r="F40" s="492" t="s">
        <v>699</v>
      </c>
      <c r="G40" s="492" t="s">
        <v>699</v>
      </c>
      <c r="H40" s="492">
        <v>7000</v>
      </c>
      <c r="J40" s="391"/>
      <c r="K40" s="400"/>
      <c r="L40" s="400"/>
      <c r="M40" s="391"/>
      <c r="N40" s="400"/>
      <c r="O40" s="400"/>
      <c r="P40" s="400"/>
    </row>
    <row r="41" spans="1:16" ht="12.75" hidden="1" customHeight="1">
      <c r="A41" s="548" t="s">
        <v>718</v>
      </c>
      <c r="B41" s="548" t="s">
        <v>650</v>
      </c>
      <c r="C41" s="549">
        <v>23500</v>
      </c>
      <c r="D41" s="549">
        <v>23500</v>
      </c>
      <c r="E41" s="549">
        <v>23500</v>
      </c>
      <c r="F41" s="492" t="s">
        <v>699</v>
      </c>
      <c r="G41" s="492" t="s">
        <v>699</v>
      </c>
      <c r="H41" s="492">
        <v>14000</v>
      </c>
      <c r="J41" s="391"/>
      <c r="K41" s="400"/>
      <c r="L41" s="400"/>
      <c r="M41" s="391"/>
      <c r="N41" s="400"/>
      <c r="O41" s="400"/>
      <c r="P41" s="400"/>
    </row>
    <row r="42" spans="1:16" ht="12.75" hidden="1" customHeight="1">
      <c r="A42" s="548" t="s">
        <v>966</v>
      </c>
      <c r="B42" s="548" t="s">
        <v>967</v>
      </c>
      <c r="C42" s="549">
        <v>712600</v>
      </c>
      <c r="D42" s="549">
        <v>712600</v>
      </c>
      <c r="E42" s="549">
        <v>712600</v>
      </c>
      <c r="F42" s="492" t="s">
        <v>699</v>
      </c>
      <c r="G42" s="492" t="s">
        <v>699</v>
      </c>
      <c r="H42" s="492">
        <v>45420</v>
      </c>
      <c r="J42" s="391"/>
      <c r="K42" s="400"/>
      <c r="L42" s="400"/>
      <c r="M42" s="391"/>
      <c r="N42" s="400"/>
      <c r="O42" s="400"/>
      <c r="P42" s="400"/>
    </row>
    <row r="43" spans="1:16" ht="12.75" hidden="1" customHeight="1">
      <c r="A43" s="548" t="s">
        <v>719</v>
      </c>
      <c r="B43" s="548" t="s">
        <v>651</v>
      </c>
      <c r="C43" s="549">
        <v>-928209.5</v>
      </c>
      <c r="D43" s="549">
        <v>-928209.5</v>
      </c>
      <c r="E43" s="549">
        <v>-928209.5</v>
      </c>
      <c r="F43" s="492" t="s">
        <v>699</v>
      </c>
      <c r="G43" s="492" t="s">
        <v>699</v>
      </c>
      <c r="H43" s="492">
        <v>200</v>
      </c>
      <c r="J43" s="391"/>
      <c r="K43" s="400"/>
      <c r="L43" s="400"/>
      <c r="M43" s="391"/>
      <c r="N43" s="400"/>
      <c r="O43" s="400"/>
      <c r="P43" s="400"/>
    </row>
    <row r="44" spans="1:16" ht="12.75" hidden="1" customHeight="1">
      <c r="A44" s="548" t="s">
        <v>720</v>
      </c>
      <c r="B44" s="548" t="s">
        <v>692</v>
      </c>
      <c r="C44" s="549">
        <v>278050</v>
      </c>
      <c r="D44" s="549">
        <v>278050</v>
      </c>
      <c r="E44" s="549">
        <v>278050</v>
      </c>
      <c r="F44" s="492" t="s">
        <v>699</v>
      </c>
      <c r="G44" s="492" t="s">
        <v>699</v>
      </c>
      <c r="H44" s="492">
        <v>308246</v>
      </c>
      <c r="J44" s="391"/>
      <c r="K44" s="400"/>
      <c r="L44" s="400"/>
      <c r="M44" s="391"/>
      <c r="N44" s="400"/>
      <c r="O44" s="400"/>
      <c r="P44" s="400"/>
    </row>
    <row r="45" spans="1:16" ht="12.75" hidden="1" customHeight="1">
      <c r="A45" s="548" t="s">
        <v>968</v>
      </c>
      <c r="B45" s="548" t="s">
        <v>969</v>
      </c>
      <c r="C45" s="549">
        <v>17750</v>
      </c>
      <c r="D45" s="549">
        <v>17750</v>
      </c>
      <c r="E45" s="549">
        <v>17750</v>
      </c>
      <c r="F45" s="492" t="s">
        <v>699</v>
      </c>
      <c r="G45" s="492" t="s">
        <v>699</v>
      </c>
      <c r="H45" s="492">
        <v>11200</v>
      </c>
      <c r="J45" s="391"/>
      <c r="K45" s="400"/>
      <c r="L45" s="400"/>
      <c r="M45" s="391"/>
      <c r="N45" s="400"/>
      <c r="O45" s="400"/>
      <c r="P45" s="400"/>
    </row>
    <row r="46" spans="1:16" ht="12.75" hidden="1" customHeight="1">
      <c r="A46" s="548" t="s">
        <v>721</v>
      </c>
      <c r="B46" s="548" t="s">
        <v>693</v>
      </c>
      <c r="C46" s="549">
        <v>5400</v>
      </c>
      <c r="D46" s="549">
        <v>5400</v>
      </c>
      <c r="E46" s="549">
        <v>5400</v>
      </c>
      <c r="F46" s="492" t="s">
        <v>699</v>
      </c>
      <c r="G46" s="492" t="s">
        <v>699</v>
      </c>
      <c r="H46" s="492">
        <v>9200</v>
      </c>
      <c r="J46" s="391"/>
      <c r="K46" s="400"/>
      <c r="L46" s="400"/>
      <c r="M46" s="391"/>
      <c r="N46" s="400"/>
      <c r="O46" s="400"/>
      <c r="P46" s="400"/>
    </row>
    <row r="47" spans="1:16" ht="12.75" hidden="1" customHeight="1">
      <c r="A47" s="548" t="s">
        <v>722</v>
      </c>
      <c r="B47" s="548" t="s">
        <v>640</v>
      </c>
      <c r="C47" s="549">
        <v>405120</v>
      </c>
      <c r="D47" s="549">
        <v>405120</v>
      </c>
      <c r="E47" s="549">
        <v>405120</v>
      </c>
      <c r="F47" s="492" t="s">
        <v>699</v>
      </c>
      <c r="G47" s="492" t="s">
        <v>699</v>
      </c>
      <c r="H47" s="492">
        <v>9000</v>
      </c>
      <c r="J47" s="391"/>
      <c r="K47" s="400"/>
      <c r="L47" s="400"/>
      <c r="M47" s="391"/>
      <c r="N47" s="400"/>
      <c r="O47" s="400"/>
      <c r="P47" s="400"/>
    </row>
    <row r="48" spans="1:16" ht="12.75" hidden="1" customHeight="1">
      <c r="A48" s="548" t="s">
        <v>970</v>
      </c>
      <c r="B48" s="548" t="s">
        <v>971</v>
      </c>
      <c r="C48" s="549">
        <v>86400</v>
      </c>
      <c r="D48" s="549">
        <v>86400</v>
      </c>
      <c r="E48" s="549">
        <v>86400</v>
      </c>
      <c r="F48" s="492" t="s">
        <v>699</v>
      </c>
      <c r="G48" s="492" t="s">
        <v>699</v>
      </c>
      <c r="H48" s="492">
        <v>4000</v>
      </c>
      <c r="J48" s="391"/>
      <c r="K48" s="400"/>
      <c r="L48" s="400"/>
      <c r="M48" s="391"/>
      <c r="N48" s="400"/>
      <c r="O48" s="400"/>
      <c r="P48" s="400"/>
    </row>
    <row r="49" spans="1:16" ht="12.75" hidden="1" customHeight="1">
      <c r="A49" s="548" t="s">
        <v>972</v>
      </c>
      <c r="B49" s="548" t="s">
        <v>973</v>
      </c>
      <c r="C49" s="549">
        <v>24000</v>
      </c>
      <c r="D49" s="549">
        <v>24000</v>
      </c>
      <c r="E49" s="549">
        <v>24000</v>
      </c>
      <c r="F49" s="492" t="s">
        <v>699</v>
      </c>
      <c r="G49" s="492" t="s">
        <v>699</v>
      </c>
      <c r="H49" s="492">
        <v>3000</v>
      </c>
      <c r="J49" s="391"/>
      <c r="K49" s="400"/>
      <c r="L49" s="400"/>
      <c r="M49" s="391"/>
      <c r="N49" s="400"/>
      <c r="O49" s="400"/>
      <c r="P49" s="400"/>
    </row>
    <row r="50" spans="1:16" ht="12.75" hidden="1" customHeight="1">
      <c r="A50" s="548" t="s">
        <v>974</v>
      </c>
      <c r="B50" s="548" t="s">
        <v>975</v>
      </c>
      <c r="C50" s="549">
        <v>16300</v>
      </c>
      <c r="D50" s="549">
        <v>16300</v>
      </c>
      <c r="E50" s="549">
        <v>16300</v>
      </c>
      <c r="F50" s="492" t="s">
        <v>699</v>
      </c>
      <c r="G50" s="492" t="s">
        <v>699</v>
      </c>
      <c r="H50" s="492">
        <v>33000</v>
      </c>
      <c r="J50" s="391"/>
      <c r="K50" s="400"/>
      <c r="L50" s="400"/>
      <c r="M50" s="391"/>
      <c r="N50" s="400"/>
      <c r="O50" s="400"/>
      <c r="P50" s="400"/>
    </row>
    <row r="51" spans="1:16" ht="12.75" hidden="1" customHeight="1">
      <c r="A51" s="548" t="s">
        <v>976</v>
      </c>
      <c r="B51" s="548" t="s">
        <v>977</v>
      </c>
      <c r="C51" s="549">
        <v>66000</v>
      </c>
      <c r="D51" s="549">
        <v>66000</v>
      </c>
      <c r="E51" s="549">
        <v>66000</v>
      </c>
      <c r="F51" s="492" t="s">
        <v>699</v>
      </c>
      <c r="G51" s="492" t="s">
        <v>699</v>
      </c>
      <c r="H51" s="492">
        <v>75000</v>
      </c>
      <c r="J51" s="391"/>
      <c r="K51" s="400"/>
      <c r="L51" s="400"/>
      <c r="M51" s="391"/>
      <c r="N51" s="400"/>
      <c r="O51" s="400"/>
      <c r="P51" s="400"/>
    </row>
    <row r="52" spans="1:16" ht="12.75" hidden="1" customHeight="1">
      <c r="A52" s="548" t="s">
        <v>723</v>
      </c>
      <c r="B52" s="548" t="s">
        <v>724</v>
      </c>
      <c r="C52" s="549">
        <v>17795</v>
      </c>
      <c r="D52" s="549">
        <v>17795</v>
      </c>
      <c r="E52" s="549">
        <v>17795</v>
      </c>
      <c r="F52" s="492" t="s">
        <v>699</v>
      </c>
      <c r="G52" s="492" t="s">
        <v>699</v>
      </c>
      <c r="H52" s="492">
        <v>911948</v>
      </c>
      <c r="J52" s="391"/>
      <c r="K52" s="400"/>
      <c r="L52" s="400"/>
      <c r="M52" s="391"/>
      <c r="N52" s="400"/>
      <c r="O52" s="400"/>
      <c r="P52" s="400"/>
    </row>
    <row r="53" spans="1:16" ht="12.75" hidden="1" customHeight="1">
      <c r="A53" s="548" t="s">
        <v>725</v>
      </c>
      <c r="B53" s="548" t="s">
        <v>726</v>
      </c>
      <c r="C53" s="549">
        <v>40400</v>
      </c>
      <c r="D53" s="549">
        <v>40400</v>
      </c>
      <c r="E53" s="549">
        <v>40400</v>
      </c>
      <c r="F53" s="492" t="s">
        <v>699</v>
      </c>
      <c r="G53" s="492" t="s">
        <v>699</v>
      </c>
      <c r="H53" s="492">
        <v>394700.11</v>
      </c>
      <c r="J53" s="391"/>
      <c r="K53" s="400"/>
      <c r="L53" s="400"/>
      <c r="M53" s="391"/>
      <c r="N53" s="400"/>
      <c r="O53" s="400"/>
      <c r="P53" s="400"/>
    </row>
    <row r="54" spans="1:16" ht="12.75" hidden="1" customHeight="1">
      <c r="A54" s="548" t="s">
        <v>727</v>
      </c>
      <c r="B54" s="548" t="s">
        <v>519</v>
      </c>
      <c r="C54" s="549">
        <v>195500</v>
      </c>
      <c r="D54" s="549">
        <v>195500</v>
      </c>
      <c r="E54" s="549">
        <v>195500</v>
      </c>
      <c r="F54" s="492" t="s">
        <v>699</v>
      </c>
      <c r="G54" s="492" t="s">
        <v>699</v>
      </c>
      <c r="H54" s="492">
        <v>56880</v>
      </c>
      <c r="J54" s="391"/>
      <c r="K54" s="400"/>
      <c r="L54" s="400"/>
      <c r="M54" s="391"/>
      <c r="N54" s="400"/>
      <c r="O54" s="400"/>
      <c r="P54" s="400"/>
    </row>
    <row r="55" spans="1:16" ht="12.75" hidden="1" customHeight="1">
      <c r="A55" s="548" t="s">
        <v>728</v>
      </c>
      <c r="B55" s="548" t="s">
        <v>520</v>
      </c>
      <c r="C55" s="549">
        <v>27500</v>
      </c>
      <c r="D55" s="549">
        <v>27500</v>
      </c>
      <c r="E55" s="549">
        <v>27500</v>
      </c>
      <c r="F55" s="492" t="s">
        <v>699</v>
      </c>
      <c r="G55" s="492" t="s">
        <v>699</v>
      </c>
      <c r="H55" s="492">
        <v>23500</v>
      </c>
      <c r="J55" s="391"/>
      <c r="K55" s="400"/>
      <c r="L55" s="400"/>
      <c r="M55" s="391"/>
      <c r="N55" s="400"/>
      <c r="O55" s="400"/>
      <c r="P55" s="400"/>
    </row>
    <row r="56" spans="1:16" ht="12.75" hidden="1" customHeight="1">
      <c r="A56" s="548" t="s">
        <v>729</v>
      </c>
      <c r="B56" s="548" t="s">
        <v>637</v>
      </c>
      <c r="C56" s="549">
        <v>43000</v>
      </c>
      <c r="D56" s="549">
        <v>43000</v>
      </c>
      <c r="E56" s="549">
        <v>43000</v>
      </c>
      <c r="F56" s="492" t="s">
        <v>699</v>
      </c>
      <c r="G56" s="492" t="s">
        <v>699</v>
      </c>
      <c r="H56" s="492">
        <v>371640.5</v>
      </c>
      <c r="J56" s="391"/>
      <c r="K56" s="400"/>
      <c r="L56" s="400"/>
      <c r="M56" s="391"/>
      <c r="N56" s="400"/>
      <c r="O56" s="400"/>
      <c r="P56" s="400"/>
    </row>
    <row r="57" spans="1:16" ht="12.75" hidden="1" customHeight="1">
      <c r="A57" s="548" t="s">
        <v>978</v>
      </c>
      <c r="B57" s="548" t="s">
        <v>979</v>
      </c>
      <c r="C57" s="549">
        <v>5500</v>
      </c>
      <c r="D57" s="549">
        <v>5500</v>
      </c>
      <c r="E57" s="549">
        <v>5500</v>
      </c>
      <c r="F57" s="492" t="s">
        <v>699</v>
      </c>
      <c r="G57" s="492" t="s">
        <v>699</v>
      </c>
      <c r="H57" s="492">
        <v>64800</v>
      </c>
      <c r="J57" s="391"/>
      <c r="K57" s="400"/>
      <c r="L57" s="400"/>
      <c r="M57" s="391"/>
      <c r="N57" s="400"/>
      <c r="O57" s="400"/>
      <c r="P57" s="400"/>
    </row>
    <row r="58" spans="1:16" ht="12.75" hidden="1" customHeight="1">
      <c r="A58" s="548" t="s">
        <v>730</v>
      </c>
      <c r="B58" s="548" t="s">
        <v>575</v>
      </c>
      <c r="C58" s="549">
        <v>58000</v>
      </c>
      <c r="D58" s="549">
        <v>58000</v>
      </c>
      <c r="E58" s="549">
        <v>58000</v>
      </c>
      <c r="F58" s="492" t="s">
        <v>699</v>
      </c>
      <c r="G58" s="492" t="s">
        <v>699</v>
      </c>
      <c r="H58" s="492">
        <v>278050</v>
      </c>
      <c r="J58" s="391"/>
      <c r="K58" s="400"/>
      <c r="L58" s="400"/>
      <c r="M58" s="391"/>
      <c r="N58" s="400"/>
      <c r="O58" s="400"/>
      <c r="P58" s="400"/>
    </row>
    <row r="59" spans="1:16" ht="12.75" hidden="1" customHeight="1">
      <c r="A59" s="548" t="s">
        <v>731</v>
      </c>
      <c r="B59" s="548" t="s">
        <v>521</v>
      </c>
      <c r="C59" s="549">
        <v>100100</v>
      </c>
      <c r="D59" s="549">
        <v>100100</v>
      </c>
      <c r="E59" s="549">
        <v>100100</v>
      </c>
      <c r="F59" s="492" t="s">
        <v>699</v>
      </c>
      <c r="G59" s="492" t="s">
        <v>699</v>
      </c>
      <c r="H59" s="492">
        <v>5400</v>
      </c>
      <c r="J59" s="391"/>
      <c r="K59" s="400"/>
      <c r="L59" s="400"/>
      <c r="M59" s="391"/>
      <c r="N59" s="400"/>
      <c r="O59" s="400"/>
      <c r="P59" s="400"/>
    </row>
    <row r="60" spans="1:16" ht="12.75" hidden="1" customHeight="1">
      <c r="A60" s="548" t="s">
        <v>732</v>
      </c>
      <c r="B60" s="548" t="s">
        <v>522</v>
      </c>
      <c r="C60" s="549">
        <v>6000</v>
      </c>
      <c r="D60" s="549">
        <v>6000</v>
      </c>
      <c r="E60" s="549">
        <v>6000</v>
      </c>
      <c r="F60" s="492" t="s">
        <v>699</v>
      </c>
      <c r="G60" s="492" t="s">
        <v>699</v>
      </c>
      <c r="H60" s="492">
        <v>784820</v>
      </c>
      <c r="J60" s="391"/>
      <c r="K60" s="400"/>
      <c r="L60" s="400"/>
      <c r="M60" s="391"/>
      <c r="N60" s="400"/>
      <c r="O60" s="400"/>
      <c r="P60" s="400"/>
    </row>
    <row r="61" spans="1:16" ht="12.75" hidden="1" customHeight="1">
      <c r="A61" s="548" t="s">
        <v>733</v>
      </c>
      <c r="B61" s="548" t="s">
        <v>576</v>
      </c>
      <c r="C61" s="549">
        <v>30200</v>
      </c>
      <c r="D61" s="549">
        <v>30200</v>
      </c>
      <c r="E61" s="549">
        <v>30200</v>
      </c>
      <c r="F61" s="492" t="s">
        <v>699</v>
      </c>
      <c r="G61" s="492" t="s">
        <v>699</v>
      </c>
      <c r="H61" s="492">
        <v>90500</v>
      </c>
      <c r="J61" s="391"/>
      <c r="K61" s="400"/>
      <c r="L61" s="400"/>
      <c r="M61" s="391"/>
      <c r="N61" s="400"/>
      <c r="O61" s="400"/>
      <c r="P61" s="400"/>
    </row>
    <row r="62" spans="1:16" ht="12.75" hidden="1" customHeight="1">
      <c r="A62" s="548" t="s">
        <v>734</v>
      </c>
      <c r="B62" s="548" t="s">
        <v>577</v>
      </c>
      <c r="C62" s="549">
        <v>6000</v>
      </c>
      <c r="D62" s="549">
        <v>6000</v>
      </c>
      <c r="E62" s="549">
        <v>6000</v>
      </c>
      <c r="F62" s="492" t="s">
        <v>699</v>
      </c>
      <c r="G62" s="492" t="s">
        <v>699</v>
      </c>
      <c r="H62" s="492">
        <v>70000</v>
      </c>
      <c r="J62" s="391"/>
      <c r="K62" s="400"/>
      <c r="L62" s="400"/>
      <c r="M62" s="391"/>
      <c r="N62" s="400"/>
      <c r="O62" s="400"/>
      <c r="P62" s="400"/>
    </row>
    <row r="63" spans="1:16" ht="12.75" hidden="1" customHeight="1">
      <c r="A63" s="548" t="s">
        <v>980</v>
      </c>
      <c r="B63" s="548" t="s">
        <v>981</v>
      </c>
      <c r="C63" s="549">
        <v>31000</v>
      </c>
      <c r="D63" s="549">
        <v>31000</v>
      </c>
      <c r="E63" s="549">
        <v>31000</v>
      </c>
      <c r="F63" s="492" t="s">
        <v>699</v>
      </c>
      <c r="G63" s="492" t="s">
        <v>699</v>
      </c>
      <c r="H63" s="492">
        <v>10800</v>
      </c>
      <c r="J63" s="391"/>
      <c r="K63" s="400"/>
      <c r="L63" s="400"/>
      <c r="M63" s="391"/>
      <c r="N63" s="400"/>
      <c r="O63" s="400"/>
      <c r="P63" s="400"/>
    </row>
    <row r="64" spans="1:16" ht="12.75" hidden="1" customHeight="1">
      <c r="A64" s="548" t="s">
        <v>982</v>
      </c>
      <c r="B64" s="548" t="s">
        <v>983</v>
      </c>
      <c r="C64" s="549">
        <v>1788000</v>
      </c>
      <c r="D64" s="549">
        <v>1788000</v>
      </c>
      <c r="E64" s="549">
        <v>1788000</v>
      </c>
      <c r="F64" s="492" t="s">
        <v>699</v>
      </c>
      <c r="G64" s="492" t="s">
        <v>699</v>
      </c>
      <c r="H64" s="492">
        <v>50500</v>
      </c>
      <c r="J64" s="391"/>
      <c r="K64" s="400"/>
      <c r="L64" s="400"/>
      <c r="M64" s="391"/>
      <c r="N64" s="400"/>
      <c r="O64" s="400"/>
      <c r="P64" s="400"/>
    </row>
    <row r="65" spans="1:16" ht="12.75" hidden="1" customHeight="1">
      <c r="A65" s="548" t="s">
        <v>735</v>
      </c>
      <c r="B65" s="548" t="s">
        <v>601</v>
      </c>
      <c r="C65" s="549">
        <v>179400</v>
      </c>
      <c r="D65" s="549">
        <v>179400</v>
      </c>
      <c r="E65" s="549">
        <v>179400</v>
      </c>
      <c r="F65" s="492" t="s">
        <v>699</v>
      </c>
      <c r="G65" s="492" t="s">
        <v>699</v>
      </c>
      <c r="H65" s="492">
        <v>17795</v>
      </c>
      <c r="J65" s="391"/>
      <c r="K65" s="400"/>
      <c r="L65" s="400"/>
      <c r="M65" s="391"/>
      <c r="N65" s="400"/>
      <c r="O65" s="400"/>
      <c r="P65" s="400"/>
    </row>
    <row r="66" spans="1:16" ht="12.75" hidden="1" customHeight="1">
      <c r="A66" s="548" t="s">
        <v>736</v>
      </c>
      <c r="B66" s="548" t="s">
        <v>652</v>
      </c>
      <c r="C66" s="549">
        <v>16700</v>
      </c>
      <c r="D66" s="549">
        <v>16700</v>
      </c>
      <c r="E66" s="549">
        <v>16700</v>
      </c>
      <c r="F66" s="492" t="s">
        <v>699</v>
      </c>
      <c r="G66" s="492" t="s">
        <v>699</v>
      </c>
      <c r="H66" s="492">
        <v>27600</v>
      </c>
      <c r="J66" s="391"/>
      <c r="K66" s="400"/>
      <c r="L66" s="400"/>
      <c r="M66" s="391"/>
      <c r="N66" s="400"/>
      <c r="O66" s="400"/>
      <c r="P66" s="400"/>
    </row>
    <row r="67" spans="1:16" ht="12.75" hidden="1" customHeight="1">
      <c r="A67" s="548" t="s">
        <v>737</v>
      </c>
      <c r="B67" s="548" t="s">
        <v>638</v>
      </c>
      <c r="C67" s="549">
        <v>141000</v>
      </c>
      <c r="D67" s="549">
        <v>141000</v>
      </c>
      <c r="E67" s="549">
        <v>141000</v>
      </c>
      <c r="F67" s="492" t="s">
        <v>699</v>
      </c>
      <c r="G67" s="492" t="s">
        <v>699</v>
      </c>
      <c r="H67" s="492">
        <v>3000</v>
      </c>
      <c r="J67" s="391"/>
      <c r="K67" s="400"/>
      <c r="L67" s="400"/>
      <c r="M67" s="391"/>
      <c r="N67" s="400"/>
      <c r="O67" s="400"/>
      <c r="P67" s="400"/>
    </row>
    <row r="68" spans="1:16" ht="12.75" hidden="1" customHeight="1">
      <c r="A68" s="548" t="s">
        <v>738</v>
      </c>
      <c r="B68" s="548" t="s">
        <v>694</v>
      </c>
      <c r="C68" s="549">
        <v>102000</v>
      </c>
      <c r="D68" s="549">
        <v>102000</v>
      </c>
      <c r="E68" s="549">
        <v>102000</v>
      </c>
      <c r="F68" s="492" t="s">
        <v>699</v>
      </c>
      <c r="G68" s="492" t="s">
        <v>699</v>
      </c>
      <c r="H68" s="492">
        <v>195500</v>
      </c>
      <c r="J68" s="391"/>
      <c r="K68" s="400"/>
      <c r="L68" s="400"/>
      <c r="M68" s="391"/>
      <c r="N68" s="400"/>
      <c r="O68" s="400"/>
      <c r="P68" s="400"/>
    </row>
    <row r="69" spans="1:16" ht="12.75" hidden="1" customHeight="1">
      <c r="A69" s="548" t="s">
        <v>984</v>
      </c>
      <c r="B69" s="548" t="s">
        <v>985</v>
      </c>
      <c r="C69" s="549">
        <v>119500</v>
      </c>
      <c r="D69" s="549">
        <v>119500</v>
      </c>
      <c r="E69" s="549">
        <v>119500</v>
      </c>
      <c r="F69" s="492" t="s">
        <v>699</v>
      </c>
      <c r="G69" s="492" t="s">
        <v>699</v>
      </c>
      <c r="H69" s="492">
        <v>25500</v>
      </c>
      <c r="J69" s="391"/>
      <c r="K69" s="400"/>
      <c r="L69" s="400"/>
      <c r="M69" s="391"/>
      <c r="N69" s="400"/>
      <c r="O69" s="400"/>
      <c r="P69" s="400"/>
    </row>
    <row r="70" spans="1:16" ht="12.75" hidden="1" customHeight="1">
      <c r="A70" s="548" t="s">
        <v>739</v>
      </c>
      <c r="B70" s="548" t="s">
        <v>602</v>
      </c>
      <c r="C70" s="549">
        <v>18500</v>
      </c>
      <c r="D70" s="549">
        <v>18500</v>
      </c>
      <c r="E70" s="549">
        <v>18500</v>
      </c>
      <c r="F70" s="492" t="s">
        <v>699</v>
      </c>
      <c r="G70" s="492" t="s">
        <v>699</v>
      </c>
      <c r="H70" s="492">
        <v>5500</v>
      </c>
      <c r="J70" s="391"/>
      <c r="K70" s="400"/>
      <c r="L70" s="400"/>
      <c r="M70" s="391"/>
      <c r="N70" s="400"/>
      <c r="O70" s="400"/>
      <c r="P70" s="400"/>
    </row>
    <row r="71" spans="1:16" ht="12.75" hidden="1" customHeight="1">
      <c r="A71" s="548" t="s">
        <v>986</v>
      </c>
      <c r="B71" s="548" t="s">
        <v>987</v>
      </c>
      <c r="C71" s="549">
        <v>148400</v>
      </c>
      <c r="D71" s="549">
        <v>148400</v>
      </c>
      <c r="E71" s="549">
        <v>148400</v>
      </c>
      <c r="F71" s="492" t="s">
        <v>699</v>
      </c>
      <c r="G71" s="492" t="s">
        <v>699</v>
      </c>
      <c r="H71" s="492">
        <v>43500</v>
      </c>
      <c r="J71" s="391"/>
      <c r="K71" s="400"/>
      <c r="L71" s="400"/>
      <c r="M71" s="391"/>
      <c r="N71" s="400"/>
      <c r="O71" s="400"/>
      <c r="P71" s="400"/>
    </row>
    <row r="72" spans="1:16" ht="12.75" hidden="1" customHeight="1">
      <c r="A72" s="548" t="s">
        <v>740</v>
      </c>
      <c r="B72" s="548" t="s">
        <v>741</v>
      </c>
      <c r="C72" s="549">
        <v>11863078</v>
      </c>
      <c r="D72" s="549">
        <v>11863078</v>
      </c>
      <c r="E72" s="549">
        <v>11863078</v>
      </c>
      <c r="F72" s="492" t="s">
        <v>699</v>
      </c>
      <c r="G72" s="492" t="s">
        <v>699</v>
      </c>
      <c r="H72" s="492">
        <v>29500</v>
      </c>
      <c r="J72" s="391"/>
      <c r="K72" s="400"/>
      <c r="L72" s="400"/>
      <c r="M72" s="391"/>
      <c r="N72" s="400"/>
      <c r="O72" s="400"/>
      <c r="P72" s="400"/>
    </row>
    <row r="73" spans="1:16" ht="12.75" hidden="1" customHeight="1">
      <c r="A73" s="548" t="s">
        <v>988</v>
      </c>
      <c r="B73" s="548" t="s">
        <v>989</v>
      </c>
      <c r="C73" s="549">
        <v>27500</v>
      </c>
      <c r="D73" s="549">
        <v>27500</v>
      </c>
      <c r="E73" s="549">
        <v>27500</v>
      </c>
      <c r="F73" s="492" t="s">
        <v>699</v>
      </c>
      <c r="G73" s="492" t="s">
        <v>699</v>
      </c>
      <c r="H73" s="492">
        <v>47500</v>
      </c>
      <c r="J73" s="391"/>
      <c r="K73" s="400"/>
      <c r="L73" s="400"/>
      <c r="M73" s="391"/>
      <c r="N73" s="400"/>
      <c r="O73" s="400"/>
      <c r="P73" s="400"/>
    </row>
    <row r="74" spans="1:16" ht="12.75" hidden="1" customHeight="1">
      <c r="A74" s="548" t="s">
        <v>744</v>
      </c>
      <c r="B74" s="548" t="s">
        <v>695</v>
      </c>
      <c r="C74" s="549">
        <v>42000</v>
      </c>
      <c r="D74" s="549">
        <v>42000</v>
      </c>
      <c r="E74" s="549">
        <v>42000</v>
      </c>
      <c r="F74" s="492" t="s">
        <v>699</v>
      </c>
      <c r="G74" s="492" t="s">
        <v>699</v>
      </c>
      <c r="H74" s="492">
        <v>100100</v>
      </c>
      <c r="J74" s="391"/>
      <c r="K74" s="400"/>
      <c r="L74" s="400"/>
      <c r="M74" s="391"/>
      <c r="N74" s="400"/>
      <c r="O74" s="400"/>
      <c r="P74" s="400"/>
    </row>
    <row r="75" spans="1:16" ht="12.75" hidden="1" customHeight="1">
      <c r="A75" s="548" t="s">
        <v>745</v>
      </c>
      <c r="B75" s="548" t="s">
        <v>990</v>
      </c>
      <c r="C75" s="549">
        <v>130173</v>
      </c>
      <c r="D75" s="549">
        <v>130173</v>
      </c>
      <c r="E75" s="549">
        <v>130173</v>
      </c>
      <c r="F75" s="492" t="s">
        <v>699</v>
      </c>
      <c r="G75" s="492" t="s">
        <v>699</v>
      </c>
      <c r="H75" s="492">
        <v>6000</v>
      </c>
      <c r="J75" s="391"/>
      <c r="K75" s="400"/>
      <c r="L75" s="400"/>
      <c r="M75" s="391"/>
      <c r="N75" s="400"/>
      <c r="O75" s="400"/>
      <c r="P75" s="400"/>
    </row>
    <row r="76" spans="1:16" ht="12.75" hidden="1" customHeight="1">
      <c r="A76" s="548" t="s">
        <v>747</v>
      </c>
      <c r="B76" s="548" t="s">
        <v>578</v>
      </c>
      <c r="C76" s="549">
        <v>428150</v>
      </c>
      <c r="D76" s="549">
        <v>428150</v>
      </c>
      <c r="E76" s="549">
        <v>428150</v>
      </c>
      <c r="F76" s="492" t="s">
        <v>699</v>
      </c>
      <c r="G76" s="492" t="s">
        <v>699</v>
      </c>
      <c r="H76" s="492">
        <v>30200</v>
      </c>
      <c r="J76" s="391"/>
      <c r="K76" s="400"/>
      <c r="L76" s="400"/>
      <c r="M76" s="391"/>
      <c r="N76" s="400"/>
      <c r="O76" s="400"/>
      <c r="P76" s="400"/>
    </row>
    <row r="77" spans="1:16" ht="12.75" hidden="1" customHeight="1">
      <c r="A77" s="548" t="s">
        <v>748</v>
      </c>
      <c r="B77" s="548" t="s">
        <v>749</v>
      </c>
      <c r="C77" s="549">
        <v>9000</v>
      </c>
      <c r="D77" s="549">
        <v>9000</v>
      </c>
      <c r="E77" s="549">
        <v>9000</v>
      </c>
      <c r="F77" s="492" t="s">
        <v>699</v>
      </c>
      <c r="G77" s="492" t="s">
        <v>699</v>
      </c>
      <c r="H77" s="492">
        <v>6000</v>
      </c>
      <c r="J77" s="391"/>
      <c r="K77" s="400"/>
      <c r="L77" s="400"/>
      <c r="M77" s="391"/>
      <c r="N77" s="400"/>
      <c r="O77" s="400"/>
      <c r="P77" s="400"/>
    </row>
    <row r="78" spans="1:16" ht="12.75" hidden="1" customHeight="1">
      <c r="A78" s="548" t="s">
        <v>750</v>
      </c>
      <c r="B78" s="548" t="s">
        <v>751</v>
      </c>
      <c r="C78" s="549">
        <v>21000</v>
      </c>
      <c r="D78" s="549">
        <v>21000</v>
      </c>
      <c r="E78" s="549">
        <v>21000</v>
      </c>
      <c r="F78" s="492" t="s">
        <v>699</v>
      </c>
      <c r="G78" s="492" t="s">
        <v>699</v>
      </c>
      <c r="H78" s="492">
        <v>20400</v>
      </c>
      <c r="J78" s="391"/>
      <c r="K78" s="400"/>
      <c r="L78" s="400"/>
      <c r="M78" s="391"/>
      <c r="N78" s="400"/>
      <c r="O78" s="400"/>
      <c r="P78" s="400"/>
    </row>
    <row r="79" spans="1:16" ht="19.5" hidden="1" customHeight="1">
      <c r="A79" s="550"/>
      <c r="B79" s="550" t="s">
        <v>753</v>
      </c>
      <c r="C79" s="551">
        <f>SUM(C28:C78)</f>
        <v>18499447</v>
      </c>
      <c r="D79" s="551">
        <f>SUM(D28:D78)</f>
        <v>18499447</v>
      </c>
      <c r="E79" s="551">
        <f>SUM(E28:E78)</f>
        <v>18499447</v>
      </c>
      <c r="F79" s="492" t="s">
        <v>699</v>
      </c>
      <c r="G79" s="492" t="s">
        <v>699</v>
      </c>
      <c r="H79" s="492">
        <v>18000</v>
      </c>
      <c r="J79" s="391"/>
      <c r="K79" s="400"/>
      <c r="L79" s="400"/>
      <c r="M79" s="391"/>
      <c r="N79" s="400"/>
      <c r="O79" s="400"/>
      <c r="P79" s="400"/>
    </row>
    <row r="80" spans="1:16" ht="12.75" hidden="1" customHeight="1">
      <c r="B80" s="391"/>
      <c r="C80" s="391"/>
      <c r="D80" s="391"/>
      <c r="E80" s="391"/>
      <c r="F80" s="391"/>
      <c r="G80" s="391"/>
      <c r="H80" s="391"/>
      <c r="I80" s="391"/>
      <c r="J80" s="391"/>
      <c r="K80" s="400"/>
      <c r="L80" s="400"/>
      <c r="M80" s="391"/>
      <c r="N80" s="400"/>
      <c r="O80" s="400"/>
      <c r="P80" s="400"/>
    </row>
    <row r="81" spans="1:27" ht="12.75" hidden="1" customHeight="1">
      <c r="B81" s="391"/>
      <c r="C81" s="391"/>
      <c r="D81" s="391"/>
      <c r="E81" s="391"/>
      <c r="F81" s="391"/>
      <c r="G81" s="391"/>
      <c r="H81" s="391"/>
      <c r="I81" s="391"/>
      <c r="J81" s="391"/>
      <c r="K81" s="400"/>
      <c r="L81" s="400"/>
      <c r="M81" s="391"/>
      <c r="N81" s="400"/>
      <c r="O81" s="400"/>
      <c r="P81" s="400"/>
    </row>
    <row r="82" spans="1:27" ht="12.75" customHeight="1">
      <c r="B82" s="391"/>
      <c r="C82" s="391"/>
      <c r="D82" s="391"/>
      <c r="E82" s="391"/>
      <c r="F82" s="391"/>
      <c r="G82" s="391"/>
      <c r="H82" s="391"/>
      <c r="I82" s="391"/>
      <c r="J82" s="391"/>
      <c r="K82" s="400"/>
      <c r="L82" s="400"/>
      <c r="M82" s="391"/>
      <c r="N82" s="400"/>
      <c r="O82" s="400"/>
      <c r="P82" s="400"/>
    </row>
    <row r="83" spans="1:27" ht="12.75" customHeight="1">
      <c r="B83" s="391"/>
      <c r="C83" s="391"/>
      <c r="D83" s="391"/>
      <c r="E83" s="391"/>
      <c r="F83" s="391"/>
      <c r="G83" s="391"/>
      <c r="H83" s="391"/>
      <c r="I83" s="391"/>
      <c r="J83" s="391"/>
      <c r="K83" s="400"/>
      <c r="L83" s="400"/>
      <c r="M83" s="391"/>
      <c r="N83" s="400"/>
      <c r="O83" s="400"/>
      <c r="P83" s="400"/>
    </row>
    <row r="84" spans="1:27" ht="12.75" customHeight="1">
      <c r="B84" s="391"/>
      <c r="C84" s="391"/>
      <c r="D84" s="391"/>
      <c r="E84" s="391"/>
      <c r="F84" s="391"/>
      <c r="G84" s="391"/>
      <c r="H84" s="391"/>
      <c r="I84" s="391"/>
      <c r="J84" s="391"/>
      <c r="K84" s="400"/>
      <c r="L84" s="400"/>
      <c r="M84" s="391"/>
      <c r="N84" s="400"/>
      <c r="O84" s="400"/>
      <c r="P84" s="400"/>
    </row>
    <row r="85" spans="1:27" ht="12.75" customHeight="1">
      <c r="B85" s="391"/>
      <c r="C85" s="391"/>
      <c r="D85" s="391"/>
      <c r="E85" s="391"/>
      <c r="F85" s="391"/>
      <c r="G85" s="391"/>
      <c r="H85" s="391"/>
      <c r="I85" s="391"/>
      <c r="J85" s="391"/>
      <c r="K85" s="400"/>
      <c r="L85" s="400"/>
      <c r="M85" s="391"/>
      <c r="N85" s="400"/>
      <c r="O85" s="400"/>
      <c r="P85" s="400"/>
    </row>
    <row r="86" spans="1:27" ht="18" customHeight="1">
      <c r="A86" s="428"/>
      <c r="B86" s="428"/>
      <c r="C86" s="429"/>
      <c r="D86" s="429"/>
      <c r="E86" s="429"/>
      <c r="F86" s="429"/>
      <c r="G86" s="429"/>
      <c r="H86" s="429"/>
      <c r="I86" s="429"/>
      <c r="J86" s="391"/>
      <c r="K86" s="400"/>
      <c r="L86" s="400"/>
      <c r="M86" s="391"/>
      <c r="N86" s="400"/>
      <c r="O86" s="400"/>
      <c r="P86" s="400"/>
    </row>
    <row r="87" spans="1:27">
      <c r="B87" s="391" t="s">
        <v>436</v>
      </c>
      <c r="C87" s="391"/>
      <c r="D87" s="391"/>
      <c r="E87" s="391"/>
      <c r="F87" s="391"/>
      <c r="G87" s="391"/>
      <c r="H87" s="391"/>
      <c r="I87" s="391"/>
      <c r="J87" s="391"/>
      <c r="K87" s="400"/>
      <c r="L87" s="400"/>
      <c r="M87" s="391"/>
      <c r="N87" s="400"/>
      <c r="O87" s="400"/>
      <c r="P87" s="400"/>
    </row>
    <row r="88" spans="1:27">
      <c r="C88" s="384" t="str">
        <f>+C19</f>
        <v>31 Dhjetor 2018</v>
      </c>
      <c r="D88" s="384" t="str">
        <f>+D19</f>
        <v>31 Dhjetor 2017</v>
      </c>
      <c r="E88" s="384" t="str">
        <f>+E19</f>
        <v>31 Dhjetor 2016</v>
      </c>
      <c r="F88" s="384" t="str">
        <f t="shared" ref="F88:K88" si="4">+F19</f>
        <v>31 Dhjetor 2015</v>
      </c>
      <c r="G88" s="384" t="str">
        <f t="shared" si="4"/>
        <v>31 Dhjetor 2014</v>
      </c>
      <c r="H88" s="384" t="str">
        <f t="shared" si="4"/>
        <v>31 Dhjetor 2013</v>
      </c>
      <c r="I88" s="384" t="str">
        <f t="shared" si="4"/>
        <v>31 Dhjetor 2012</v>
      </c>
      <c r="J88" s="384" t="str">
        <f t="shared" si="4"/>
        <v>31 Dhjetor 2011</v>
      </c>
      <c r="K88" s="384" t="str">
        <f t="shared" si="4"/>
        <v>31 Dhjetor 2010</v>
      </c>
      <c r="L88" s="384" t="s">
        <v>569</v>
      </c>
      <c r="N88" s="384" t="s">
        <v>110</v>
      </c>
      <c r="O88" s="394"/>
      <c r="P88" s="384" t="s">
        <v>100</v>
      </c>
    </row>
    <row r="89" spans="1:27">
      <c r="B89" s="383" t="s">
        <v>656</v>
      </c>
      <c r="C89" s="401">
        <f>+'Bilanci Alpha'!D52</f>
        <v>0</v>
      </c>
      <c r="D89" s="401">
        <f>+'Bilanci Alpha'!E52</f>
        <v>0</v>
      </c>
      <c r="E89" s="401">
        <f>+'Bilanci Alpha'!F52</f>
        <v>0</v>
      </c>
      <c r="F89" s="401">
        <f>+'Bilanci Alpha'!G52</f>
        <v>0</v>
      </c>
      <c r="G89" s="401">
        <f>+'Bilanci Alpha'!H52</f>
        <v>3293640</v>
      </c>
      <c r="H89" s="401">
        <f>+'Bilanci Alpha'!I52</f>
        <v>0</v>
      </c>
      <c r="I89" s="401">
        <f>+'Bilanci Alpha'!J52</f>
        <v>715600</v>
      </c>
      <c r="J89" s="401">
        <v>0</v>
      </c>
      <c r="K89" s="401">
        <v>350000</v>
      </c>
      <c r="L89" s="401">
        <v>350000</v>
      </c>
      <c r="M89" s="383"/>
      <c r="N89" s="401">
        <v>320833</v>
      </c>
      <c r="O89" s="401"/>
      <c r="P89" s="401">
        <v>0</v>
      </c>
    </row>
    <row r="90" spans="1:27">
      <c r="B90" s="383"/>
      <c r="C90" s="383"/>
      <c r="D90" s="383"/>
      <c r="E90" s="383"/>
      <c r="F90" s="383"/>
      <c r="G90" s="383"/>
      <c r="H90" s="383"/>
      <c r="I90" s="383"/>
      <c r="J90" s="383"/>
      <c r="K90" s="401"/>
      <c r="L90" s="401">
        <v>88624</v>
      </c>
      <c r="M90" s="383"/>
      <c r="N90" s="401">
        <v>300313</v>
      </c>
      <c r="O90" s="401"/>
      <c r="P90" s="401">
        <v>0</v>
      </c>
    </row>
    <row r="91" spans="1:27">
      <c r="B91" s="383"/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25915</v>
      </c>
      <c r="L91" s="25">
        <v>51830</v>
      </c>
      <c r="M91" s="383"/>
      <c r="N91" s="25">
        <v>77955</v>
      </c>
      <c r="O91" s="401"/>
      <c r="P91" s="401">
        <v>0</v>
      </c>
    </row>
    <row r="92" spans="1:27">
      <c r="B92" s="383"/>
      <c r="C92" s="383"/>
      <c r="D92" s="383"/>
      <c r="E92" s="383"/>
      <c r="F92" s="383"/>
      <c r="G92" s="383"/>
      <c r="H92" s="383"/>
      <c r="I92" s="383"/>
      <c r="J92" s="383"/>
      <c r="K92" s="25" t="str">
        <f>+BK!B27</f>
        <v>Diferenca nga kembimi</v>
      </c>
      <c r="L92" s="25">
        <f>+BK!C27</f>
        <v>0</v>
      </c>
      <c r="M92" s="383"/>
      <c r="N92" s="25">
        <f>+BK!N27</f>
        <v>0</v>
      </c>
      <c r="O92" s="401"/>
      <c r="P92" s="401">
        <v>0</v>
      </c>
    </row>
    <row r="93" spans="1:27" ht="15.75" thickBot="1">
      <c r="B93" s="402" t="s">
        <v>2</v>
      </c>
      <c r="C93" s="403">
        <f>SUM(C89:C92)</f>
        <v>0</v>
      </c>
      <c r="D93" s="403">
        <f>SUM(D89:D92)</f>
        <v>0</v>
      </c>
      <c r="E93" s="403">
        <f>SUM(E89:E92)</f>
        <v>0</v>
      </c>
      <c r="F93" s="403">
        <f>SUM(F89:F92)</f>
        <v>0</v>
      </c>
      <c r="G93" s="403">
        <f t="shared" ref="G93:L93" si="5">SUM(G89:G92)</f>
        <v>3293640</v>
      </c>
      <c r="H93" s="403">
        <f t="shared" si="5"/>
        <v>0</v>
      </c>
      <c r="I93" s="403">
        <f t="shared" si="5"/>
        <v>715600</v>
      </c>
      <c r="J93" s="403">
        <f t="shared" si="5"/>
        <v>0</v>
      </c>
      <c r="K93" s="403">
        <f t="shared" si="5"/>
        <v>375915</v>
      </c>
      <c r="L93" s="403">
        <f t="shared" si="5"/>
        <v>490454</v>
      </c>
      <c r="M93" s="402"/>
      <c r="N93" s="403">
        <f>SUM(N89:N92)</f>
        <v>699101</v>
      </c>
      <c r="O93" s="382"/>
      <c r="P93" s="403">
        <f>SUM(P89:P92)</f>
        <v>0</v>
      </c>
    </row>
    <row r="94" spans="1:27" ht="15.75" thickTop="1">
      <c r="B94" s="402"/>
      <c r="C94" s="404">
        <f>+BK!D26+BK!D27</f>
        <v>0</v>
      </c>
      <c r="D94" s="404">
        <f>+BK!E26+BK!E27</f>
        <v>0</v>
      </c>
      <c r="E94" s="404">
        <f>+BK!F26+BK!F27</f>
        <v>0</v>
      </c>
      <c r="F94" s="404">
        <f>+BK!G26+BK!G27</f>
        <v>0</v>
      </c>
      <c r="G94" s="404">
        <f>+BK!H26+BK!H27</f>
        <v>3293640</v>
      </c>
      <c r="H94" s="404">
        <f>+BK!I26+BK!I27</f>
        <v>0</v>
      </c>
      <c r="I94" s="404">
        <f>+BK!J26+BK!J27</f>
        <v>715600</v>
      </c>
      <c r="J94" s="404">
        <f>+BK!K26+BK!K27</f>
        <v>0</v>
      </c>
      <c r="K94" s="404">
        <f>+BK!L26+BK!L27</f>
        <v>375915</v>
      </c>
      <c r="L94" s="404">
        <f>+BK!M26+BK!M27</f>
        <v>490454</v>
      </c>
      <c r="M94" s="402"/>
      <c r="N94" s="404">
        <f>+BK!N26+BK!N27</f>
        <v>699101</v>
      </c>
      <c r="O94" s="404"/>
      <c r="P94" s="404">
        <f>+BK!P26+BK!P27</f>
        <v>7827743</v>
      </c>
    </row>
    <row r="95" spans="1:27">
      <c r="B95" s="402"/>
      <c r="C95" s="402"/>
      <c r="D95" s="402"/>
      <c r="E95" s="402"/>
      <c r="F95" s="402"/>
      <c r="G95" s="402"/>
      <c r="H95" s="402"/>
      <c r="I95" s="402"/>
      <c r="J95" s="402"/>
      <c r="K95" s="404"/>
      <c r="L95" s="404"/>
      <c r="M95" s="402"/>
      <c r="N95" s="404"/>
      <c r="O95" s="382"/>
      <c r="P95" s="404"/>
    </row>
    <row r="96" spans="1:27">
      <c r="B96" s="391" t="s">
        <v>140</v>
      </c>
      <c r="C96" s="391"/>
      <c r="D96" s="391"/>
      <c r="E96" s="391"/>
      <c r="F96" s="391"/>
      <c r="G96" s="391"/>
      <c r="H96" s="391"/>
      <c r="I96" s="391"/>
      <c r="J96" s="391"/>
      <c r="K96" s="383"/>
      <c r="L96" s="383"/>
      <c r="M96" s="391"/>
      <c r="N96" s="383"/>
      <c r="O96" s="383"/>
      <c r="P96" s="383"/>
      <c r="S96" s="31"/>
      <c r="T96" s="26"/>
      <c r="U96" s="32"/>
      <c r="V96" s="31"/>
      <c r="W96" s="26"/>
      <c r="X96" s="26"/>
      <c r="Y96" s="26"/>
      <c r="Z96" s="26"/>
      <c r="AA96" s="26"/>
    </row>
    <row r="97" spans="1:27">
      <c r="B97" s="461" t="s">
        <v>479</v>
      </c>
      <c r="C97" s="462" t="str">
        <f>+C88</f>
        <v>31 Dhjetor 2018</v>
      </c>
      <c r="D97" s="462" t="str">
        <f>+D88</f>
        <v>31 Dhjetor 2017</v>
      </c>
      <c r="E97" s="462" t="str">
        <f>+E88</f>
        <v>31 Dhjetor 2016</v>
      </c>
      <c r="F97" s="462" t="str">
        <f t="shared" ref="F97:K97" si="6">+F88</f>
        <v>31 Dhjetor 2015</v>
      </c>
      <c r="G97" s="462" t="str">
        <f t="shared" si="6"/>
        <v>31 Dhjetor 2014</v>
      </c>
      <c r="H97" s="462" t="str">
        <f t="shared" si="6"/>
        <v>31 Dhjetor 2013</v>
      </c>
      <c r="I97" s="462" t="str">
        <f t="shared" si="6"/>
        <v>31 Dhjetor 2012</v>
      </c>
      <c r="J97" s="384" t="str">
        <f t="shared" si="6"/>
        <v>31 Dhjetor 2011</v>
      </c>
      <c r="K97" s="384" t="str">
        <f t="shared" si="6"/>
        <v>31 Dhjetor 2010</v>
      </c>
      <c r="L97" s="384" t="s">
        <v>569</v>
      </c>
      <c r="M97" s="383"/>
      <c r="N97" s="384" t="s">
        <v>110</v>
      </c>
      <c r="P97" s="384" t="s">
        <v>100</v>
      </c>
      <c r="S97" s="26"/>
      <c r="T97" s="26"/>
      <c r="U97" s="26"/>
      <c r="V97" s="26"/>
      <c r="W97" s="26"/>
      <c r="X97" s="26"/>
      <c r="Y97" s="26"/>
      <c r="Z97" s="26"/>
      <c r="AA97" s="26"/>
    </row>
    <row r="98" spans="1:27">
      <c r="B98" s="461" t="s">
        <v>105</v>
      </c>
      <c r="C98" s="474">
        <f>+BK!D45</f>
        <v>3125119</v>
      </c>
      <c r="D98" s="474">
        <f>+BK!E45</f>
        <v>5219399.3499999996</v>
      </c>
      <c r="E98" s="474">
        <f>+BK!F45</f>
        <v>17111831</v>
      </c>
      <c r="F98" s="474">
        <f>+BK!G45</f>
        <v>22394775</v>
      </c>
      <c r="G98" s="474">
        <f>+BK!H45</f>
        <v>20632716.419999998</v>
      </c>
      <c r="H98" s="474">
        <f>+BK!I45</f>
        <v>16097832.199999999</v>
      </c>
      <c r="I98" s="474">
        <f>+BK!J45</f>
        <v>7878046</v>
      </c>
      <c r="J98" s="20">
        <f>+BK!K45</f>
        <v>5528943</v>
      </c>
      <c r="K98" s="20">
        <f>+BK!L45</f>
        <v>6485898</v>
      </c>
      <c r="L98" s="20">
        <f>+BK!M45</f>
        <v>1627585</v>
      </c>
      <c r="M98" s="383"/>
      <c r="N98" s="20">
        <f>+BK!N45</f>
        <v>2474626</v>
      </c>
      <c r="O98" s="20"/>
      <c r="P98" s="20">
        <f>+BK!P45</f>
        <v>1617497</v>
      </c>
      <c r="S98" s="26"/>
      <c r="T98" s="26"/>
      <c r="U98" s="26"/>
      <c r="V98" s="26"/>
      <c r="W98" s="26"/>
      <c r="X98" s="26"/>
      <c r="Y98" s="26"/>
      <c r="Z98" s="26"/>
      <c r="AA98" s="26"/>
    </row>
    <row r="99" spans="1:27">
      <c r="B99" s="461" t="s">
        <v>133</v>
      </c>
      <c r="C99" s="470">
        <f>+BK!D43</f>
        <v>0</v>
      </c>
      <c r="D99" s="470">
        <f>+BK!E43</f>
        <v>0</v>
      </c>
      <c r="E99" s="470">
        <f>+BK!F43</f>
        <v>0</v>
      </c>
      <c r="F99" s="470">
        <f>+BK!G43</f>
        <v>0</v>
      </c>
      <c r="G99" s="470">
        <f>+BK!H43</f>
        <v>0</v>
      </c>
      <c r="H99" s="470">
        <f>+BK!I43</f>
        <v>0</v>
      </c>
      <c r="I99" s="470">
        <f>+BK!J43</f>
        <v>0</v>
      </c>
      <c r="J99" s="25">
        <f>+BK!K43</f>
        <v>35994847</v>
      </c>
      <c r="K99" s="25">
        <f>+BK!L43</f>
        <v>44053275</v>
      </c>
      <c r="L99" s="25">
        <f>+BK!M43</f>
        <v>49932873</v>
      </c>
      <c r="M99" s="383"/>
      <c r="N99" s="25">
        <f>+BK!N43</f>
        <v>7924580</v>
      </c>
      <c r="P99" s="25">
        <f>+BK!P43</f>
        <v>31329282</v>
      </c>
      <c r="S99" s="33"/>
      <c r="T99" s="34"/>
      <c r="U99" s="35"/>
      <c r="V99" s="36"/>
      <c r="W99" s="26"/>
      <c r="X99" s="26"/>
      <c r="Y99" s="26"/>
      <c r="Z99" s="26"/>
      <c r="AA99" s="37"/>
    </row>
    <row r="100" spans="1:27">
      <c r="B100" s="461" t="s">
        <v>126</v>
      </c>
      <c r="C100" s="470">
        <f>+BK!D46</f>
        <v>747800</v>
      </c>
      <c r="D100" s="470">
        <f>+BK!E46</f>
        <v>975000</v>
      </c>
      <c r="E100" s="470">
        <f>+BK!F46</f>
        <v>7061408</v>
      </c>
      <c r="F100" s="470">
        <f>+BK!G46</f>
        <v>2353210.7200000002</v>
      </c>
      <c r="G100" s="470">
        <f>+BK!H46</f>
        <v>1444881</v>
      </c>
      <c r="H100" s="470">
        <f>+BK!I46</f>
        <v>908618</v>
      </c>
      <c r="I100" s="470">
        <f>+BK!J46</f>
        <v>0</v>
      </c>
      <c r="J100" s="25">
        <f>+BK!K46</f>
        <v>0</v>
      </c>
      <c r="K100" s="25">
        <f>+BK!L46</f>
        <v>1182576</v>
      </c>
      <c r="L100" s="25">
        <f>+BK!M46</f>
        <v>924132</v>
      </c>
      <c r="M100" s="383"/>
      <c r="N100" s="25">
        <f>+BK!N46</f>
        <v>91680</v>
      </c>
      <c r="P100" s="25">
        <f>+BK!P46</f>
        <v>0</v>
      </c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>
      <c r="B101" s="461" t="s">
        <v>8</v>
      </c>
      <c r="C101" s="463">
        <f>+BK!D47</f>
        <v>705499</v>
      </c>
      <c r="D101" s="463">
        <f>+BK!E47</f>
        <v>949654</v>
      </c>
      <c r="E101" s="463">
        <f>+BK!F47</f>
        <v>982109</v>
      </c>
      <c r="F101" s="463">
        <f>+BK!G47</f>
        <v>667433</v>
      </c>
      <c r="G101" s="463">
        <f>+BK!H47</f>
        <v>353298</v>
      </c>
      <c r="H101" s="463">
        <f>+BK!I47</f>
        <v>834340</v>
      </c>
      <c r="I101" s="463">
        <f>+BK!J47</f>
        <v>565234</v>
      </c>
      <c r="J101" s="386">
        <f>+BK!K47</f>
        <v>489935</v>
      </c>
      <c r="K101" s="386">
        <f>+BK!L47</f>
        <v>526280</v>
      </c>
      <c r="L101" s="386">
        <f>+BK!M47</f>
        <v>558132</v>
      </c>
      <c r="M101" s="383"/>
      <c r="N101" s="386">
        <f>+BK!N47</f>
        <v>538847</v>
      </c>
      <c r="O101" s="386"/>
      <c r="P101" s="386">
        <f>+BK!P47</f>
        <v>596758</v>
      </c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>
      <c r="B102" s="461" t="s">
        <v>754</v>
      </c>
      <c r="C102" s="470">
        <f>+C152</f>
        <v>0</v>
      </c>
      <c r="D102" s="470">
        <f t="shared" ref="D102:F103" si="7">+D152</f>
        <v>0</v>
      </c>
      <c r="E102" s="470">
        <f t="shared" si="7"/>
        <v>5810000</v>
      </c>
      <c r="F102" s="470">
        <f t="shared" si="7"/>
        <v>6852500</v>
      </c>
      <c r="G102" s="470">
        <f t="shared" ref="G102:I103" si="8">+G152</f>
        <v>11060000</v>
      </c>
      <c r="H102" s="470">
        <f t="shared" si="8"/>
        <v>20392500</v>
      </c>
      <c r="I102" s="470">
        <f t="shared" si="8"/>
        <v>31970000</v>
      </c>
      <c r="J102" s="25">
        <f>+BK!K48</f>
        <v>0</v>
      </c>
      <c r="K102" s="25">
        <f>+BK!L48</f>
        <v>0</v>
      </c>
      <c r="L102" s="25">
        <f>+BK!M48</f>
        <v>0</v>
      </c>
      <c r="M102" s="383"/>
      <c r="N102" s="25">
        <f>+BK!N48</f>
        <v>27082338</v>
      </c>
      <c r="P102" s="25">
        <f>+BK!P48</f>
        <v>7224401</v>
      </c>
      <c r="S102" s="26"/>
      <c r="T102" s="26"/>
      <c r="U102" s="26"/>
      <c r="V102" s="26"/>
      <c r="W102" s="38"/>
      <c r="X102" s="26"/>
      <c r="Y102" s="26"/>
      <c r="Z102" s="26"/>
      <c r="AA102" s="39"/>
    </row>
    <row r="103" spans="1:27">
      <c r="B103" s="461" t="s">
        <v>571</v>
      </c>
      <c r="C103" s="470">
        <f>+C153</f>
        <v>0</v>
      </c>
      <c r="D103" s="470">
        <f t="shared" si="7"/>
        <v>0</v>
      </c>
      <c r="E103" s="470">
        <f t="shared" si="7"/>
        <v>0</v>
      </c>
      <c r="F103" s="470">
        <f t="shared" si="7"/>
        <v>0</v>
      </c>
      <c r="G103" s="470">
        <f t="shared" si="8"/>
        <v>0</v>
      </c>
      <c r="H103" s="470">
        <f t="shared" si="8"/>
        <v>0</v>
      </c>
      <c r="I103" s="470">
        <f t="shared" si="8"/>
        <v>1710842</v>
      </c>
      <c r="J103" s="25">
        <f>+BK!K50</f>
        <v>0</v>
      </c>
      <c r="K103" s="25">
        <f>+BK!L50</f>
        <v>0</v>
      </c>
      <c r="L103" s="25">
        <f>+BK!M50</f>
        <v>0</v>
      </c>
      <c r="M103" s="383"/>
      <c r="N103" s="25">
        <f>+BK!N50</f>
        <v>0</v>
      </c>
      <c r="P103" s="25">
        <f>+BK!P50</f>
        <v>0</v>
      </c>
      <c r="S103" s="26"/>
      <c r="T103" s="26"/>
      <c r="U103" s="26"/>
      <c r="V103" s="26"/>
      <c r="W103" s="38"/>
      <c r="X103" s="26"/>
      <c r="Y103" s="26"/>
      <c r="Z103" s="26"/>
      <c r="AA103" s="39"/>
    </row>
    <row r="104" spans="1:27">
      <c r="B104" s="461" t="s">
        <v>433</v>
      </c>
      <c r="C104" s="470">
        <f>+BK!D49</f>
        <v>0</v>
      </c>
      <c r="D104" s="470">
        <f>+BK!E49</f>
        <v>0</v>
      </c>
      <c r="E104" s="470">
        <f>+BK!F49</f>
        <v>0</v>
      </c>
      <c r="F104" s="470">
        <f>+BK!G49</f>
        <v>0</v>
      </c>
      <c r="G104" s="470">
        <f>+BK!H49</f>
        <v>0</v>
      </c>
      <c r="H104" s="470">
        <f>+BK!I49</f>
        <v>0</v>
      </c>
      <c r="I104" s="470">
        <f>+BK!J49</f>
        <v>0</v>
      </c>
      <c r="J104" s="25">
        <f>+BK!K49</f>
        <v>0</v>
      </c>
      <c r="K104" s="25">
        <f>+BK!L49</f>
        <v>0</v>
      </c>
      <c r="L104" s="25">
        <f>+BK!M49</f>
        <v>0</v>
      </c>
      <c r="M104" s="383"/>
      <c r="N104" s="25">
        <f>+BK!N49</f>
        <v>0</v>
      </c>
      <c r="P104" s="25">
        <f>+BK!P51</f>
        <v>0</v>
      </c>
    </row>
    <row r="105" spans="1:27">
      <c r="B105" s="461"/>
      <c r="C105" s="461"/>
      <c r="D105" s="461"/>
      <c r="E105" s="461"/>
      <c r="F105" s="461"/>
      <c r="G105" s="461"/>
      <c r="H105" s="461"/>
      <c r="I105" s="461"/>
      <c r="J105" s="383"/>
      <c r="M105" s="383"/>
      <c r="O105" s="383"/>
      <c r="P105" s="386"/>
      <c r="Q105" s="385"/>
    </row>
    <row r="106" spans="1:27" ht="15.75" thickBot="1">
      <c r="B106" s="464" t="s">
        <v>2</v>
      </c>
      <c r="C106" s="463">
        <f>SUM(C98:C104)</f>
        <v>4578418</v>
      </c>
      <c r="D106" s="463">
        <f>SUM(D98:D104)</f>
        <v>7144053.3499999996</v>
      </c>
      <c r="E106" s="463">
        <f>SUM(E98:E104)</f>
        <v>30965348</v>
      </c>
      <c r="F106" s="463">
        <f>SUM(F98:F104)</f>
        <v>32267918.719999999</v>
      </c>
      <c r="G106" s="463">
        <f t="shared" ref="G106:L106" si="9">SUM(G98:G104)</f>
        <v>33490895.419999998</v>
      </c>
      <c r="H106" s="463">
        <f t="shared" si="9"/>
        <v>38233290.200000003</v>
      </c>
      <c r="I106" s="463">
        <f t="shared" si="9"/>
        <v>42124122</v>
      </c>
      <c r="J106" s="389">
        <f t="shared" si="9"/>
        <v>42013725</v>
      </c>
      <c r="K106" s="389">
        <f t="shared" si="9"/>
        <v>52248029</v>
      </c>
      <c r="L106" s="389">
        <f t="shared" si="9"/>
        <v>53042722</v>
      </c>
      <c r="M106" s="387"/>
      <c r="N106" s="389">
        <f>SUM(N98:N104)</f>
        <v>38112071</v>
      </c>
      <c r="O106" s="383"/>
      <c r="P106" s="389">
        <f>SUM(P98:P104)</f>
        <v>40767938</v>
      </c>
      <c r="Q106" s="385"/>
    </row>
    <row r="107" spans="1:27" ht="15.75" thickTop="1">
      <c r="B107" s="383"/>
      <c r="C107" s="569">
        <f>+BK!D55</f>
        <v>4578418</v>
      </c>
      <c r="D107" s="569">
        <f>+BK!E55</f>
        <v>7144053.3499999996</v>
      </c>
      <c r="L107" s="25">
        <f>+L106-BK!C55</f>
        <v>53042722</v>
      </c>
      <c r="M107" s="383"/>
      <c r="N107" s="25">
        <f>+N106-BK!N55</f>
        <v>0</v>
      </c>
      <c r="O107" s="383"/>
      <c r="P107" s="25">
        <f>+P106-BK!P55</f>
        <v>0</v>
      </c>
      <c r="Q107" s="385"/>
    </row>
    <row r="108" spans="1:27" hidden="1">
      <c r="B108" s="391" t="s">
        <v>105</v>
      </c>
      <c r="C108" s="391"/>
      <c r="D108" s="391"/>
      <c r="E108" s="391"/>
      <c r="F108" s="391"/>
      <c r="G108" s="391"/>
      <c r="H108" s="391"/>
      <c r="I108" s="391"/>
      <c r="J108" s="391"/>
      <c r="K108" s="162"/>
      <c r="L108" s="162"/>
      <c r="M108" s="391"/>
      <c r="N108" s="162"/>
      <c r="O108" s="383"/>
      <c r="P108" s="162"/>
    </row>
    <row r="109" spans="1:27" hidden="1">
      <c r="B109" s="391"/>
      <c r="C109" s="391"/>
      <c r="D109" s="391"/>
      <c r="E109" s="391"/>
      <c r="F109" s="391"/>
      <c r="G109" s="391"/>
      <c r="H109" s="391"/>
      <c r="I109" s="391"/>
      <c r="J109" s="391"/>
      <c r="K109" s="162"/>
      <c r="L109" s="162"/>
      <c r="M109" s="391"/>
      <c r="N109" s="162"/>
      <c r="O109" s="383"/>
      <c r="P109" s="162"/>
    </row>
    <row r="110" spans="1:27" ht="15.75" hidden="1">
      <c r="A110" s="554" t="s">
        <v>959</v>
      </c>
      <c r="B110" s="554" t="s">
        <v>479</v>
      </c>
      <c r="C110" s="565" t="str">
        <f>+C97</f>
        <v>31 Dhjetor 2018</v>
      </c>
      <c r="D110" s="565" t="str">
        <f>+D97</f>
        <v>31 Dhjetor 2017</v>
      </c>
      <c r="E110" s="565" t="str">
        <f>+E97</f>
        <v>31 Dhjetor 2016</v>
      </c>
      <c r="F110" s="492" t="s">
        <v>1009</v>
      </c>
      <c r="G110" s="552" t="s">
        <v>703</v>
      </c>
      <c r="H110" s="494"/>
      <c r="I110" s="391"/>
      <c r="J110" s="391"/>
      <c r="K110" s="162"/>
      <c r="L110" s="162"/>
      <c r="M110" s="391"/>
      <c r="N110" s="162"/>
      <c r="O110" s="383"/>
      <c r="P110" s="162"/>
    </row>
    <row r="111" spans="1:27" hidden="1">
      <c r="A111" s="555" t="s">
        <v>991</v>
      </c>
      <c r="B111" s="555" t="s">
        <v>992</v>
      </c>
      <c r="C111" s="556">
        <v>7660.8000000000266</v>
      </c>
      <c r="D111" s="556">
        <v>7660.8000000000266</v>
      </c>
      <c r="E111" s="556">
        <v>7660.8000000000266</v>
      </c>
      <c r="F111" s="492" t="s">
        <v>699</v>
      </c>
      <c r="G111" s="553">
        <v>-2430</v>
      </c>
      <c r="H111" s="495"/>
      <c r="I111" s="391"/>
      <c r="J111" s="391"/>
      <c r="K111" s="162"/>
      <c r="L111" s="162"/>
      <c r="M111" s="391"/>
      <c r="N111" s="162"/>
      <c r="O111" s="383"/>
      <c r="P111" s="162"/>
    </row>
    <row r="112" spans="1:27" hidden="1">
      <c r="A112" s="555" t="s">
        <v>717</v>
      </c>
      <c r="B112" s="555" t="s">
        <v>696</v>
      </c>
      <c r="C112" s="556">
        <v>1033580</v>
      </c>
      <c r="D112" s="556">
        <v>1033580</v>
      </c>
      <c r="E112" s="556">
        <v>1033580</v>
      </c>
      <c r="F112" s="492" t="s">
        <v>699</v>
      </c>
      <c r="G112" s="553">
        <f>2064812+168768</f>
        <v>2233580</v>
      </c>
      <c r="H112" s="495"/>
      <c r="I112" s="391"/>
      <c r="J112" s="391"/>
      <c r="K112" s="162"/>
      <c r="L112" s="162"/>
      <c r="M112" s="391"/>
      <c r="N112" s="162"/>
      <c r="O112" s="383"/>
      <c r="P112" s="162"/>
    </row>
    <row r="113" spans="1:16" hidden="1">
      <c r="A113" s="555" t="s">
        <v>993</v>
      </c>
      <c r="B113" s="555" t="s">
        <v>994</v>
      </c>
      <c r="C113" s="556">
        <v>-409121.19</v>
      </c>
      <c r="D113" s="556">
        <v>-409121.19</v>
      </c>
      <c r="E113" s="556">
        <v>-409121.19</v>
      </c>
      <c r="F113" s="492" t="s">
        <v>699</v>
      </c>
      <c r="G113" s="553">
        <v>2996793</v>
      </c>
      <c r="H113" s="495"/>
      <c r="I113" s="391"/>
      <c r="J113" s="391"/>
      <c r="K113" s="162"/>
      <c r="L113" s="162"/>
      <c r="M113" s="391"/>
      <c r="N113" s="162"/>
      <c r="O113" s="383"/>
      <c r="P113" s="162"/>
    </row>
    <row r="114" spans="1:16" hidden="1">
      <c r="A114" s="555" t="s">
        <v>995</v>
      </c>
      <c r="B114" s="555" t="s">
        <v>996</v>
      </c>
      <c r="C114" s="556">
        <v>338320.37</v>
      </c>
      <c r="D114" s="556">
        <v>338320.37</v>
      </c>
      <c r="E114" s="556">
        <v>338320.37</v>
      </c>
      <c r="F114" s="492" t="s">
        <v>699</v>
      </c>
      <c r="G114" s="553">
        <v>-366421</v>
      </c>
      <c r="H114" s="495"/>
      <c r="I114" s="391"/>
      <c r="J114" s="391"/>
      <c r="K114" s="162"/>
      <c r="L114" s="162"/>
      <c r="M114" s="391"/>
      <c r="N114" s="162"/>
      <c r="O114" s="383"/>
      <c r="P114" s="162"/>
    </row>
    <row r="115" spans="1:16" hidden="1">
      <c r="A115" s="555" t="s">
        <v>997</v>
      </c>
      <c r="B115" s="555" t="s">
        <v>998</v>
      </c>
      <c r="C115" s="556">
        <v>38221.399999999907</v>
      </c>
      <c r="D115" s="556">
        <v>38221.399999999907</v>
      </c>
      <c r="E115" s="556">
        <v>38221.399999999907</v>
      </c>
      <c r="F115" s="492" t="s">
        <v>699</v>
      </c>
      <c r="G115" s="553">
        <v>-237482</v>
      </c>
      <c r="H115" s="495"/>
      <c r="I115" s="391"/>
      <c r="J115" s="391"/>
      <c r="K115" s="162"/>
      <c r="L115" s="162"/>
      <c r="M115" s="391"/>
      <c r="N115" s="162"/>
      <c r="O115" s="383"/>
      <c r="P115" s="162"/>
    </row>
    <row r="116" spans="1:16" hidden="1">
      <c r="A116" s="555" t="s">
        <v>999</v>
      </c>
      <c r="B116" s="555" t="s">
        <v>640</v>
      </c>
      <c r="C116" s="556">
        <v>992477.37000000011</v>
      </c>
      <c r="D116" s="556">
        <v>992477.37000000011</v>
      </c>
      <c r="E116" s="556">
        <v>992477.37000000011</v>
      </c>
      <c r="F116" s="492" t="s">
        <v>699</v>
      </c>
      <c r="G116" s="553">
        <v>10537655</v>
      </c>
      <c r="H116" s="495"/>
      <c r="I116" s="391"/>
      <c r="J116" s="391"/>
      <c r="K116" s="162"/>
      <c r="L116" s="162"/>
      <c r="M116" s="391"/>
      <c r="N116" s="162"/>
      <c r="O116" s="383"/>
      <c r="P116" s="162"/>
    </row>
    <row r="117" spans="1:16" hidden="1">
      <c r="A117" s="555" t="s">
        <v>1000</v>
      </c>
      <c r="B117" s="555" t="s">
        <v>1001</v>
      </c>
      <c r="C117" s="556">
        <v>17949.98</v>
      </c>
      <c r="D117" s="556">
        <v>17949.98</v>
      </c>
      <c r="E117" s="556">
        <v>17949.98</v>
      </c>
      <c r="F117" s="492" t="s">
        <v>699</v>
      </c>
      <c r="G117" s="553">
        <v>134400</v>
      </c>
      <c r="H117" s="495"/>
      <c r="I117" s="391"/>
      <c r="J117" s="391"/>
      <c r="K117" s="162"/>
      <c r="L117" s="162"/>
      <c r="M117" s="391"/>
      <c r="N117" s="162"/>
      <c r="O117" s="383"/>
      <c r="P117" s="162"/>
    </row>
    <row r="118" spans="1:16" hidden="1">
      <c r="A118" s="555" t="s">
        <v>1002</v>
      </c>
      <c r="B118" s="555" t="s">
        <v>1003</v>
      </c>
      <c r="C118" s="556">
        <f>14220951.07-48754</f>
        <v>14172197.07</v>
      </c>
      <c r="D118" s="556">
        <f>14220951.07-48754</f>
        <v>14172197.07</v>
      </c>
      <c r="E118" s="556">
        <f>14220951.07-48754</f>
        <v>14172197.07</v>
      </c>
      <c r="F118" s="492" t="s">
        <v>699</v>
      </c>
      <c r="G118" s="553">
        <v>625589</v>
      </c>
      <c r="H118" s="495"/>
      <c r="I118" s="391"/>
      <c r="J118" s="391"/>
      <c r="K118" s="162"/>
      <c r="L118" s="162"/>
      <c r="M118" s="391"/>
      <c r="N118" s="162"/>
      <c r="O118" s="383"/>
      <c r="P118" s="162"/>
    </row>
    <row r="119" spans="1:16" hidden="1">
      <c r="A119" s="555" t="s">
        <v>742</v>
      </c>
      <c r="B119" s="555" t="s">
        <v>1004</v>
      </c>
      <c r="C119" s="556">
        <v>183119</v>
      </c>
      <c r="D119" s="556">
        <v>183119</v>
      </c>
      <c r="E119" s="556">
        <v>183119</v>
      </c>
      <c r="F119" s="492" t="s">
        <v>699</v>
      </c>
      <c r="G119" s="553">
        <f>-754094+774005</f>
        <v>19911</v>
      </c>
      <c r="H119" s="495"/>
      <c r="I119" s="391"/>
      <c r="J119" s="391"/>
      <c r="K119" s="162"/>
      <c r="L119" s="162"/>
      <c r="M119" s="391"/>
      <c r="N119" s="162"/>
      <c r="O119" s="383"/>
      <c r="P119" s="162"/>
    </row>
    <row r="120" spans="1:16" hidden="1">
      <c r="A120" s="555" t="s">
        <v>743</v>
      </c>
      <c r="B120" s="555" t="s">
        <v>1005</v>
      </c>
      <c r="C120" s="556">
        <v>78000</v>
      </c>
      <c r="D120" s="556">
        <v>78000</v>
      </c>
      <c r="E120" s="556">
        <v>78000</v>
      </c>
      <c r="F120" s="492" t="s">
        <v>699</v>
      </c>
      <c r="G120" s="553">
        <v>852000</v>
      </c>
      <c r="H120" s="495"/>
      <c r="I120" s="391"/>
      <c r="J120" s="391"/>
      <c r="K120" s="162"/>
      <c r="L120" s="162"/>
      <c r="M120" s="391"/>
      <c r="N120" s="162"/>
      <c r="O120" s="383"/>
      <c r="P120" s="162"/>
    </row>
    <row r="121" spans="1:16" hidden="1">
      <c r="A121" s="555" t="s">
        <v>746</v>
      </c>
      <c r="B121" s="555" t="s">
        <v>1006</v>
      </c>
      <c r="C121" s="556">
        <v>885000</v>
      </c>
      <c r="D121" s="556">
        <v>885000</v>
      </c>
      <c r="E121" s="556">
        <v>885000</v>
      </c>
      <c r="F121" s="492" t="s">
        <v>699</v>
      </c>
      <c r="G121" s="553">
        <v>50597</v>
      </c>
      <c r="H121" s="495"/>
      <c r="I121" s="391"/>
      <c r="J121" s="391"/>
      <c r="K121" s="162"/>
      <c r="L121" s="162"/>
      <c r="M121" s="391"/>
      <c r="N121" s="162"/>
      <c r="O121" s="383"/>
      <c r="P121" s="162"/>
    </row>
    <row r="122" spans="1:16" hidden="1">
      <c r="A122" s="555" t="s">
        <v>1007</v>
      </c>
      <c r="B122" s="555" t="s">
        <v>1008</v>
      </c>
      <c r="C122" s="556">
        <v>56426.2</v>
      </c>
      <c r="D122" s="556">
        <v>56426.2</v>
      </c>
      <c r="E122" s="556">
        <v>56426.2</v>
      </c>
      <c r="F122" s="492" t="s">
        <v>699</v>
      </c>
      <c r="G122" s="553">
        <f>SUM(G111:G121)</f>
        <v>16844192</v>
      </c>
      <c r="H122" s="495"/>
      <c r="I122" s="391"/>
      <c r="J122" s="391"/>
      <c r="K122" s="162"/>
      <c r="L122" s="162"/>
      <c r="M122" s="391"/>
      <c r="N122" s="162"/>
      <c r="O122" s="383"/>
      <c r="P122" s="162"/>
    </row>
    <row r="123" spans="1:16" hidden="1">
      <c r="A123" s="555" t="s">
        <v>997</v>
      </c>
      <c r="B123" s="555" t="s">
        <v>998</v>
      </c>
      <c r="C123" s="556">
        <v>-282000</v>
      </c>
      <c r="D123" s="556">
        <v>-282000</v>
      </c>
      <c r="E123" s="556">
        <v>-282000</v>
      </c>
      <c r="F123" s="492" t="s">
        <v>699</v>
      </c>
      <c r="G123" s="391"/>
      <c r="H123" s="496"/>
      <c r="I123" s="391"/>
      <c r="J123" s="391"/>
      <c r="K123" s="162"/>
      <c r="L123" s="162"/>
      <c r="M123" s="391"/>
      <c r="N123" s="162"/>
      <c r="O123" s="383"/>
      <c r="P123" s="162"/>
    </row>
    <row r="124" spans="1:16" ht="20.25" hidden="1" customHeight="1">
      <c r="A124" s="554"/>
      <c r="B124" s="554" t="s">
        <v>753</v>
      </c>
      <c r="C124" s="551">
        <f>SUM(C111:C123)</f>
        <v>17111831</v>
      </c>
      <c r="D124" s="551">
        <f>SUM(D111:D123)</f>
        <v>17111831</v>
      </c>
      <c r="E124" s="551">
        <f>SUM(E111:E123)</f>
        <v>17111831</v>
      </c>
      <c r="F124" s="492" t="s">
        <v>699</v>
      </c>
      <c r="G124" s="384" t="str">
        <f>+G97</f>
        <v>31 Dhjetor 2014</v>
      </c>
      <c r="H124" s="384" t="str">
        <f>+H97</f>
        <v>31 Dhjetor 2013</v>
      </c>
      <c r="I124" s="384" t="str">
        <f>+I97</f>
        <v>31 Dhjetor 2012</v>
      </c>
      <c r="J124" s="384" t="str">
        <f>+J97</f>
        <v>31 Dhjetor 2011</v>
      </c>
      <c r="K124" s="384" t="str">
        <f>+K97</f>
        <v>31 Dhjetor 2010</v>
      </c>
      <c r="L124" s="384" t="s">
        <v>569</v>
      </c>
      <c r="M124" s="391"/>
      <c r="N124" s="162"/>
      <c r="O124" s="383"/>
      <c r="P124" s="162"/>
    </row>
    <row r="125" spans="1:16" ht="15.75">
      <c r="A125" s="122"/>
      <c r="B125" s="100"/>
      <c r="C125" s="100"/>
      <c r="D125" s="100"/>
      <c r="E125" s="100"/>
      <c r="F125" s="492" t="s">
        <v>699</v>
      </c>
      <c r="G125" s="383"/>
      <c r="H125" s="383"/>
      <c r="I125" s="383"/>
      <c r="J125" s="383"/>
      <c r="K125" s="162"/>
      <c r="L125" s="162"/>
      <c r="M125" s="383"/>
      <c r="N125" s="162"/>
      <c r="O125" s="383"/>
      <c r="P125" s="162"/>
    </row>
    <row r="126" spans="1:16" ht="15.75">
      <c r="A126" s="122"/>
      <c r="B126" s="100"/>
      <c r="C126" s="100"/>
      <c r="D126" s="100"/>
      <c r="E126" s="100"/>
      <c r="F126" s="492" t="s">
        <v>699</v>
      </c>
      <c r="G126" s="383"/>
      <c r="H126" s="383"/>
      <c r="I126" s="383"/>
      <c r="J126" s="383"/>
      <c r="K126" s="162"/>
      <c r="L126" s="162"/>
      <c r="M126" s="383"/>
      <c r="N126" s="162"/>
      <c r="O126" s="383"/>
      <c r="P126" s="162"/>
    </row>
    <row r="127" spans="1:16" ht="15.75">
      <c r="A127" s="122"/>
      <c r="B127" s="508" t="s">
        <v>434</v>
      </c>
      <c r="C127" s="508"/>
      <c r="D127" s="508"/>
      <c r="E127" s="508"/>
      <c r="F127" s="492" t="s">
        <v>699</v>
      </c>
      <c r="G127" s="391"/>
      <c r="H127" s="391"/>
      <c r="I127" s="391"/>
      <c r="J127" s="391"/>
      <c r="K127" s="162"/>
      <c r="L127" s="162"/>
      <c r="M127" s="391"/>
      <c r="N127" s="162"/>
      <c r="O127" s="383"/>
      <c r="P127" s="162"/>
    </row>
    <row r="128" spans="1:16" ht="15.75">
      <c r="A128" s="122"/>
      <c r="B128" s="100"/>
      <c r="C128" s="557">
        <f>+C124</f>
        <v>17111831</v>
      </c>
      <c r="D128" s="557">
        <f>+D124</f>
        <v>17111831</v>
      </c>
      <c r="E128" s="557">
        <f>+E124</f>
        <v>17111831</v>
      </c>
      <c r="F128" s="492" t="s">
        <v>699</v>
      </c>
      <c r="G128" s="384" t="str">
        <f>+G124</f>
        <v>31 Dhjetor 2014</v>
      </c>
      <c r="H128" s="384" t="str">
        <f>+H124</f>
        <v>31 Dhjetor 2013</v>
      </c>
      <c r="I128" s="384" t="str">
        <f>+I124</f>
        <v>31 Dhjetor 2012</v>
      </c>
      <c r="J128" s="384" t="str">
        <f>+J124</f>
        <v>31 Dhjetor 2011</v>
      </c>
      <c r="K128" s="384" t="str">
        <f>+K124</f>
        <v>31 Dhjetor 2010</v>
      </c>
      <c r="L128" s="384" t="s">
        <v>569</v>
      </c>
      <c r="M128" s="383"/>
      <c r="N128" s="384" t="s">
        <v>110</v>
      </c>
      <c r="P128" s="384" t="s">
        <v>100</v>
      </c>
    </row>
    <row r="129" spans="1:18" ht="15.75">
      <c r="A129" s="122"/>
      <c r="B129" s="100" t="s">
        <v>653</v>
      </c>
      <c r="C129" s="122"/>
      <c r="D129" s="122"/>
      <c r="E129" s="122"/>
      <c r="F129" s="492" t="s">
        <v>699</v>
      </c>
      <c r="J129" s="25">
        <f>+BK!K43</f>
        <v>35994847</v>
      </c>
      <c r="K129" s="25">
        <f>+BK!L43</f>
        <v>44053275</v>
      </c>
      <c r="L129" s="25">
        <f>+BK!M43</f>
        <v>49932873</v>
      </c>
      <c r="M129" s="383"/>
      <c r="N129" s="25">
        <v>5200000</v>
      </c>
    </row>
    <row r="130" spans="1:18" ht="15.75">
      <c r="A130" s="122"/>
      <c r="B130" s="100" t="s">
        <v>523</v>
      </c>
      <c r="C130" s="100"/>
      <c r="D130" s="100"/>
      <c r="E130" s="100"/>
      <c r="F130" s="492" t="s">
        <v>699</v>
      </c>
      <c r="G130" s="383"/>
      <c r="H130" s="383"/>
      <c r="I130" s="383"/>
      <c r="J130" s="383"/>
      <c r="K130" s="25">
        <v>0</v>
      </c>
      <c r="L130" s="25">
        <v>0</v>
      </c>
      <c r="M130" s="383"/>
      <c r="N130" s="25">
        <v>2724580</v>
      </c>
      <c r="P130" s="25">
        <v>0</v>
      </c>
    </row>
    <row r="131" spans="1:18" ht="16.5" thickBot="1">
      <c r="A131" s="122"/>
      <c r="B131" s="558" t="s">
        <v>2</v>
      </c>
      <c r="C131" s="559">
        <f>SUM(C129:C130)</f>
        <v>0</v>
      </c>
      <c r="D131" s="559">
        <f>SUM(D129:D130)</f>
        <v>0</v>
      </c>
      <c r="E131" s="559">
        <f>SUM(E129:E130)</f>
        <v>0</v>
      </c>
      <c r="F131" s="560" t="s">
        <v>699</v>
      </c>
      <c r="G131" s="389">
        <f t="shared" ref="G131:L131" si="10">SUM(G129:G130)</f>
        <v>0</v>
      </c>
      <c r="H131" s="389">
        <f t="shared" si="10"/>
        <v>0</v>
      </c>
      <c r="I131" s="389">
        <f t="shared" si="10"/>
        <v>0</v>
      </c>
      <c r="J131" s="389">
        <f t="shared" si="10"/>
        <v>35994847</v>
      </c>
      <c r="K131" s="389">
        <f t="shared" si="10"/>
        <v>44053275</v>
      </c>
      <c r="L131" s="389">
        <f t="shared" si="10"/>
        <v>49932873</v>
      </c>
      <c r="M131" s="387"/>
      <c r="N131" s="389">
        <f>SUM(N129:N130)</f>
        <v>7924580</v>
      </c>
      <c r="O131" s="386"/>
      <c r="P131" s="389">
        <f>SUM(P129:P130)</f>
        <v>0</v>
      </c>
    </row>
    <row r="132" spans="1:18" ht="16.5" thickTop="1">
      <c r="A132" s="562"/>
      <c r="B132" s="563" t="s">
        <v>753</v>
      </c>
      <c r="C132" s="564">
        <f>SUM(C111:C123)</f>
        <v>17111831</v>
      </c>
      <c r="D132" s="564">
        <f>SUM(D111:D123)</f>
        <v>17111831</v>
      </c>
      <c r="E132" s="564">
        <f>SUM(E111:E123)</f>
        <v>17111831</v>
      </c>
      <c r="F132" s="492" t="s">
        <v>699</v>
      </c>
      <c r="G132" s="383"/>
      <c r="H132" s="383"/>
      <c r="I132" s="383"/>
      <c r="J132" s="383"/>
      <c r="K132" s="162" t="str">
        <f>+BK!B43</f>
        <v>Huamarjet</v>
      </c>
      <c r="L132" s="162" t="str">
        <f>+BK!C43</f>
        <v>5.b</v>
      </c>
      <c r="M132" s="383"/>
      <c r="N132" s="162">
        <f>+BK!N43</f>
        <v>7924580</v>
      </c>
      <c r="O132" s="162"/>
      <c r="P132" s="162">
        <f>+BK!P43</f>
        <v>31329282</v>
      </c>
    </row>
    <row r="133" spans="1:18">
      <c r="B133" s="383"/>
      <c r="C133" s="561">
        <f>+C128</f>
        <v>17111831</v>
      </c>
      <c r="D133" s="561">
        <f>+D128</f>
        <v>17111831</v>
      </c>
      <c r="E133" s="561">
        <f>+E128</f>
        <v>17111831</v>
      </c>
      <c r="F133" s="383"/>
      <c r="G133" s="383"/>
      <c r="H133" s="383"/>
      <c r="I133" s="383"/>
      <c r="J133" s="383"/>
      <c r="K133" s="162"/>
      <c r="L133" s="162"/>
      <c r="M133" s="383"/>
      <c r="N133" s="162"/>
      <c r="O133" s="383"/>
      <c r="P133" s="162"/>
    </row>
    <row r="134" spans="1:18">
      <c r="B134" s="383"/>
      <c r="C134" s="161"/>
      <c r="D134" s="161"/>
      <c r="E134" s="161"/>
      <c r="F134" s="383"/>
      <c r="G134" s="383"/>
      <c r="H134" s="383"/>
      <c r="I134" s="383"/>
      <c r="J134" s="383"/>
      <c r="K134" s="162"/>
      <c r="L134" s="162"/>
      <c r="M134" s="383"/>
      <c r="N134" s="162"/>
      <c r="O134" s="383"/>
      <c r="P134" s="162"/>
    </row>
    <row r="135" spans="1:18">
      <c r="B135" s="461" t="s">
        <v>479</v>
      </c>
      <c r="C135" s="470" t="str">
        <f>+C97</f>
        <v>31 Dhjetor 2018</v>
      </c>
      <c r="D135" s="470" t="str">
        <f>+D97</f>
        <v>31 Dhjetor 2017</v>
      </c>
      <c r="E135" s="470" t="str">
        <f>+E97</f>
        <v>31 Dhjetor 2016</v>
      </c>
      <c r="F135" s="462" t="str">
        <f>+F97</f>
        <v>31 Dhjetor 2015</v>
      </c>
      <c r="G135" s="462" t="str">
        <f>+G128</f>
        <v>31 Dhjetor 2014</v>
      </c>
      <c r="H135" s="462" t="str">
        <f>+H128</f>
        <v>31 Dhjetor 2013</v>
      </c>
      <c r="I135" s="462" t="str">
        <f>+I128</f>
        <v>31 Dhjetor 2012</v>
      </c>
      <c r="J135" s="384" t="str">
        <f>+J128</f>
        <v>31 Dhjetor 2011</v>
      </c>
      <c r="K135" s="384" t="str">
        <f>+K128</f>
        <v>31 Dhjetor 2010</v>
      </c>
      <c r="L135" s="384" t="s">
        <v>569</v>
      </c>
      <c r="M135" s="383"/>
      <c r="N135" s="384" t="s">
        <v>110</v>
      </c>
      <c r="P135" s="384" t="s">
        <v>100</v>
      </c>
    </row>
    <row r="136" spans="1:18">
      <c r="B136" s="461" t="s">
        <v>108</v>
      </c>
      <c r="C136" s="470">
        <v>236273</v>
      </c>
      <c r="D136" s="470">
        <f>+'Bilanci Alpha'!E105</f>
        <v>612588</v>
      </c>
      <c r="E136" s="470">
        <f>+'Bilanci Alpha'!F105</f>
        <v>658330</v>
      </c>
      <c r="F136" s="470">
        <f>+'Bilanci Alpha'!G105</f>
        <v>338214</v>
      </c>
      <c r="G136" s="470">
        <f>+'Bilanci Alpha'!H105</f>
        <v>58119</v>
      </c>
      <c r="H136" s="470">
        <v>525423</v>
      </c>
      <c r="I136" s="470">
        <v>295108</v>
      </c>
      <c r="J136" s="25">
        <v>223411</v>
      </c>
      <c r="K136" s="25">
        <v>253297</v>
      </c>
      <c r="L136" s="25">
        <v>277114</v>
      </c>
      <c r="M136" s="383"/>
      <c r="N136" s="25">
        <v>225789</v>
      </c>
      <c r="P136" s="25">
        <v>275546</v>
      </c>
      <c r="R136" s="21"/>
    </row>
    <row r="137" spans="1:18">
      <c r="B137" s="461" t="s">
        <v>755</v>
      </c>
      <c r="C137" s="470">
        <f>+'Bilanci Alpha'!D104</f>
        <v>342361</v>
      </c>
      <c r="D137" s="470">
        <f>+'Bilanci Alpha'!E104</f>
        <v>337066</v>
      </c>
      <c r="E137" s="470">
        <f>+'Bilanci Alpha'!F104</f>
        <v>323779</v>
      </c>
      <c r="F137" s="470">
        <f>+'Bilanci Alpha'!G104</f>
        <v>329219</v>
      </c>
      <c r="G137" s="470">
        <f>+'Bilanci Alpha'!H104</f>
        <v>295179</v>
      </c>
      <c r="H137" s="470">
        <v>289917</v>
      </c>
      <c r="I137" s="470">
        <v>219426</v>
      </c>
      <c r="J137" s="25">
        <v>210924</v>
      </c>
      <c r="K137" s="25">
        <v>216783</v>
      </c>
      <c r="L137" s="25">
        <v>223758</v>
      </c>
      <c r="M137" s="383"/>
      <c r="N137" s="25">
        <v>263858</v>
      </c>
      <c r="P137" s="21">
        <v>272412</v>
      </c>
      <c r="R137" s="21"/>
    </row>
    <row r="138" spans="1:18">
      <c r="B138" s="461" t="s">
        <v>106</v>
      </c>
      <c r="C138" s="470">
        <v>0</v>
      </c>
      <c r="D138" s="470">
        <v>0</v>
      </c>
      <c r="E138" s="470">
        <v>0</v>
      </c>
      <c r="F138" s="470">
        <v>0</v>
      </c>
      <c r="G138" s="470">
        <v>0</v>
      </c>
      <c r="H138" s="470">
        <v>19000</v>
      </c>
      <c r="I138" s="470">
        <v>50700</v>
      </c>
      <c r="J138" s="25">
        <v>55600</v>
      </c>
      <c r="K138" s="25">
        <v>56200</v>
      </c>
      <c r="L138" s="25">
        <v>57260</v>
      </c>
      <c r="M138" s="383"/>
      <c r="N138" s="25">
        <v>49200</v>
      </c>
      <c r="P138" s="21">
        <v>48800</v>
      </c>
    </row>
    <row r="139" spans="1:18">
      <c r="B139" s="461" t="s">
        <v>524</v>
      </c>
      <c r="C139" s="470">
        <f>+C100</f>
        <v>747800</v>
      </c>
      <c r="D139" s="470">
        <f>+D100</f>
        <v>975000</v>
      </c>
      <c r="E139" s="470">
        <f>+E100</f>
        <v>7061408</v>
      </c>
      <c r="F139" s="470">
        <f t="shared" ref="F139:K139" si="11">+F100</f>
        <v>2353210.7200000002</v>
      </c>
      <c r="G139" s="470">
        <f t="shared" si="11"/>
        <v>1444881</v>
      </c>
      <c r="H139" s="470">
        <f t="shared" si="11"/>
        <v>908618</v>
      </c>
      <c r="I139" s="470">
        <f t="shared" si="11"/>
        <v>0</v>
      </c>
      <c r="J139" s="25">
        <f t="shared" si="11"/>
        <v>0</v>
      </c>
      <c r="K139" s="25">
        <f t="shared" si="11"/>
        <v>1182576</v>
      </c>
      <c r="L139" s="25">
        <v>924132</v>
      </c>
      <c r="M139" s="383"/>
      <c r="N139" s="25">
        <v>91680</v>
      </c>
      <c r="P139" s="21">
        <v>0</v>
      </c>
    </row>
    <row r="140" spans="1:18">
      <c r="B140" s="461" t="s">
        <v>1063</v>
      </c>
      <c r="C140" s="470">
        <v>126865</v>
      </c>
      <c r="D140" s="470">
        <v>0</v>
      </c>
      <c r="E140" s="461"/>
      <c r="F140" s="461"/>
      <c r="G140" s="461"/>
      <c r="H140" s="461"/>
      <c r="I140" s="461"/>
      <c r="J140" s="383"/>
      <c r="M140" s="383"/>
    </row>
    <row r="141" spans="1:18" ht="15.75" thickBot="1">
      <c r="B141" s="464" t="s">
        <v>2</v>
      </c>
      <c r="C141" s="463">
        <f>SUM(C136:C140)</f>
        <v>1453299</v>
      </c>
      <c r="D141" s="463">
        <f>SUM(D136:D139)</f>
        <v>1924654</v>
      </c>
      <c r="E141" s="463">
        <f>SUM(E136:E139)</f>
        <v>8043517</v>
      </c>
      <c r="F141" s="463">
        <f>SUM(F136:F139)</f>
        <v>3020643.72</v>
      </c>
      <c r="G141" s="463">
        <f t="shared" ref="G141:L141" si="12">SUM(G136:G139)</f>
        <v>1798179</v>
      </c>
      <c r="H141" s="463">
        <f t="shared" si="12"/>
        <v>1742958</v>
      </c>
      <c r="I141" s="463">
        <f t="shared" si="12"/>
        <v>565234</v>
      </c>
      <c r="J141" s="389">
        <f t="shared" si="12"/>
        <v>489935</v>
      </c>
      <c r="K141" s="389">
        <f t="shared" si="12"/>
        <v>1708856</v>
      </c>
      <c r="L141" s="389">
        <f t="shared" si="12"/>
        <v>1482264</v>
      </c>
      <c r="M141" s="387"/>
      <c r="N141" s="389">
        <f>SUM(N136:N139)</f>
        <v>630527</v>
      </c>
      <c r="O141" s="386"/>
      <c r="P141" s="389">
        <f>SUM(P136:P139)</f>
        <v>596758</v>
      </c>
    </row>
    <row r="142" spans="1:18" ht="15.75" thickTop="1">
      <c r="B142" s="383"/>
      <c r="C142" s="570">
        <f>+C100+C101</f>
        <v>1453299</v>
      </c>
      <c r="D142" s="570">
        <f>+D100+D101</f>
        <v>1924654</v>
      </c>
      <c r="E142" s="383"/>
      <c r="F142" s="383"/>
      <c r="G142" s="383"/>
      <c r="H142" s="383"/>
      <c r="I142" s="383"/>
      <c r="J142" s="383"/>
      <c r="K142" s="400" t="str">
        <f>+BK!B47</f>
        <v>Detyrime tatimore</v>
      </c>
      <c r="L142" s="400" t="str">
        <f>+BK!C47</f>
        <v>5.d</v>
      </c>
      <c r="M142" s="383"/>
      <c r="N142" s="400">
        <f>+BK!N47</f>
        <v>538847</v>
      </c>
      <c r="O142" s="162"/>
      <c r="P142" s="400">
        <f>+BK!P47</f>
        <v>596758</v>
      </c>
    </row>
    <row r="143" spans="1:18">
      <c r="B143" s="383"/>
      <c r="C143" s="383"/>
      <c r="D143" s="383"/>
      <c r="E143" s="383"/>
      <c r="F143" s="383"/>
      <c r="G143" s="383"/>
      <c r="H143" s="383"/>
      <c r="I143" s="383"/>
      <c r="J143" s="383"/>
      <c r="K143" s="162"/>
      <c r="L143" s="162"/>
      <c r="M143" s="383"/>
      <c r="N143" s="162"/>
      <c r="O143" s="383"/>
      <c r="P143" s="162"/>
    </row>
    <row r="144" spans="1:18">
      <c r="B144" s="405" t="s">
        <v>432</v>
      </c>
      <c r="C144" s="405"/>
      <c r="D144" s="405"/>
      <c r="E144" s="405"/>
      <c r="F144" s="405"/>
      <c r="G144" s="405"/>
      <c r="H144" s="405"/>
      <c r="I144" s="405"/>
      <c r="J144" s="405"/>
      <c r="K144" s="162"/>
      <c r="L144" s="162"/>
      <c r="M144" s="405"/>
      <c r="N144" s="162"/>
      <c r="O144" s="383"/>
      <c r="P144" s="162"/>
    </row>
    <row r="145" spans="2:17">
      <c r="B145" s="383"/>
      <c r="C145" s="384">
        <f>+C133</f>
        <v>17111831</v>
      </c>
      <c r="D145" s="384">
        <f>+D133</f>
        <v>17111831</v>
      </c>
      <c r="E145" s="384">
        <f>+E133</f>
        <v>17111831</v>
      </c>
      <c r="F145" s="384" t="str">
        <f t="shared" ref="F145:K145" si="13">+F135</f>
        <v>31 Dhjetor 2015</v>
      </c>
      <c r="G145" s="384" t="str">
        <f t="shared" si="13"/>
        <v>31 Dhjetor 2014</v>
      </c>
      <c r="H145" s="384" t="str">
        <f t="shared" si="13"/>
        <v>31 Dhjetor 2013</v>
      </c>
      <c r="I145" s="384" t="str">
        <f t="shared" si="13"/>
        <v>31 Dhjetor 2012</v>
      </c>
      <c r="J145" s="384" t="str">
        <f t="shared" si="13"/>
        <v>31 Dhjetor 2011</v>
      </c>
      <c r="K145" s="384" t="str">
        <f t="shared" si="13"/>
        <v>31 Dhjetor 2010</v>
      </c>
      <c r="L145" s="384" t="s">
        <v>569</v>
      </c>
      <c r="M145" s="383"/>
      <c r="N145" s="384" t="s">
        <v>110</v>
      </c>
      <c r="P145" s="384" t="s">
        <v>100</v>
      </c>
      <c r="Q145" s="385"/>
    </row>
    <row r="146" spans="2:17">
      <c r="B146" s="383"/>
      <c r="M146" s="383"/>
    </row>
    <row r="147" spans="2:17" ht="15.75" thickBot="1">
      <c r="B147" s="387" t="s">
        <v>2</v>
      </c>
      <c r="C147" s="389">
        <f>SUM(C146:C146)</f>
        <v>0</v>
      </c>
      <c r="D147" s="389">
        <f>SUM(D146:D146)</f>
        <v>0</v>
      </c>
      <c r="E147" s="389">
        <f>SUM(E146:E146)</f>
        <v>0</v>
      </c>
      <c r="F147" s="389">
        <f>SUM(F146:F146)</f>
        <v>0</v>
      </c>
      <c r="G147" s="389">
        <f t="shared" ref="G147:L147" si="14">SUM(G146:G146)</f>
        <v>0</v>
      </c>
      <c r="H147" s="389">
        <f t="shared" si="14"/>
        <v>0</v>
      </c>
      <c r="I147" s="389">
        <f t="shared" si="14"/>
        <v>0</v>
      </c>
      <c r="J147" s="389">
        <f t="shared" si="14"/>
        <v>0</v>
      </c>
      <c r="K147" s="389">
        <f t="shared" si="14"/>
        <v>0</v>
      </c>
      <c r="L147" s="389">
        <f t="shared" si="14"/>
        <v>0</v>
      </c>
      <c r="M147" s="387"/>
      <c r="N147" s="389">
        <f>SUM(N146:N146)</f>
        <v>0</v>
      </c>
      <c r="O147" s="386"/>
      <c r="P147" s="389">
        <f>SUM(P146:P146)</f>
        <v>0</v>
      </c>
      <c r="Q147" s="382"/>
    </row>
    <row r="148" spans="2:17" ht="15.75" thickTop="1">
      <c r="B148" s="383"/>
      <c r="C148" s="383"/>
      <c r="D148" s="383"/>
      <c r="E148" s="383"/>
      <c r="F148" s="383"/>
      <c r="G148" s="383"/>
      <c r="H148" s="383"/>
      <c r="I148" s="383"/>
      <c r="J148" s="383"/>
      <c r="K148" s="386"/>
      <c r="L148" s="386"/>
      <c r="M148" s="383"/>
      <c r="N148" s="386"/>
      <c r="O148" s="386"/>
      <c r="P148" s="386"/>
    </row>
    <row r="149" spans="2:17">
      <c r="B149" s="20"/>
      <c r="C149" s="20"/>
      <c r="D149" s="20"/>
      <c r="E149" s="20"/>
      <c r="F149" s="20"/>
      <c r="G149" s="20"/>
      <c r="H149" s="20"/>
      <c r="I149" s="20"/>
      <c r="J149" s="20"/>
      <c r="K149" s="406">
        <f>+K103</f>
        <v>0</v>
      </c>
      <c r="L149" s="406">
        <f>+L103</f>
        <v>0</v>
      </c>
      <c r="M149" s="20"/>
      <c r="N149" s="406">
        <f>+N103</f>
        <v>0</v>
      </c>
      <c r="O149" s="406"/>
      <c r="P149" s="406">
        <f>+P103</f>
        <v>0</v>
      </c>
    </row>
    <row r="150" spans="2:17">
      <c r="B150" s="383"/>
      <c r="C150" s="383"/>
      <c r="D150" s="383"/>
      <c r="E150" s="383"/>
      <c r="F150" s="383"/>
      <c r="G150" s="383"/>
      <c r="H150" s="383"/>
      <c r="I150" s="383"/>
      <c r="J150" s="383"/>
      <c r="K150" s="20"/>
      <c r="L150" s="20"/>
      <c r="M150" s="383"/>
      <c r="N150" s="20"/>
      <c r="O150" s="383"/>
      <c r="P150" s="383"/>
    </row>
    <row r="151" spans="2:17">
      <c r="B151" s="461" t="s">
        <v>479</v>
      </c>
      <c r="C151" s="462" t="str">
        <f>+C135</f>
        <v>31 Dhjetor 2018</v>
      </c>
      <c r="D151" s="462" t="str">
        <f>+D135</f>
        <v>31 Dhjetor 2017</v>
      </c>
      <c r="E151" s="462" t="str">
        <f>+E135</f>
        <v>31 Dhjetor 2016</v>
      </c>
      <c r="F151" s="462" t="str">
        <f t="shared" ref="F151:K151" si="15">+F145</f>
        <v>31 Dhjetor 2015</v>
      </c>
      <c r="G151" s="462" t="str">
        <f t="shared" si="15"/>
        <v>31 Dhjetor 2014</v>
      </c>
      <c r="H151" s="462" t="str">
        <f t="shared" si="15"/>
        <v>31 Dhjetor 2013</v>
      </c>
      <c r="I151" s="462" t="str">
        <f t="shared" si="15"/>
        <v>31 Dhjetor 2012</v>
      </c>
      <c r="J151" s="384" t="str">
        <f t="shared" si="15"/>
        <v>31 Dhjetor 2011</v>
      </c>
      <c r="K151" s="384" t="str">
        <f t="shared" si="15"/>
        <v>31 Dhjetor 2010</v>
      </c>
      <c r="L151" s="384" t="s">
        <v>569</v>
      </c>
      <c r="M151" s="383"/>
      <c r="N151" s="384" t="s">
        <v>110</v>
      </c>
      <c r="P151" s="384" t="s">
        <v>100</v>
      </c>
    </row>
    <row r="152" spans="2:17">
      <c r="B152" s="461" t="s">
        <v>1010</v>
      </c>
      <c r="C152" s="470">
        <f>+'Bilanci Alpha'!D107</f>
        <v>0</v>
      </c>
      <c r="D152" s="470">
        <f>+'Bilanci Alpha'!E107</f>
        <v>0</v>
      </c>
      <c r="E152" s="470">
        <f>+'Bilanci Alpha'!F107</f>
        <v>5810000</v>
      </c>
      <c r="F152" s="470">
        <f>+'Bilanci Alpha'!G107</f>
        <v>6852500</v>
      </c>
      <c r="G152" s="470">
        <f>+'Bilanci Alpha'!H107</f>
        <v>11060000</v>
      </c>
      <c r="H152" s="470">
        <f>+'Bilanci Alpha'!I107</f>
        <v>20392500</v>
      </c>
      <c r="I152" s="470">
        <f>+'Bilanci Alpha'!J107</f>
        <v>31970000</v>
      </c>
      <c r="J152" s="25">
        <f>+BK!K48</f>
        <v>0</v>
      </c>
      <c r="K152" s="25">
        <f>+BK!L48</f>
        <v>0</v>
      </c>
      <c r="L152" s="25">
        <f>+BK!M48</f>
        <v>0</v>
      </c>
      <c r="M152" s="383"/>
      <c r="N152" s="25">
        <f>+BK!N48</f>
        <v>27082338</v>
      </c>
      <c r="P152" s="25">
        <f>+BK!P48</f>
        <v>7224401</v>
      </c>
    </row>
    <row r="153" spans="2:17">
      <c r="B153" s="461" t="s">
        <v>124</v>
      </c>
      <c r="C153" s="475">
        <f>+'Bilanci Alpha'!D106</f>
        <v>0</v>
      </c>
      <c r="D153" s="475">
        <f>+'Bilanci Alpha'!E106</f>
        <v>0</v>
      </c>
      <c r="E153" s="475">
        <f>+'Bilanci Alpha'!F106</f>
        <v>0</v>
      </c>
      <c r="F153" s="475">
        <f>+'Bilanci Alpha'!G106</f>
        <v>0</v>
      </c>
      <c r="G153" s="475">
        <f>+'Bilanci Alpha'!H106</f>
        <v>0</v>
      </c>
      <c r="H153" s="475">
        <f>+'Bilanci Alpha'!I106</f>
        <v>0</v>
      </c>
      <c r="I153" s="475">
        <f>+'Bilanci Alpha'!J106</f>
        <v>1710842</v>
      </c>
      <c r="J153" s="383"/>
      <c r="M153" s="383"/>
    </row>
    <row r="154" spans="2:17" ht="15.75" thickBot="1">
      <c r="B154" s="464" t="s">
        <v>2</v>
      </c>
      <c r="C154" s="463">
        <f>SUM(C152:C153)</f>
        <v>0</v>
      </c>
      <c r="D154" s="463">
        <f t="shared" ref="D154:I154" si="16">SUM(D152:D153)</f>
        <v>0</v>
      </c>
      <c r="E154" s="463">
        <f t="shared" si="16"/>
        <v>5810000</v>
      </c>
      <c r="F154" s="463">
        <f t="shared" si="16"/>
        <v>6852500</v>
      </c>
      <c r="G154" s="463">
        <f t="shared" si="16"/>
        <v>11060000</v>
      </c>
      <c r="H154" s="463">
        <f t="shared" si="16"/>
        <v>20392500</v>
      </c>
      <c r="I154" s="463">
        <f t="shared" si="16"/>
        <v>33680842</v>
      </c>
      <c r="J154" s="389">
        <f>SUM(J152:J152)</f>
        <v>0</v>
      </c>
      <c r="K154" s="389">
        <f>SUM(K152:K152)</f>
        <v>0</v>
      </c>
      <c r="L154" s="389">
        <f>SUM(L152:L152)</f>
        <v>0</v>
      </c>
      <c r="M154" s="387"/>
      <c r="N154" s="389">
        <f>SUM(N152:N152)</f>
        <v>27082338</v>
      </c>
      <c r="O154" s="386"/>
      <c r="P154" s="389">
        <f>SUM(P152:P152)</f>
        <v>7224401</v>
      </c>
    </row>
    <row r="155" spans="2:17" ht="15.75" thickTop="1">
      <c r="B155" s="383"/>
      <c r="C155" s="383"/>
      <c r="D155" s="383"/>
      <c r="E155" s="383"/>
      <c r="F155" s="383"/>
      <c r="G155" s="383"/>
      <c r="H155" s="383"/>
      <c r="I155" s="383"/>
      <c r="J155" s="383"/>
      <c r="K155" s="390">
        <f>+BK!L48</f>
        <v>0</v>
      </c>
      <c r="L155" s="390">
        <f>+BK!M48</f>
        <v>0</v>
      </c>
      <c r="M155" s="383"/>
      <c r="N155" s="390">
        <f>+BK!N48</f>
        <v>27082338</v>
      </c>
      <c r="O155" s="390"/>
      <c r="P155" s="390">
        <f>+BK!P48</f>
        <v>7224401</v>
      </c>
    </row>
    <row r="156" spans="2:17">
      <c r="B156" s="383"/>
      <c r="C156" s="383"/>
      <c r="D156" s="383"/>
      <c r="E156" s="383"/>
      <c r="F156" s="383"/>
      <c r="G156" s="383"/>
      <c r="H156" s="383"/>
      <c r="I156" s="383"/>
      <c r="J156" s="383"/>
      <c r="K156" s="20"/>
      <c r="L156" s="20"/>
      <c r="M156" s="383"/>
      <c r="N156" s="20"/>
      <c r="O156" s="383"/>
      <c r="P156" s="20"/>
    </row>
    <row r="157" spans="2:17">
      <c r="B157" s="383" t="s">
        <v>525</v>
      </c>
      <c r="C157" s="383"/>
      <c r="D157" s="383"/>
      <c r="E157" s="383"/>
      <c r="F157" s="383"/>
      <c r="G157" s="383"/>
      <c r="H157" s="383"/>
      <c r="I157" s="383"/>
      <c r="J157" s="383"/>
      <c r="K157" s="383"/>
      <c r="L157" s="383"/>
      <c r="M157" s="383"/>
      <c r="N157" s="383"/>
      <c r="O157" s="383"/>
      <c r="P157" s="383"/>
    </row>
    <row r="158" spans="2:17">
      <c r="B158" s="470" t="s">
        <v>479</v>
      </c>
      <c r="C158" s="462" t="str">
        <f>+C151</f>
        <v>31 Dhjetor 2018</v>
      </c>
      <c r="D158" s="462" t="str">
        <f>+D151</f>
        <v>31 Dhjetor 2017</v>
      </c>
      <c r="E158" s="462" t="str">
        <f>+E151</f>
        <v>31 Dhjetor 2016</v>
      </c>
      <c r="F158" s="462" t="str">
        <f t="shared" ref="F158:K158" si="17">+F151</f>
        <v>31 Dhjetor 2015</v>
      </c>
      <c r="G158" s="462" t="str">
        <f t="shared" si="17"/>
        <v>31 Dhjetor 2014</v>
      </c>
      <c r="H158" s="462" t="str">
        <f t="shared" si="17"/>
        <v>31 Dhjetor 2013</v>
      </c>
      <c r="I158" s="462" t="str">
        <f t="shared" si="17"/>
        <v>31 Dhjetor 2012</v>
      </c>
      <c r="J158" s="384" t="str">
        <f t="shared" si="17"/>
        <v>31 Dhjetor 2011</v>
      </c>
      <c r="K158" s="384" t="str">
        <f t="shared" si="17"/>
        <v>31 Dhjetor 2010</v>
      </c>
      <c r="L158" s="384" t="s">
        <v>569</v>
      </c>
      <c r="N158" s="384" t="s">
        <v>110</v>
      </c>
      <c r="O158" s="394"/>
      <c r="P158" s="384" t="s">
        <v>100</v>
      </c>
    </row>
    <row r="159" spans="2:17">
      <c r="B159" s="470" t="s">
        <v>1011</v>
      </c>
      <c r="C159" s="470">
        <f>+'Bilanci Alpha'!D43</f>
        <v>0</v>
      </c>
      <c r="D159" s="470">
        <f>+'Bilanci Alpha'!E43</f>
        <v>1075022</v>
      </c>
      <c r="E159" s="470">
        <f>+'Bilanci Alpha'!F43</f>
        <v>2347227</v>
      </c>
      <c r="F159" s="470">
        <f>+'Bilanci Alpha'!G43</f>
        <v>2870098</v>
      </c>
      <c r="G159" s="470">
        <f>+'Bilanci Alpha'!H43</f>
        <v>3219407.1775000012</v>
      </c>
      <c r="H159" s="470">
        <f>+'Bilanci Alpha'!I43</f>
        <v>3692236</v>
      </c>
      <c r="I159" s="470">
        <f>+'Bilanci Alpha'!J43</f>
        <v>4012173</v>
      </c>
      <c r="J159" s="25">
        <f>+'Bilanci Alpha'!K43</f>
        <v>3549977</v>
      </c>
      <c r="K159" s="25">
        <f>+'Bilanci Alpha'!L43</f>
        <v>3832550</v>
      </c>
      <c r="L159" s="25">
        <f>+'Bilanci Alpha'!M43</f>
        <v>4345407</v>
      </c>
      <c r="N159" s="25">
        <f>+'Bilanci Alpha'!N43</f>
        <v>4488007</v>
      </c>
      <c r="P159" s="25">
        <f>+'Bilanci Alpha'!O43</f>
        <v>6214125</v>
      </c>
    </row>
    <row r="160" spans="2:17" ht="15.75" thickBot="1">
      <c r="B160" s="472" t="s">
        <v>2</v>
      </c>
      <c r="C160" s="473">
        <f>SUM(C159:C159)</f>
        <v>0</v>
      </c>
      <c r="D160" s="473">
        <f>SUM(D159:D159)</f>
        <v>1075022</v>
      </c>
      <c r="E160" s="473">
        <f>SUM(E159:E159)</f>
        <v>2347227</v>
      </c>
      <c r="F160" s="473">
        <f>SUM(F159:F159)</f>
        <v>2870098</v>
      </c>
      <c r="G160" s="473">
        <f t="shared" ref="G160:L160" si="18">SUM(G159:G159)</f>
        <v>3219407.1775000012</v>
      </c>
      <c r="H160" s="473">
        <f t="shared" si="18"/>
        <v>3692236</v>
      </c>
      <c r="I160" s="473">
        <f t="shared" si="18"/>
        <v>4012173</v>
      </c>
      <c r="J160" s="403">
        <f t="shared" si="18"/>
        <v>3549977</v>
      </c>
      <c r="K160" s="403">
        <f t="shared" si="18"/>
        <v>3832550</v>
      </c>
      <c r="L160" s="403">
        <f t="shared" si="18"/>
        <v>4345407</v>
      </c>
      <c r="M160" s="402"/>
      <c r="N160" s="403">
        <f>SUM(N159:N159)</f>
        <v>4488007</v>
      </c>
      <c r="O160" s="382"/>
      <c r="P160" s="403">
        <f>SUM(P159:P159)</f>
        <v>6214125</v>
      </c>
    </row>
    <row r="161" spans="2:16" ht="15.75" thickTop="1">
      <c r="B161" s="25" t="s">
        <v>571</v>
      </c>
      <c r="C161" s="25">
        <f>+'Bilanci Alpha'!D42</f>
        <v>0</v>
      </c>
      <c r="D161" s="25">
        <f>+'Bilanci Alpha'!E42</f>
        <v>0</v>
      </c>
      <c r="E161" s="25">
        <f>+'Bilanci Alpha'!F42</f>
        <v>0</v>
      </c>
      <c r="F161" s="25">
        <f>+'Bilanci Alpha'!G42</f>
        <v>0</v>
      </c>
      <c r="G161" s="25">
        <f>+'Bilanci Alpha'!H42</f>
        <v>0</v>
      </c>
      <c r="H161" s="25">
        <f>+'Bilanci Alpha'!I42</f>
        <v>0</v>
      </c>
      <c r="I161" s="25">
        <f>+'Bilanci Alpha'!J42</f>
        <v>0</v>
      </c>
      <c r="J161" s="25">
        <f>+'Bilanci Alpha'!K42</f>
        <v>0</v>
      </c>
      <c r="K161" s="25">
        <f>+'Bilanci Alpha'!L42</f>
        <v>4583809</v>
      </c>
      <c r="L161" s="25" t="e">
        <f>+#REF!-L160</f>
        <v>#REF!</v>
      </c>
      <c r="N161" s="25" t="e">
        <f>+#REF!-N160</f>
        <v>#REF!</v>
      </c>
    </row>
    <row r="162" spans="2:16">
      <c r="B162" s="407" t="s">
        <v>435</v>
      </c>
      <c r="C162" s="382">
        <f>+C161+C160</f>
        <v>0</v>
      </c>
      <c r="D162" s="382">
        <f>+D161+D160</f>
        <v>1075022</v>
      </c>
      <c r="E162" s="382">
        <f>+E161+E160</f>
        <v>2347227</v>
      </c>
      <c r="F162" s="382">
        <f t="shared" ref="F162:K162" si="19">+F161+F160</f>
        <v>2870098</v>
      </c>
      <c r="G162" s="382">
        <f t="shared" si="19"/>
        <v>3219407.1775000012</v>
      </c>
      <c r="H162" s="382">
        <f t="shared" si="19"/>
        <v>3692236</v>
      </c>
      <c r="I162" s="382">
        <f t="shared" si="19"/>
        <v>4012173</v>
      </c>
      <c r="J162" s="382">
        <f t="shared" si="19"/>
        <v>3549977</v>
      </c>
      <c r="K162" s="382">
        <f t="shared" si="19"/>
        <v>8416359</v>
      </c>
      <c r="M162" s="407"/>
    </row>
    <row r="163" spans="2:16">
      <c r="K163" s="384" t="s">
        <v>569</v>
      </c>
      <c r="L163" s="384" t="s">
        <v>569</v>
      </c>
      <c r="N163" s="384" t="s">
        <v>110</v>
      </c>
      <c r="O163" s="394"/>
      <c r="P163" s="384" t="s">
        <v>100</v>
      </c>
    </row>
    <row r="164" spans="2:16">
      <c r="K164" s="408"/>
      <c r="L164" s="408"/>
      <c r="N164" s="408"/>
      <c r="O164" s="394"/>
      <c r="P164" s="408">
        <f>+BK!P57</f>
        <v>2440282</v>
      </c>
    </row>
    <row r="165" spans="2:16">
      <c r="K165" s="408"/>
      <c r="L165" s="408"/>
      <c r="N165" s="408"/>
    </row>
    <row r="166" spans="2:16" ht="15.75" thickBot="1">
      <c r="B166" s="402" t="s">
        <v>2</v>
      </c>
      <c r="C166" s="402"/>
      <c r="D166" s="402"/>
      <c r="E166" s="402"/>
      <c r="F166" s="402"/>
      <c r="G166" s="402"/>
      <c r="H166" s="402"/>
      <c r="I166" s="402"/>
      <c r="J166" s="402"/>
      <c r="K166" s="403">
        <f>SUM(K164:K165)</f>
        <v>0</v>
      </c>
      <c r="L166" s="403">
        <f>SUM(L164:L165)</f>
        <v>0</v>
      </c>
      <c r="M166" s="402"/>
      <c r="N166" s="403">
        <f>SUM(N164:N165)</f>
        <v>0</v>
      </c>
      <c r="O166" s="382"/>
      <c r="P166" s="403">
        <f>SUM(P164:P165)</f>
        <v>2440282</v>
      </c>
    </row>
    <row r="167" spans="2:16" ht="15.75" thickTop="1">
      <c r="K167" s="25">
        <f>+BK!L57</f>
        <v>0</v>
      </c>
      <c r="L167" s="25">
        <f>+BK!M57</f>
        <v>0</v>
      </c>
      <c r="N167" s="25">
        <f>+BK!N57</f>
        <v>0</v>
      </c>
      <c r="P167" s="25">
        <f>+P166</f>
        <v>2440282</v>
      </c>
    </row>
    <row r="169" spans="2:16">
      <c r="B169" s="407" t="s">
        <v>527</v>
      </c>
      <c r="C169" s="407"/>
      <c r="D169" s="407"/>
      <c r="E169" s="407"/>
      <c r="F169" s="407"/>
      <c r="G169" s="407"/>
      <c r="H169" s="407"/>
      <c r="I169" s="407"/>
      <c r="J169" s="407"/>
      <c r="M169" s="407"/>
    </row>
    <row r="170" spans="2:16" ht="15.75" thickBot="1">
      <c r="B170" s="470" t="s">
        <v>700</v>
      </c>
      <c r="C170" s="462" t="str">
        <f>+C158</f>
        <v>31 Dhjetor 2018</v>
      </c>
      <c r="D170" s="462" t="str">
        <f>+D158</f>
        <v>31 Dhjetor 2017</v>
      </c>
      <c r="E170" s="462" t="str">
        <f>+E158</f>
        <v>31 Dhjetor 2016</v>
      </c>
      <c r="F170" s="462" t="str">
        <f t="shared" ref="F170:K170" si="20">+F158</f>
        <v>31 Dhjetor 2015</v>
      </c>
      <c r="G170" s="462" t="str">
        <f t="shared" si="20"/>
        <v>31 Dhjetor 2014</v>
      </c>
      <c r="H170" s="462" t="str">
        <f t="shared" si="20"/>
        <v>31 Dhjetor 2013</v>
      </c>
      <c r="I170" s="462" t="str">
        <f t="shared" si="20"/>
        <v>31 Dhjetor 2012</v>
      </c>
      <c r="J170" s="409" t="str">
        <f t="shared" si="20"/>
        <v>31 Dhjetor 2011</v>
      </c>
      <c r="K170" s="409" t="str">
        <f t="shared" si="20"/>
        <v>31 Dhjetor 2010</v>
      </c>
      <c r="L170" s="409" t="s">
        <v>569</v>
      </c>
      <c r="N170" s="409" t="s">
        <v>110</v>
      </c>
      <c r="O170" s="410"/>
      <c r="P170" s="409" t="s">
        <v>100</v>
      </c>
    </row>
    <row r="171" spans="2:16" ht="15.75" thickTop="1">
      <c r="B171" s="470" t="s">
        <v>526</v>
      </c>
      <c r="C171" s="476">
        <f>+'Ardh shpenz alpha'!C14</f>
        <v>59129540</v>
      </c>
      <c r="D171" s="476">
        <f>+'Ardh shpenz alpha'!D14</f>
        <v>57068740</v>
      </c>
      <c r="E171" s="476">
        <f>+'Ardh shpenz alpha'!E14</f>
        <v>52066118</v>
      </c>
      <c r="F171" s="476">
        <f>+'Ardh shpenz alpha'!F14</f>
        <v>42903445</v>
      </c>
      <c r="G171" s="476">
        <f>+'Ardh shpenz alpha'!G14</f>
        <v>48894254</v>
      </c>
      <c r="H171" s="476">
        <f>+'Ardh shpenz alpha'!H14</f>
        <v>65177818</v>
      </c>
      <c r="I171" s="476">
        <f>+'Ardh shpenz alpha'!I14</f>
        <v>51876394</v>
      </c>
      <c r="J171" s="408">
        <f>+'Ardh shpenz alpha'!J14</f>
        <v>58505056</v>
      </c>
      <c r="K171" s="408">
        <f>+'Ardh shpenz alpha'!K14</f>
        <v>58073901</v>
      </c>
      <c r="L171" s="408">
        <f>+'Ardh shpenz alpha'!L14</f>
        <v>32770160</v>
      </c>
      <c r="N171" s="408">
        <f>+'Ardh shpenz alpha'!M14</f>
        <v>35253484</v>
      </c>
      <c r="O171" s="410"/>
      <c r="P171" s="411">
        <f>+'Ardh shpenz alpha'!N14</f>
        <v>29587117</v>
      </c>
    </row>
    <row r="172" spans="2:16" hidden="1">
      <c r="B172" s="470" t="s">
        <v>439</v>
      </c>
      <c r="C172" s="476"/>
      <c r="D172" s="476"/>
      <c r="E172" s="476"/>
      <c r="F172" s="476"/>
      <c r="G172" s="476"/>
      <c r="H172" s="476"/>
      <c r="I172" s="476"/>
      <c r="J172" s="408"/>
      <c r="K172" s="408"/>
      <c r="L172" s="408"/>
      <c r="N172" s="408"/>
      <c r="O172" s="410"/>
      <c r="P172" s="408"/>
    </row>
    <row r="173" spans="2:16" hidden="1">
      <c r="B173" s="470"/>
      <c r="C173" s="476"/>
      <c r="D173" s="476"/>
      <c r="E173" s="476"/>
      <c r="F173" s="476"/>
      <c r="G173" s="476"/>
      <c r="H173" s="476"/>
      <c r="I173" s="476"/>
      <c r="J173" s="408"/>
      <c r="K173" s="408"/>
      <c r="L173" s="408"/>
      <c r="N173" s="408"/>
      <c r="O173" s="412"/>
      <c r="P173" s="408"/>
    </row>
    <row r="174" spans="2:16" ht="15.75" thickBot="1">
      <c r="B174" s="472" t="s">
        <v>2</v>
      </c>
      <c r="C174" s="473">
        <f>SUM(C171:C172)</f>
        <v>59129540</v>
      </c>
      <c r="D174" s="473">
        <f>SUM(D171:D172)</f>
        <v>57068740</v>
      </c>
      <c r="E174" s="473">
        <f>SUM(E171:E172)</f>
        <v>52066118</v>
      </c>
      <c r="F174" s="473">
        <f>SUM(F171:F172)</f>
        <v>42903445</v>
      </c>
      <c r="G174" s="473">
        <f t="shared" ref="G174:L174" si="21">SUM(G171:G172)</f>
        <v>48894254</v>
      </c>
      <c r="H174" s="473">
        <f t="shared" si="21"/>
        <v>65177818</v>
      </c>
      <c r="I174" s="473">
        <f t="shared" si="21"/>
        <v>51876394</v>
      </c>
      <c r="J174" s="403">
        <f t="shared" si="21"/>
        <v>58505056</v>
      </c>
      <c r="K174" s="403">
        <f t="shared" si="21"/>
        <v>58073901</v>
      </c>
      <c r="L174" s="403">
        <f t="shared" si="21"/>
        <v>32770160</v>
      </c>
      <c r="M174" s="402"/>
      <c r="N174" s="403">
        <f>SUM(N171:N172)</f>
        <v>35253484</v>
      </c>
      <c r="O174" s="407"/>
      <c r="P174" s="403">
        <f>SUM(P171:P173)</f>
        <v>29587117</v>
      </c>
    </row>
    <row r="175" spans="2:16" ht="15.75" thickTop="1">
      <c r="C175" s="413">
        <f>'ardh-shpenz'!D8</f>
        <v>59129540</v>
      </c>
      <c r="D175" s="413">
        <f>'ardh-shpenz'!E8</f>
        <v>57068740</v>
      </c>
      <c r="E175" s="413">
        <f>'ardh-shpenz'!F8</f>
        <v>52066118</v>
      </c>
      <c r="F175" s="413">
        <f>'ardh-shpenz'!G8</f>
        <v>42903445</v>
      </c>
      <c r="G175" s="413">
        <f>'ardh-shpenz'!H8</f>
        <v>48894254</v>
      </c>
      <c r="H175" s="413">
        <f>'ardh-shpenz'!I8</f>
        <v>65177818</v>
      </c>
      <c r="I175" s="413">
        <f>'ardh-shpenz'!J8</f>
        <v>51876394</v>
      </c>
      <c r="J175" s="413">
        <f>'ardh-shpenz'!K8</f>
        <v>58505056</v>
      </c>
      <c r="K175" s="413">
        <f>'ardh-shpenz'!L8</f>
        <v>58073901</v>
      </c>
      <c r="L175" s="413">
        <f>'ardh-shpenz'!M8</f>
        <v>32770160</v>
      </c>
      <c r="N175" s="413">
        <f>'ardh-shpenz'!N8</f>
        <v>35253484</v>
      </c>
      <c r="O175" s="413"/>
      <c r="P175" s="413">
        <f>'ardh-shpenz'!P8</f>
        <v>29587117</v>
      </c>
    </row>
    <row r="176" spans="2:16">
      <c r="K176" s="413"/>
      <c r="L176" s="413"/>
      <c r="N176" s="413"/>
    </row>
    <row r="177" spans="2:16" ht="15.75" thickBot="1">
      <c r="C177" s="409" t="str">
        <f>+C170</f>
        <v>31 Dhjetor 2018</v>
      </c>
      <c r="D177" s="409" t="str">
        <f t="shared" ref="D177:I177" si="22">+D170</f>
        <v>31 Dhjetor 2017</v>
      </c>
      <c r="E177" s="409" t="str">
        <f t="shared" si="22"/>
        <v>31 Dhjetor 2016</v>
      </c>
      <c r="F177" s="409" t="str">
        <f t="shared" si="22"/>
        <v>31 Dhjetor 2015</v>
      </c>
      <c r="G177" s="409" t="str">
        <f t="shared" si="22"/>
        <v>31 Dhjetor 2014</v>
      </c>
      <c r="H177" s="409" t="str">
        <f t="shared" si="22"/>
        <v>31 Dhjetor 2013</v>
      </c>
      <c r="I177" s="409" t="str">
        <f t="shared" si="22"/>
        <v>31 Dhjetor 2012</v>
      </c>
      <c r="J177" s="409" t="s">
        <v>636</v>
      </c>
      <c r="K177" s="409" t="s">
        <v>585</v>
      </c>
      <c r="L177" s="409" t="s">
        <v>569</v>
      </c>
      <c r="N177" s="409" t="s">
        <v>110</v>
      </c>
      <c r="O177" s="394"/>
      <c r="P177" s="409" t="s">
        <v>100</v>
      </c>
    </row>
    <row r="178" spans="2:16" ht="15.75" thickTop="1">
      <c r="B178" s="25" t="s">
        <v>437</v>
      </c>
      <c r="C178" s="25">
        <f>+'ardh-shpenz'!D9</f>
        <v>0</v>
      </c>
      <c r="D178" s="25">
        <f>+'ardh-shpenz'!E9</f>
        <v>0</v>
      </c>
      <c r="E178" s="25">
        <f>+'ardh-shpenz'!F9</f>
        <v>0</v>
      </c>
      <c r="F178" s="25">
        <f>+'ardh-shpenz'!G9</f>
        <v>0</v>
      </c>
      <c r="G178" s="25">
        <f>+'ardh-shpenz'!H9</f>
        <v>0</v>
      </c>
      <c r="H178" s="25">
        <f>+'ardh-shpenz'!I9</f>
        <v>0</v>
      </c>
      <c r="I178" s="25">
        <f>+'ardh-shpenz'!J9</f>
        <v>0</v>
      </c>
      <c r="J178" s="25">
        <f>+'ardh-shpenz'!K9</f>
        <v>606051</v>
      </c>
      <c r="K178" s="25">
        <f>+'ardh-shpenz'!L9</f>
        <v>186500</v>
      </c>
      <c r="L178" s="25">
        <v>0</v>
      </c>
      <c r="N178" s="25">
        <v>0</v>
      </c>
      <c r="O178" s="408"/>
      <c r="P178" s="25">
        <v>0</v>
      </c>
    </row>
    <row r="179" spans="2:16">
      <c r="B179" s="25" t="s">
        <v>141</v>
      </c>
      <c r="C179" s="25">
        <v>0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N179" s="25">
        <v>0</v>
      </c>
      <c r="O179" s="408"/>
      <c r="P179" s="25">
        <v>0</v>
      </c>
    </row>
    <row r="180" spans="2:16">
      <c r="K180" s="386"/>
      <c r="L180" s="386"/>
      <c r="N180" s="386"/>
    </row>
    <row r="181" spans="2:16" ht="15.75" thickBot="1">
      <c r="B181" s="402" t="s">
        <v>2</v>
      </c>
      <c r="C181" s="403">
        <f>SUM(C178:C180)</f>
        <v>0</v>
      </c>
      <c r="D181" s="403">
        <f>SUM(D178:D180)</f>
        <v>0</v>
      </c>
      <c r="E181" s="403">
        <f>SUM(E178:E180)</f>
        <v>0</v>
      </c>
      <c r="F181" s="403">
        <f>SUM(F178:F180)</f>
        <v>0</v>
      </c>
      <c r="G181" s="403">
        <f t="shared" ref="G181:L181" si="23">SUM(G178:G180)</f>
        <v>0</v>
      </c>
      <c r="H181" s="403">
        <f t="shared" si="23"/>
        <v>0</v>
      </c>
      <c r="I181" s="403">
        <f t="shared" si="23"/>
        <v>0</v>
      </c>
      <c r="J181" s="403">
        <f t="shared" si="23"/>
        <v>606051</v>
      </c>
      <c r="K181" s="403">
        <f t="shared" si="23"/>
        <v>186500</v>
      </c>
      <c r="L181" s="403">
        <f t="shared" si="23"/>
        <v>0</v>
      </c>
      <c r="M181" s="402"/>
      <c r="N181" s="403">
        <f>SUM(N178:N180)</f>
        <v>0</v>
      </c>
      <c r="O181" s="382"/>
      <c r="P181" s="403">
        <f>SUM(P178:P180)</f>
        <v>0</v>
      </c>
    </row>
    <row r="182" spans="2:16" ht="15.75" thickTop="1">
      <c r="C182" s="413">
        <f>+'ardh-shpenz'!D9</f>
        <v>0</v>
      </c>
      <c r="D182" s="413">
        <f>+'ardh-shpenz'!E9</f>
        <v>0</v>
      </c>
      <c r="E182" s="413">
        <f>+'ardh-shpenz'!F9</f>
        <v>0</v>
      </c>
      <c r="F182" s="413">
        <f>+'ardh-shpenz'!G9</f>
        <v>0</v>
      </c>
      <c r="G182" s="413">
        <f>+'ardh-shpenz'!H9</f>
        <v>0</v>
      </c>
      <c r="H182" s="413">
        <f>+'ardh-shpenz'!I9</f>
        <v>0</v>
      </c>
      <c r="I182" s="413">
        <f>+'ardh-shpenz'!J9</f>
        <v>0</v>
      </c>
      <c r="J182" s="413">
        <f>+'ardh-shpenz'!K9</f>
        <v>606051</v>
      </c>
      <c r="K182" s="413">
        <f>+'ardh-shpenz'!L9</f>
        <v>186500</v>
      </c>
      <c r="L182" s="413">
        <f>+'ardh-shpenz'!M9</f>
        <v>0</v>
      </c>
      <c r="N182" s="413">
        <f>+'ardh-shpenz'!N9</f>
        <v>0</v>
      </c>
      <c r="O182" s="413"/>
      <c r="P182" s="413">
        <f>+'ardh-shpenz'!P9</f>
        <v>0</v>
      </c>
    </row>
    <row r="183" spans="2:16">
      <c r="B183" s="77"/>
      <c r="C183" s="77"/>
      <c r="D183" s="77"/>
      <c r="E183" s="77"/>
      <c r="F183" s="77"/>
      <c r="G183" s="77"/>
      <c r="H183" s="77"/>
      <c r="I183" s="77"/>
      <c r="J183" s="77"/>
      <c r="M183" s="77"/>
    </row>
    <row r="184" spans="2:16" ht="15.75" thickBot="1">
      <c r="C184" s="409" t="str">
        <f>+C158</f>
        <v>31 Dhjetor 2018</v>
      </c>
      <c r="D184" s="409" t="str">
        <f>+D158</f>
        <v>31 Dhjetor 2017</v>
      </c>
      <c r="E184" s="409" t="str">
        <f>+E158</f>
        <v>31 Dhjetor 2016</v>
      </c>
      <c r="F184" s="409" t="str">
        <f t="shared" ref="F184:K184" si="24">+F158</f>
        <v>31 Dhjetor 2015</v>
      </c>
      <c r="G184" s="409" t="str">
        <f t="shared" si="24"/>
        <v>31 Dhjetor 2014</v>
      </c>
      <c r="H184" s="409" t="str">
        <f t="shared" si="24"/>
        <v>31 Dhjetor 2013</v>
      </c>
      <c r="I184" s="409" t="str">
        <f t="shared" si="24"/>
        <v>31 Dhjetor 2012</v>
      </c>
      <c r="J184" s="409" t="str">
        <f t="shared" si="24"/>
        <v>31 Dhjetor 2011</v>
      </c>
      <c r="K184" s="409" t="str">
        <f t="shared" si="24"/>
        <v>31 Dhjetor 2010</v>
      </c>
      <c r="L184" s="409" t="s">
        <v>569</v>
      </c>
      <c r="N184" s="409" t="s">
        <v>110</v>
      </c>
      <c r="O184" s="394"/>
      <c r="P184" s="409" t="s">
        <v>100</v>
      </c>
    </row>
    <row r="185" spans="2:16" ht="15.75" thickTop="1">
      <c r="B185" s="25" t="s">
        <v>438</v>
      </c>
      <c r="C185" s="25">
        <f>-'ardh-shpenz'!D12</f>
        <v>0</v>
      </c>
      <c r="D185" s="25">
        <f>-'ardh-shpenz'!E12</f>
        <v>0</v>
      </c>
      <c r="E185" s="25">
        <f>-'ardh-shpenz'!F12</f>
        <v>0</v>
      </c>
      <c r="F185" s="25">
        <f>-'ardh-shpenz'!G12</f>
        <v>0</v>
      </c>
      <c r="G185" s="25">
        <f>-'ardh-shpenz'!H12</f>
        <v>0</v>
      </c>
      <c r="H185" s="25">
        <f>-'ardh-shpenz'!I12</f>
        <v>0</v>
      </c>
      <c r="I185" s="25">
        <f>-'ardh-shpenz'!J12</f>
        <v>0</v>
      </c>
      <c r="J185" s="25">
        <f>-'ardh-shpenz'!K12</f>
        <v>0</v>
      </c>
      <c r="K185" s="25">
        <f>-'ardh-shpenz'!L12</f>
        <v>0</v>
      </c>
      <c r="L185" s="25">
        <f>-'ardh-shpenz'!M12</f>
        <v>0</v>
      </c>
      <c r="N185" s="25">
        <f>-'ardh-shpenz'!N12</f>
        <v>0</v>
      </c>
      <c r="P185" s="25">
        <v>0</v>
      </c>
    </row>
    <row r="187" spans="2:16" ht="15.75" thickBot="1">
      <c r="B187" s="402" t="s">
        <v>2</v>
      </c>
      <c r="C187" s="403">
        <f>SUM(C185:C186)</f>
        <v>0</v>
      </c>
      <c r="D187" s="403">
        <f>SUM(D185:D186)</f>
        <v>0</v>
      </c>
      <c r="E187" s="403">
        <f>SUM(E185:E186)</f>
        <v>0</v>
      </c>
      <c r="F187" s="403">
        <f>SUM(F185:F186)</f>
        <v>0</v>
      </c>
      <c r="G187" s="403">
        <f t="shared" ref="G187:L187" si="25">SUM(G185:G186)</f>
        <v>0</v>
      </c>
      <c r="H187" s="403">
        <f t="shared" si="25"/>
        <v>0</v>
      </c>
      <c r="I187" s="403">
        <f t="shared" si="25"/>
        <v>0</v>
      </c>
      <c r="J187" s="403">
        <f t="shared" si="25"/>
        <v>0</v>
      </c>
      <c r="K187" s="403">
        <f t="shared" si="25"/>
        <v>0</v>
      </c>
      <c r="L187" s="403">
        <f t="shared" si="25"/>
        <v>0</v>
      </c>
      <c r="M187" s="402"/>
      <c r="N187" s="403">
        <f>SUM(N185:N186)</f>
        <v>0</v>
      </c>
      <c r="O187" s="382"/>
      <c r="P187" s="403">
        <f>SUM(P185:P186)</f>
        <v>0</v>
      </c>
    </row>
    <row r="188" spans="2:16" ht="15.75" thickTop="1">
      <c r="C188" s="25">
        <f>+'ardh-shpenz'!D12</f>
        <v>0</v>
      </c>
      <c r="D188" s="25">
        <f>+'ardh-shpenz'!E12</f>
        <v>0</v>
      </c>
      <c r="E188" s="25">
        <f>+'ardh-shpenz'!F12</f>
        <v>0</v>
      </c>
      <c r="F188" s="25">
        <f>+'ardh-shpenz'!G12</f>
        <v>0</v>
      </c>
      <c r="G188" s="25">
        <f>+'ardh-shpenz'!H12</f>
        <v>0</v>
      </c>
      <c r="H188" s="25">
        <f>+'ardh-shpenz'!I12</f>
        <v>0</v>
      </c>
      <c r="I188" s="25">
        <f>+'ardh-shpenz'!J12</f>
        <v>0</v>
      </c>
      <c r="J188" s="25">
        <f>+'ardh-shpenz'!K12</f>
        <v>0</v>
      </c>
      <c r="K188" s="25">
        <f>+'ardh-shpenz'!L12</f>
        <v>0</v>
      </c>
      <c r="L188" s="25">
        <f>+'ardh-shpenz'!M12</f>
        <v>0</v>
      </c>
      <c r="N188" s="25">
        <f>+'ardh-shpenz'!N12</f>
        <v>0</v>
      </c>
      <c r="P188" s="25">
        <f>+'ardh-shpenz'!P12</f>
        <v>0</v>
      </c>
    </row>
    <row r="190" spans="2:16">
      <c r="B190" s="25" t="s">
        <v>325</v>
      </c>
    </row>
    <row r="191" spans="2:16" ht="15.75" thickBot="1">
      <c r="B191" s="470" t="s">
        <v>479</v>
      </c>
      <c r="C191" s="462" t="str">
        <f>+C184</f>
        <v>31 Dhjetor 2018</v>
      </c>
      <c r="D191" s="462" t="str">
        <f>+D184</f>
        <v>31 Dhjetor 2017</v>
      </c>
      <c r="E191" s="462" t="str">
        <f>+E184</f>
        <v>31 Dhjetor 2016</v>
      </c>
      <c r="F191" s="462" t="str">
        <f t="shared" ref="F191:K191" si="26">+F184</f>
        <v>31 Dhjetor 2015</v>
      </c>
      <c r="G191" s="462" t="str">
        <f t="shared" si="26"/>
        <v>31 Dhjetor 2014</v>
      </c>
      <c r="H191" s="462" t="str">
        <f t="shared" si="26"/>
        <v>31 Dhjetor 2013</v>
      </c>
      <c r="I191" s="462" t="str">
        <f t="shared" si="26"/>
        <v>31 Dhjetor 2012</v>
      </c>
      <c r="J191" s="409" t="str">
        <f t="shared" si="26"/>
        <v>31 Dhjetor 2011</v>
      </c>
      <c r="K191" s="409" t="str">
        <f t="shared" si="26"/>
        <v>31 Dhjetor 2010</v>
      </c>
      <c r="L191" s="409" t="s">
        <v>569</v>
      </c>
      <c r="N191" s="409" t="s">
        <v>110</v>
      </c>
      <c r="O191" s="394"/>
      <c r="P191" s="409" t="s">
        <v>100</v>
      </c>
    </row>
    <row r="192" spans="2:16" ht="15.75" thickTop="1">
      <c r="B192" s="461" t="s">
        <v>112</v>
      </c>
      <c r="C192" s="470">
        <f>+'Ardh shpenz alpha'!C75</f>
        <v>14097000</v>
      </c>
      <c r="D192" s="470">
        <f>+'Ardh shpenz alpha'!D75</f>
        <v>13720000</v>
      </c>
      <c r="E192" s="470">
        <f>+'Ardh shpenz alpha'!E75</f>
        <v>13410700</v>
      </c>
      <c r="F192" s="470">
        <f>+'Ardh shpenz alpha'!F75</f>
        <v>12695300</v>
      </c>
      <c r="G192" s="470">
        <f>+'Ardh shpenz alpha'!G75</f>
        <v>12468000</v>
      </c>
      <c r="H192" s="470">
        <f>+'Ardh shpenz alpha'!H75</f>
        <v>11382000</v>
      </c>
      <c r="I192" s="470">
        <f>+'Ardh shpenz alpha'!I75</f>
        <v>9707000</v>
      </c>
      <c r="J192" s="25">
        <f>+'Ardh shpenz alpha'!J75</f>
        <v>10292000</v>
      </c>
      <c r="K192" s="25">
        <f>+'Ardh shpenz alpha'!K75</f>
        <v>10423600</v>
      </c>
      <c r="L192" s="25">
        <f>+'Ardh shpenz alpha'!L75</f>
        <v>10926200</v>
      </c>
      <c r="M192" s="383"/>
      <c r="N192" s="25">
        <f>+'Ardh shpenz alpha'!M75</f>
        <v>9723700</v>
      </c>
      <c r="O192" s="386"/>
      <c r="P192" s="25">
        <f>+'Ardh shpenz alpha'!N75</f>
        <v>8066000</v>
      </c>
    </row>
    <row r="193" spans="2:16">
      <c r="B193" s="470" t="s">
        <v>109</v>
      </c>
      <c r="C193" s="470">
        <f>+'Ardh shpenz alpha'!C77</f>
        <v>2343932</v>
      </c>
      <c r="D193" s="470">
        <f>+'Ardh shpenz alpha'!D77</f>
        <v>2284478</v>
      </c>
      <c r="E193" s="470">
        <f>+'Ardh shpenz alpha'!E77</f>
        <v>2234247</v>
      </c>
      <c r="F193" s="470">
        <f>+'Ardh shpenz alpha'!F77</f>
        <v>2114775</v>
      </c>
      <c r="G193" s="470">
        <f>+'Ardh shpenz alpha'!G77</f>
        <v>2074821</v>
      </c>
      <c r="H193" s="470">
        <f>+'Ardh shpenz alpha'!H77</f>
        <v>1896113</v>
      </c>
      <c r="I193" s="470">
        <f>+'Ardh shpenz alpha'!I77</f>
        <v>1545007</v>
      </c>
      <c r="J193" s="25">
        <f>+'Ardh shpenz alpha'!J77</f>
        <v>1543414</v>
      </c>
      <c r="K193" s="25">
        <f>+'Ardh shpenz alpha'!K77</f>
        <v>1574810</v>
      </c>
      <c r="L193" s="25">
        <f>+'Ardh shpenz alpha'!L77</f>
        <v>1844014</v>
      </c>
      <c r="N193" s="25">
        <f>+'Ardh shpenz alpha'!M77</f>
        <v>2110044</v>
      </c>
      <c r="P193" s="25">
        <f>+'Ardh shpenz alpha'!N77</f>
        <v>2392094</v>
      </c>
    </row>
    <row r="194" spans="2:16">
      <c r="B194" s="470" t="s">
        <v>654</v>
      </c>
      <c r="C194" s="470"/>
      <c r="D194" s="470"/>
      <c r="E194" s="470"/>
      <c r="F194" s="470"/>
      <c r="G194" s="470"/>
      <c r="H194" s="470"/>
      <c r="I194" s="470">
        <v>240000</v>
      </c>
      <c r="P194" s="386"/>
    </row>
    <row r="195" spans="2:16" ht="15.75" thickBot="1">
      <c r="B195" s="472" t="s">
        <v>2</v>
      </c>
      <c r="C195" s="473">
        <f>SUM(C192:C194)</f>
        <v>16440932</v>
      </c>
      <c r="D195" s="473">
        <f t="shared" ref="D195:I195" si="27">SUM(D192:D194)</f>
        <v>16004478</v>
      </c>
      <c r="E195" s="473">
        <f t="shared" si="27"/>
        <v>15644947</v>
      </c>
      <c r="F195" s="473">
        <f t="shared" si="27"/>
        <v>14810075</v>
      </c>
      <c r="G195" s="473">
        <f t="shared" si="27"/>
        <v>14542821</v>
      </c>
      <c r="H195" s="473">
        <f t="shared" si="27"/>
        <v>13278113</v>
      </c>
      <c r="I195" s="473">
        <f t="shared" si="27"/>
        <v>11492007</v>
      </c>
      <c r="J195" s="403">
        <f>SUM(J192:J193)</f>
        <v>11835414</v>
      </c>
      <c r="K195" s="403">
        <f>SUM(K192:K193)</f>
        <v>11998410</v>
      </c>
      <c r="L195" s="403">
        <f>SUM(L192:L193)</f>
        <v>12770214</v>
      </c>
      <c r="M195" s="402"/>
      <c r="N195" s="403">
        <f>SUM(N192:N193)</f>
        <v>11833744</v>
      </c>
      <c r="O195" s="382"/>
      <c r="P195" s="403">
        <f>SUM(P192:P193)</f>
        <v>10458094</v>
      </c>
    </row>
    <row r="196" spans="2:16" ht="15.75" thickTop="1">
      <c r="C196" s="413">
        <f>+'ardh-shpenz'!D14</f>
        <v>-16440932</v>
      </c>
      <c r="D196" s="413">
        <f>+'ardh-shpenz'!E14</f>
        <v>-16004478</v>
      </c>
      <c r="E196" s="413">
        <f>+'ardh-shpenz'!F14</f>
        <v>-15644947</v>
      </c>
      <c r="F196" s="413">
        <f>+'ardh-shpenz'!G14</f>
        <v>-14810075</v>
      </c>
      <c r="G196" s="413">
        <f>+'ardh-shpenz'!H14</f>
        <v>-14542821</v>
      </c>
      <c r="H196" s="413">
        <f>+'ardh-shpenz'!I14</f>
        <v>-13278113</v>
      </c>
      <c r="I196" s="413">
        <f>+'ardh-shpenz'!J14</f>
        <v>-11492007</v>
      </c>
      <c r="J196" s="413">
        <f>+'ardh-shpenz'!K14</f>
        <v>-11835414</v>
      </c>
      <c r="K196" s="413">
        <f>+'ardh-shpenz'!L14</f>
        <v>-11998410</v>
      </c>
      <c r="L196" s="413">
        <f>+'ardh-shpenz'!M14</f>
        <v>-12770214</v>
      </c>
      <c r="N196" s="413">
        <f>+'ardh-shpenz'!N14</f>
        <v>-11833744</v>
      </c>
      <c r="O196" s="413"/>
      <c r="P196" s="413">
        <f>+'ardh-shpenz'!P14</f>
        <v>-10458094</v>
      </c>
    </row>
    <row r="198" spans="2:16">
      <c r="B198" s="25" t="s">
        <v>83</v>
      </c>
    </row>
    <row r="199" spans="2:16" ht="15.75" thickBot="1">
      <c r="B199" s="470" t="s">
        <v>479</v>
      </c>
      <c r="C199" s="462" t="str">
        <f>+C191</f>
        <v>31 Dhjetor 2018</v>
      </c>
      <c r="D199" s="462" t="str">
        <f t="shared" ref="D199:I199" si="28">+D191</f>
        <v>31 Dhjetor 2017</v>
      </c>
      <c r="E199" s="462" t="str">
        <f t="shared" si="28"/>
        <v>31 Dhjetor 2016</v>
      </c>
      <c r="F199" s="462" t="str">
        <f t="shared" si="28"/>
        <v>31 Dhjetor 2015</v>
      </c>
      <c r="G199" s="462" t="str">
        <f t="shared" si="28"/>
        <v>31 Dhjetor 2014</v>
      </c>
      <c r="H199" s="462" t="str">
        <f t="shared" si="28"/>
        <v>31 Dhjetor 2013</v>
      </c>
      <c r="I199" s="462" t="str">
        <f t="shared" si="28"/>
        <v>31 Dhjetor 2012</v>
      </c>
      <c r="J199" s="409" t="s">
        <v>635</v>
      </c>
      <c r="K199" s="409" t="s">
        <v>585</v>
      </c>
      <c r="L199" s="409" t="s">
        <v>569</v>
      </c>
      <c r="N199" s="409" t="s">
        <v>110</v>
      </c>
      <c r="O199" s="394"/>
      <c r="P199" s="409" t="s">
        <v>100</v>
      </c>
    </row>
    <row r="200" spans="2:16" ht="15.75" thickTop="1">
      <c r="B200" s="477" t="s">
        <v>528</v>
      </c>
      <c r="C200" s="478">
        <v>287191</v>
      </c>
      <c r="D200" s="478">
        <v>355892</v>
      </c>
      <c r="E200" s="478">
        <v>250329</v>
      </c>
      <c r="F200" s="478">
        <v>656442</v>
      </c>
      <c r="G200" s="478">
        <v>78740</v>
      </c>
      <c r="H200" s="478">
        <v>80991</v>
      </c>
      <c r="I200" s="478">
        <v>111840</v>
      </c>
      <c r="J200" s="415">
        <v>244910</v>
      </c>
      <c r="K200" s="415">
        <v>75932</v>
      </c>
      <c r="L200" s="415">
        <v>75700</v>
      </c>
      <c r="M200" s="414"/>
      <c r="N200" s="415">
        <v>177372</v>
      </c>
      <c r="P200" s="25">
        <v>144200</v>
      </c>
    </row>
    <row r="201" spans="2:16">
      <c r="B201" s="477" t="s">
        <v>535</v>
      </c>
      <c r="C201" s="478">
        <f>1503542+2170510+8250</f>
        <v>3682302</v>
      </c>
      <c r="D201" s="478">
        <f>3379985+2606019+582690</f>
        <v>6568694</v>
      </c>
      <c r="E201" s="478">
        <f>1272833+2500+234984+179053</f>
        <v>1689370</v>
      </c>
      <c r="F201" s="478">
        <f>93894+1415850+256517</f>
        <v>1766261</v>
      </c>
      <c r="G201" s="478">
        <f>2263750+213285</f>
        <v>2477035</v>
      </c>
      <c r="H201" s="478">
        <f>1197840+85985</f>
        <v>1283825</v>
      </c>
      <c r="I201" s="478">
        <f>2934000+869515-715600</f>
        <v>3087915</v>
      </c>
      <c r="J201" s="415">
        <f>1244250+3081157</f>
        <v>4325407</v>
      </c>
      <c r="K201" s="415">
        <v>3925150</v>
      </c>
      <c r="L201" s="415">
        <f>208000+2979237</f>
        <v>3187237</v>
      </c>
      <c r="M201" s="414"/>
      <c r="N201" s="415">
        <v>2090342</v>
      </c>
      <c r="P201" s="25">
        <f>428133+995627</f>
        <v>1423760</v>
      </c>
    </row>
    <row r="202" spans="2:16">
      <c r="B202" s="477" t="s">
        <v>529</v>
      </c>
      <c r="C202" s="478">
        <f>3354942+2.55</f>
        <v>3354944.55</v>
      </c>
      <c r="D202" s="478">
        <v>2146032</v>
      </c>
      <c r="E202" s="478">
        <v>2235737</v>
      </c>
      <c r="F202" s="478">
        <v>2255388</v>
      </c>
      <c r="G202" s="478">
        <v>1915994</v>
      </c>
      <c r="H202" s="478">
        <v>2317750</v>
      </c>
      <c r="I202" s="478">
        <v>1583459</v>
      </c>
      <c r="J202" s="415">
        <v>1246628</v>
      </c>
      <c r="K202" s="415">
        <v>2524235</v>
      </c>
      <c r="L202" s="415">
        <v>1802846</v>
      </c>
      <c r="M202" s="414"/>
      <c r="N202" s="415">
        <v>3126610</v>
      </c>
      <c r="P202" s="25">
        <v>3279762</v>
      </c>
    </row>
    <row r="203" spans="2:16">
      <c r="B203" s="479" t="s">
        <v>1024</v>
      </c>
      <c r="C203" s="478">
        <v>7174697</v>
      </c>
      <c r="D203" s="478">
        <f>5134988+6000+1008000</f>
        <v>6148988</v>
      </c>
      <c r="E203" s="478">
        <v>9063238</v>
      </c>
      <c r="F203" s="478">
        <f>6806302+1030668.5</f>
        <v>7836970.5</v>
      </c>
      <c r="G203" s="478">
        <v>5377151</v>
      </c>
      <c r="H203" s="478">
        <v>6256574</v>
      </c>
      <c r="I203" s="478">
        <f>1496142+558262</f>
        <v>2054404</v>
      </c>
      <c r="J203" s="415">
        <v>2662188</v>
      </c>
      <c r="K203" s="415">
        <v>2071030</v>
      </c>
      <c r="L203" s="415">
        <v>563689</v>
      </c>
      <c r="M203" s="414"/>
      <c r="N203" s="415">
        <v>167830</v>
      </c>
      <c r="P203" s="25">
        <v>165524</v>
      </c>
    </row>
    <row r="204" spans="2:16">
      <c r="B204" s="477" t="s">
        <v>538</v>
      </c>
      <c r="C204" s="478">
        <v>1325000</v>
      </c>
      <c r="D204" s="478">
        <v>1808758</v>
      </c>
      <c r="E204" s="478">
        <v>2424119</v>
      </c>
      <c r="F204" s="478">
        <v>1085000</v>
      </c>
      <c r="G204" s="478">
        <f>2451605+1442537</f>
        <v>3894142</v>
      </c>
      <c r="H204" s="478">
        <v>1099110</v>
      </c>
      <c r="I204" s="478">
        <v>1339017</v>
      </c>
      <c r="J204" s="415">
        <v>3862163</v>
      </c>
      <c r="K204" s="415">
        <v>2461592</v>
      </c>
      <c r="L204" s="415">
        <v>3911901</v>
      </c>
      <c r="M204" s="414"/>
      <c r="N204" s="415">
        <v>2857501</v>
      </c>
      <c r="P204" s="25">
        <v>1557050</v>
      </c>
    </row>
    <row r="205" spans="2:16">
      <c r="B205" s="479" t="s">
        <v>697</v>
      </c>
      <c r="C205" s="478">
        <v>875206</v>
      </c>
      <c r="D205" s="478">
        <v>2747877</v>
      </c>
      <c r="E205" s="478">
        <f>2688028+3178124</f>
        <v>5866152</v>
      </c>
      <c r="F205" s="478">
        <v>8257214</v>
      </c>
      <c r="G205" s="478">
        <v>10872622</v>
      </c>
      <c r="H205" s="478">
        <f>1956556+27638068</f>
        <v>29594624</v>
      </c>
      <c r="I205" s="478">
        <v>19495653</v>
      </c>
      <c r="J205" s="415">
        <f>1400265+21716940</f>
        <v>23117205</v>
      </c>
      <c r="K205" s="415">
        <f>11957228+8287692+126000</f>
        <v>20370920</v>
      </c>
      <c r="L205" s="415">
        <f>2718930+88102</f>
        <v>2807032</v>
      </c>
      <c r="M205" s="414"/>
      <c r="N205" s="415">
        <v>1314353</v>
      </c>
      <c r="P205" s="25">
        <v>2081696</v>
      </c>
    </row>
    <row r="206" spans="2:16">
      <c r="B206" s="477" t="s">
        <v>530</v>
      </c>
      <c r="C206" s="478">
        <v>1500000</v>
      </c>
      <c r="D206" s="478">
        <v>1552500</v>
      </c>
      <c r="E206" s="478">
        <v>460000</v>
      </c>
      <c r="F206" s="478">
        <v>282750</v>
      </c>
      <c r="G206" s="478">
        <v>1720840</v>
      </c>
      <c r="H206" s="478">
        <v>1463410</v>
      </c>
      <c r="I206" s="478">
        <v>900000</v>
      </c>
      <c r="J206" s="415">
        <v>118313</v>
      </c>
      <c r="K206" s="415">
        <v>347623</v>
      </c>
      <c r="L206" s="415">
        <v>327789</v>
      </c>
      <c r="M206" s="414"/>
      <c r="N206" s="415">
        <v>331689</v>
      </c>
      <c r="P206" s="25">
        <v>246166</v>
      </c>
    </row>
    <row r="207" spans="2:16">
      <c r="B207" s="477" t="s">
        <v>531</v>
      </c>
      <c r="C207" s="478">
        <v>1102500</v>
      </c>
      <c r="D207" s="478">
        <v>600011</v>
      </c>
      <c r="E207" s="478">
        <v>1393450</v>
      </c>
      <c r="F207" s="478">
        <v>43503</v>
      </c>
      <c r="G207" s="478">
        <v>33508</v>
      </c>
      <c r="H207" s="478">
        <v>3493</v>
      </c>
      <c r="I207" s="478">
        <v>28235</v>
      </c>
      <c r="J207" s="415">
        <v>0</v>
      </c>
      <c r="K207" s="415">
        <v>0</v>
      </c>
      <c r="L207" s="415">
        <v>0</v>
      </c>
      <c r="M207" s="414"/>
      <c r="N207" s="415">
        <v>25178</v>
      </c>
      <c r="P207" s="25">
        <v>150887</v>
      </c>
    </row>
    <row r="208" spans="2:16">
      <c r="B208" s="477" t="s">
        <v>532</v>
      </c>
      <c r="C208" s="478">
        <v>6561329</v>
      </c>
      <c r="D208" s="478">
        <v>1229045</v>
      </c>
      <c r="E208" s="478">
        <f>918449+838</f>
        <v>919287</v>
      </c>
      <c r="F208" s="478">
        <v>1252060</v>
      </c>
      <c r="G208" s="478">
        <v>1995956</v>
      </c>
      <c r="H208" s="478">
        <v>2033099</v>
      </c>
      <c r="I208" s="478">
        <v>2342834</v>
      </c>
      <c r="J208" s="415">
        <v>2835060</v>
      </c>
      <c r="K208" s="415">
        <v>3641743</v>
      </c>
      <c r="L208" s="415">
        <v>3903167</v>
      </c>
      <c r="M208" s="414"/>
      <c r="N208" s="415">
        <v>3503880</v>
      </c>
      <c r="P208" s="25">
        <v>3299492</v>
      </c>
    </row>
    <row r="209" spans="2:18">
      <c r="B209" s="477" t="s">
        <v>143</v>
      </c>
      <c r="C209" s="478">
        <v>52267</v>
      </c>
      <c r="D209" s="478">
        <f>11165+2262.62+0.38</f>
        <v>13427.999999999998</v>
      </c>
      <c r="E209" s="478">
        <v>30995</v>
      </c>
      <c r="F209" s="478">
        <v>702441</v>
      </c>
      <c r="G209" s="478">
        <v>72485</v>
      </c>
      <c r="H209" s="478">
        <v>94221</v>
      </c>
      <c r="I209" s="478">
        <v>74875</v>
      </c>
      <c r="J209" s="415">
        <v>54759</v>
      </c>
      <c r="K209" s="415">
        <v>72452</v>
      </c>
      <c r="L209" s="415">
        <v>61469</v>
      </c>
      <c r="M209" s="414"/>
      <c r="N209" s="415">
        <v>95613.3</v>
      </c>
      <c r="P209" s="25">
        <v>148321</v>
      </c>
    </row>
    <row r="210" spans="2:18">
      <c r="B210" s="477" t="s">
        <v>533</v>
      </c>
      <c r="C210" s="478">
        <f>504416+375035</f>
        <v>879451</v>
      </c>
      <c r="D210" s="478">
        <f>321967+8713</f>
        <v>330680</v>
      </c>
      <c r="E210" s="478">
        <f>351443+10700</f>
        <v>362143</v>
      </c>
      <c r="F210" s="478">
        <f>244870+107808</f>
        <v>352678</v>
      </c>
      <c r="G210" s="478">
        <f>97860+107508</f>
        <v>205368</v>
      </c>
      <c r="H210" s="478">
        <f>138263+124736</f>
        <v>262999</v>
      </c>
      <c r="I210" s="478">
        <f>95760+107608</f>
        <v>203368</v>
      </c>
      <c r="J210" s="415">
        <f>100244+76255</f>
        <v>176499</v>
      </c>
      <c r="K210" s="415">
        <f>114539+329007</f>
        <v>443546</v>
      </c>
      <c r="L210" s="415">
        <v>434053</v>
      </c>
      <c r="M210" s="414"/>
      <c r="N210" s="415">
        <v>300448</v>
      </c>
      <c r="P210" s="25">
        <f>+'Ardh shpenz alpha'!N78</f>
        <v>388700</v>
      </c>
      <c r="R210" s="30"/>
    </row>
    <row r="211" spans="2:18">
      <c r="B211" s="477" t="s">
        <v>534</v>
      </c>
      <c r="C211" s="478">
        <v>28532</v>
      </c>
      <c r="D211" s="478">
        <v>0</v>
      </c>
      <c r="E211" s="478">
        <v>263111</v>
      </c>
      <c r="F211" s="478">
        <v>3196</v>
      </c>
      <c r="G211" s="478">
        <v>0</v>
      </c>
      <c r="H211" s="478">
        <v>50043</v>
      </c>
      <c r="I211" s="478">
        <v>857363</v>
      </c>
      <c r="J211" s="415">
        <v>100000</v>
      </c>
      <c r="K211" s="415">
        <v>431238</v>
      </c>
      <c r="L211" s="415">
        <v>50310</v>
      </c>
      <c r="M211" s="414"/>
      <c r="N211" s="415">
        <v>892593</v>
      </c>
      <c r="P211" s="25">
        <v>0</v>
      </c>
      <c r="R211" s="30"/>
    </row>
    <row r="212" spans="2:18">
      <c r="B212" s="477" t="s">
        <v>641</v>
      </c>
      <c r="C212" s="478"/>
      <c r="D212" s="478"/>
      <c r="E212" s="478"/>
      <c r="F212" s="478"/>
      <c r="G212" s="478"/>
      <c r="H212" s="478"/>
      <c r="I212" s="478"/>
      <c r="J212" s="415">
        <v>396782</v>
      </c>
      <c r="K212" s="415"/>
      <c r="L212" s="415"/>
      <c r="M212" s="414"/>
      <c r="N212" s="415"/>
      <c r="R212" s="30"/>
    </row>
    <row r="213" spans="2:18" ht="15.75" thickBot="1">
      <c r="B213" s="472" t="s">
        <v>2</v>
      </c>
      <c r="C213" s="480">
        <f>SUM(C200:C212)</f>
        <v>26823419.550000001</v>
      </c>
      <c r="D213" s="480">
        <f>SUM(D200:D212)</f>
        <v>23501905</v>
      </c>
      <c r="E213" s="480">
        <f t="shared" ref="E213:J213" si="29">SUM(E200:E212)</f>
        <v>24957931</v>
      </c>
      <c r="F213" s="480">
        <f t="shared" si="29"/>
        <v>24493903.5</v>
      </c>
      <c r="G213" s="480">
        <f t="shared" si="29"/>
        <v>28643841</v>
      </c>
      <c r="H213" s="480">
        <f t="shared" si="29"/>
        <v>44540139</v>
      </c>
      <c r="I213" s="480">
        <f t="shared" si="29"/>
        <v>32078963</v>
      </c>
      <c r="J213" s="416">
        <f t="shared" si="29"/>
        <v>39139914</v>
      </c>
      <c r="K213" s="416">
        <f>SUM(K200:K211)</f>
        <v>36365461</v>
      </c>
      <c r="L213" s="416">
        <f>SUM(L200:L211)</f>
        <v>17125193</v>
      </c>
      <c r="M213" s="402"/>
      <c r="N213" s="416">
        <f>SUM(N200:N211)</f>
        <v>14883409.300000001</v>
      </c>
      <c r="O213" s="382"/>
      <c r="P213" s="403">
        <f>SUM(P200:P211)</f>
        <v>12885558</v>
      </c>
    </row>
    <row r="214" spans="2:18" ht="15.75" thickTop="1">
      <c r="C214" s="413">
        <f>+'ardh-shpenz'!D13</f>
        <v>-26823419.550000001</v>
      </c>
      <c r="D214" s="413">
        <f>+'ardh-shpenz'!E13</f>
        <v>-23501905</v>
      </c>
      <c r="E214" s="413">
        <f>+'ardh-shpenz'!F13</f>
        <v>-24957931</v>
      </c>
      <c r="F214" s="413">
        <f>+'ardh-shpenz'!G13</f>
        <v>-24493904</v>
      </c>
      <c r="G214" s="413">
        <f>+'ardh-shpenz'!H13</f>
        <v>-28643842.900000002</v>
      </c>
      <c r="H214" s="413">
        <f>+'ardh-shpenz'!I13</f>
        <v>-44540139</v>
      </c>
      <c r="I214" s="413">
        <f>+'ardh-shpenz'!J13</f>
        <v>-32078963</v>
      </c>
      <c r="J214" s="413">
        <f>+'ardh-shpenz'!K13</f>
        <v>-39139914</v>
      </c>
      <c r="K214" s="413">
        <f>+'ardh-shpenz'!L13</f>
        <v>-36365461</v>
      </c>
      <c r="L214" s="413">
        <f>+'ardh-shpenz'!M13</f>
        <v>-17941801</v>
      </c>
      <c r="N214" s="413">
        <f>+'ardh-shpenz'!N13</f>
        <v>-18046609</v>
      </c>
      <c r="O214" s="413"/>
      <c r="P214" s="413">
        <f>+'ardh-shpenz'!P13</f>
        <v>-15327558</v>
      </c>
    </row>
    <row r="215" spans="2:18">
      <c r="C215" s="25">
        <f>+C213+C214</f>
        <v>0</v>
      </c>
      <c r="D215" s="25">
        <f>+D213+D214</f>
        <v>0</v>
      </c>
      <c r="E215" s="25">
        <f>+E213+E214</f>
        <v>0</v>
      </c>
      <c r="K215" s="413"/>
      <c r="L215" s="413"/>
      <c r="N215" s="413"/>
      <c r="O215" s="413"/>
      <c r="P215" s="413"/>
    </row>
    <row r="216" spans="2:18">
      <c r="B216" s="25" t="s">
        <v>536</v>
      </c>
    </row>
    <row r="217" spans="2:18" ht="15.75" thickBot="1">
      <c r="B217" s="470" t="s">
        <v>479</v>
      </c>
      <c r="C217" s="462" t="str">
        <f>+C199</f>
        <v>31 Dhjetor 2018</v>
      </c>
      <c r="D217" s="462" t="str">
        <f t="shared" ref="D217:I217" si="30">+D199</f>
        <v>31 Dhjetor 2017</v>
      </c>
      <c r="E217" s="462" t="str">
        <f t="shared" si="30"/>
        <v>31 Dhjetor 2016</v>
      </c>
      <c r="F217" s="462" t="str">
        <f t="shared" si="30"/>
        <v>31 Dhjetor 2015</v>
      </c>
      <c r="G217" s="462" t="str">
        <f t="shared" si="30"/>
        <v>31 Dhjetor 2014</v>
      </c>
      <c r="H217" s="462" t="str">
        <f t="shared" si="30"/>
        <v>31 Dhjetor 2013</v>
      </c>
      <c r="I217" s="462" t="str">
        <f t="shared" si="30"/>
        <v>31 Dhjetor 2012</v>
      </c>
      <c r="J217" s="409" t="s">
        <v>635</v>
      </c>
      <c r="K217" s="409" t="s">
        <v>585</v>
      </c>
      <c r="L217" s="409" t="s">
        <v>569</v>
      </c>
      <c r="N217" s="409" t="s">
        <v>110</v>
      </c>
      <c r="O217" s="394"/>
      <c r="P217" s="409" t="s">
        <v>100</v>
      </c>
    </row>
    <row r="218" spans="2:18" ht="15.75" thickTop="1">
      <c r="B218" s="461" t="s">
        <v>537</v>
      </c>
      <c r="C218" s="471">
        <f>+'Ardh shpenz alpha'!C84</f>
        <v>7443636</v>
      </c>
      <c r="D218" s="471">
        <f>+'Ardh shpenz alpha'!D84</f>
        <v>9080994</v>
      </c>
      <c r="E218" s="471">
        <f>+'Ardh shpenz alpha'!E84</f>
        <v>8565571</v>
      </c>
      <c r="F218" s="471">
        <f>+'Ardh shpenz alpha'!F84</f>
        <v>1827548</v>
      </c>
      <c r="G218" s="471">
        <f>+'Ardh shpenz alpha'!G84</f>
        <v>2556689</v>
      </c>
      <c r="H218" s="471">
        <f>+'Ardh shpenz alpha'!H84</f>
        <v>3140340</v>
      </c>
      <c r="I218" s="471">
        <f>+'Ardh shpenz alpha'!I84</f>
        <v>2703978</v>
      </c>
      <c r="J218" s="417">
        <f>+'Ardh shpenz alpha'!J84</f>
        <v>3766337</v>
      </c>
      <c r="K218" s="417">
        <f>+'Ardh shpenz alpha'!K84</f>
        <v>6100456</v>
      </c>
      <c r="L218" s="414">
        <f>+'Ardh shpenz alpha'!L84</f>
        <v>2969786</v>
      </c>
      <c r="M218" s="383"/>
      <c r="N218" s="414">
        <f>+'Ardh shpenz alpha'!M84</f>
        <v>1142187</v>
      </c>
      <c r="O218" s="386"/>
      <c r="P218" s="25">
        <v>569256</v>
      </c>
    </row>
    <row r="219" spans="2:18">
      <c r="B219" s="470"/>
      <c r="C219" s="470"/>
      <c r="D219" s="470"/>
      <c r="E219" s="470"/>
      <c r="F219" s="470"/>
      <c r="G219" s="470"/>
      <c r="H219" s="470"/>
      <c r="I219" s="470"/>
      <c r="P219" s="386"/>
    </row>
    <row r="220" spans="2:18" ht="15.75" thickBot="1">
      <c r="B220" s="472" t="s">
        <v>2</v>
      </c>
      <c r="C220" s="473">
        <f>SUM(C218:C218)</f>
        <v>7443636</v>
      </c>
      <c r="D220" s="473">
        <f>SUM(D218:D218)</f>
        <v>9080994</v>
      </c>
      <c r="E220" s="473">
        <f>SUM(E218:E218)</f>
        <v>8565571</v>
      </c>
      <c r="F220" s="473">
        <f>SUM(F218:F218)</f>
        <v>1827548</v>
      </c>
      <c r="G220" s="473">
        <f t="shared" ref="G220:L220" si="31">SUM(G218:G218)</f>
        <v>2556689</v>
      </c>
      <c r="H220" s="473">
        <f t="shared" si="31"/>
        <v>3140340</v>
      </c>
      <c r="I220" s="473">
        <f t="shared" si="31"/>
        <v>2703978</v>
      </c>
      <c r="J220" s="403">
        <f t="shared" si="31"/>
        <v>3766337</v>
      </c>
      <c r="K220" s="403">
        <f t="shared" si="31"/>
        <v>6100456</v>
      </c>
      <c r="L220" s="403">
        <f t="shared" si="31"/>
        <v>2969786</v>
      </c>
      <c r="M220" s="402"/>
      <c r="N220" s="403">
        <f>SUM(N218:N218)</f>
        <v>1142187</v>
      </c>
      <c r="O220" s="382"/>
      <c r="P220" s="403">
        <f>SUM(P218:P218)</f>
        <v>569256</v>
      </c>
    </row>
    <row r="221" spans="2:18" ht="15.75" thickTop="1">
      <c r="C221" s="413">
        <f>-C218</f>
        <v>-7443636</v>
      </c>
      <c r="D221" s="413">
        <f>-D218</f>
        <v>-9080994</v>
      </c>
      <c r="E221" s="413">
        <f>-E218</f>
        <v>-8565571</v>
      </c>
      <c r="F221" s="413">
        <f>-F218</f>
        <v>-1827548</v>
      </c>
      <c r="G221" s="413">
        <f t="shared" ref="G221:L221" si="32">-G218</f>
        <v>-2556689</v>
      </c>
      <c r="H221" s="413">
        <f t="shared" si="32"/>
        <v>-3140340</v>
      </c>
      <c r="I221" s="413">
        <f t="shared" si="32"/>
        <v>-2703978</v>
      </c>
      <c r="J221" s="413">
        <f t="shared" si="32"/>
        <v>-3766337</v>
      </c>
      <c r="K221" s="413">
        <f t="shared" si="32"/>
        <v>-6100456</v>
      </c>
      <c r="L221" s="413">
        <f t="shared" si="32"/>
        <v>-2969786</v>
      </c>
      <c r="N221" s="413">
        <f>-N218</f>
        <v>-1142187</v>
      </c>
      <c r="O221" s="413"/>
      <c r="P221" s="413">
        <f>-P220</f>
        <v>-569256</v>
      </c>
    </row>
    <row r="223" spans="2:18" ht="15.75" thickBot="1">
      <c r="B223" s="470" t="s">
        <v>479</v>
      </c>
      <c r="C223" s="462" t="str">
        <f>+C217</f>
        <v>31 Dhjetor 2018</v>
      </c>
      <c r="D223" s="462" t="str">
        <f t="shared" ref="D223:I223" si="33">+D217</f>
        <v>31 Dhjetor 2017</v>
      </c>
      <c r="E223" s="462" t="str">
        <f t="shared" si="33"/>
        <v>31 Dhjetor 2016</v>
      </c>
      <c r="F223" s="462" t="str">
        <f t="shared" si="33"/>
        <v>31 Dhjetor 2015</v>
      </c>
      <c r="G223" s="462" t="str">
        <f t="shared" si="33"/>
        <v>31 Dhjetor 2014</v>
      </c>
      <c r="H223" s="462" t="str">
        <f t="shared" si="33"/>
        <v>31 Dhjetor 2013</v>
      </c>
      <c r="I223" s="462" t="str">
        <f t="shared" si="33"/>
        <v>31 Dhjetor 2012</v>
      </c>
      <c r="J223" s="409" t="s">
        <v>635</v>
      </c>
      <c r="K223" s="409" t="s">
        <v>585</v>
      </c>
      <c r="L223" s="409" t="s">
        <v>569</v>
      </c>
      <c r="N223" s="409" t="s">
        <v>110</v>
      </c>
      <c r="O223" s="394"/>
      <c r="P223" s="409" t="s">
        <v>100</v>
      </c>
    </row>
    <row r="224" spans="2:18" ht="15.75" thickTop="1">
      <c r="B224" s="470" t="s">
        <v>114</v>
      </c>
      <c r="C224" s="470">
        <f>+'Ardh shpenz alpha'!C39</f>
        <v>0</v>
      </c>
      <c r="D224" s="470">
        <f>+'Ardh shpenz alpha'!D39</f>
        <v>0</v>
      </c>
      <c r="E224" s="470">
        <f>+'Ardh shpenz alpha'!E39</f>
        <v>0</v>
      </c>
      <c r="F224" s="470">
        <f>+'Ardh shpenz alpha'!F39</f>
        <v>0</v>
      </c>
      <c r="G224" s="470">
        <f>+'Ardh shpenz alpha'!G39</f>
        <v>0</v>
      </c>
      <c r="H224" s="470">
        <f>+'Ardh shpenz alpha'!H39</f>
        <v>0</v>
      </c>
      <c r="I224" s="470">
        <f>+'Ardh shpenz alpha'!I39</f>
        <v>0</v>
      </c>
      <c r="J224" s="25">
        <f>+'Ardh shpenz alpha'!J39</f>
        <v>4163</v>
      </c>
      <c r="K224" s="25">
        <f>+'Ardh shpenz alpha'!K39</f>
        <v>3573.92</v>
      </c>
      <c r="L224" s="25">
        <f>+'Ardh shpenz alpha'!L39</f>
        <v>27732</v>
      </c>
      <c r="N224" s="25">
        <f>+'Ardh shpenz alpha'!M39</f>
        <v>12304</v>
      </c>
      <c r="O224" s="418"/>
      <c r="P224" s="25">
        <f>+'Ardh shpenz alpha'!N39</f>
        <v>201664</v>
      </c>
    </row>
    <row r="225" spans="2:16">
      <c r="B225" s="470" t="s">
        <v>128</v>
      </c>
      <c r="C225" s="470">
        <f>+'Ardh shpenz alpha'!C37</f>
        <v>0</v>
      </c>
      <c r="D225" s="470">
        <f>+'Ardh shpenz alpha'!D37</f>
        <v>0</v>
      </c>
      <c r="E225" s="470">
        <f>+'Ardh shpenz alpha'!E37</f>
        <v>0</v>
      </c>
      <c r="F225" s="470">
        <f>+'Ardh shpenz alpha'!F37</f>
        <v>0</v>
      </c>
      <c r="G225" s="470">
        <f>+'Ardh shpenz alpha'!G37</f>
        <v>0</v>
      </c>
      <c r="H225" s="470">
        <f>+'Ardh shpenz alpha'!H37</f>
        <v>0</v>
      </c>
      <c r="I225" s="470">
        <f>+'Ardh shpenz alpha'!I37</f>
        <v>882</v>
      </c>
      <c r="J225" s="25">
        <f>+'Ardh shpenz alpha'!J37</f>
        <v>1284</v>
      </c>
      <c r="K225" s="25">
        <f>+'Ardh shpenz alpha'!K37</f>
        <v>3760.08</v>
      </c>
      <c r="L225" s="25">
        <f>+'Ardh shpenz alpha'!L37</f>
        <v>1859</v>
      </c>
      <c r="N225" s="25">
        <f>+'Ardh shpenz alpha'!M37</f>
        <v>1002</v>
      </c>
      <c r="O225" s="418"/>
      <c r="P225" s="25">
        <f>+'Ardh shpenz alpha'!N37</f>
        <v>2493</v>
      </c>
    </row>
    <row r="226" spans="2:16">
      <c r="B226" s="470" t="s">
        <v>115</v>
      </c>
      <c r="C226" s="470">
        <v>0</v>
      </c>
      <c r="D226" s="470">
        <v>0</v>
      </c>
      <c r="E226" s="470">
        <v>0</v>
      </c>
      <c r="F226" s="470">
        <v>0</v>
      </c>
      <c r="G226" s="470">
        <v>0</v>
      </c>
      <c r="H226" s="470">
        <v>0</v>
      </c>
      <c r="I226" s="470">
        <v>0</v>
      </c>
      <c r="J226" s="25">
        <v>0</v>
      </c>
      <c r="K226" s="25">
        <v>0</v>
      </c>
      <c r="L226" s="25">
        <v>0</v>
      </c>
      <c r="N226" s="25">
        <v>0</v>
      </c>
      <c r="O226" s="418"/>
      <c r="P226" s="25">
        <v>0</v>
      </c>
    </row>
    <row r="227" spans="2:16">
      <c r="B227" s="470" t="s">
        <v>127</v>
      </c>
      <c r="C227" s="470">
        <v>0</v>
      </c>
      <c r="D227" s="470">
        <v>0</v>
      </c>
      <c r="E227" s="470">
        <v>0</v>
      </c>
      <c r="F227" s="470">
        <f>-'Ardh shpenz alpha'!F92</f>
        <v>-35238</v>
      </c>
      <c r="G227" s="470">
        <f>-'Ardh shpenz alpha'!G92</f>
        <v>0</v>
      </c>
      <c r="H227" s="470">
        <f>-'Ardh shpenz alpha'!H92</f>
        <v>-350000</v>
      </c>
      <c r="I227" s="470">
        <f>-'Ardh shpenz alpha'!I92</f>
        <v>-2544395</v>
      </c>
      <c r="J227" s="25">
        <f>-'Ardh shpenz alpha'!J92</f>
        <v>-700000</v>
      </c>
      <c r="K227" s="25">
        <f>-'Ardh shpenz alpha'!K92</f>
        <v>-350000</v>
      </c>
      <c r="L227" s="25">
        <f>-'Ardh shpenz alpha'!L92</f>
        <v>-921132</v>
      </c>
      <c r="N227" s="25">
        <f>-'Ardh shpenz alpha'!M92</f>
        <v>-1685131</v>
      </c>
      <c r="O227" s="418"/>
      <c r="P227" s="25">
        <f>-'Ardh shpenz alpha'!N92</f>
        <v>-1151731</v>
      </c>
    </row>
    <row r="228" spans="2:16">
      <c r="B228" s="481" t="s">
        <v>116</v>
      </c>
      <c r="C228" s="470">
        <f>-'Ardh shpenz alpha'!C94</f>
        <v>0</v>
      </c>
      <c r="D228" s="470">
        <f>-'Ardh shpenz alpha'!D94</f>
        <v>0</v>
      </c>
      <c r="E228" s="470">
        <f>-'Ardh shpenz alpha'!E94</f>
        <v>0</v>
      </c>
      <c r="F228" s="470">
        <f>-'Ardh shpenz alpha'!F94</f>
        <v>0</v>
      </c>
      <c r="G228" s="470">
        <f>-'Ardh shpenz alpha'!G94</f>
        <v>1291.0500000000002</v>
      </c>
      <c r="H228" s="470">
        <f>-'Ardh shpenz alpha'!H94</f>
        <v>-35347</v>
      </c>
      <c r="I228" s="470">
        <f>-'Ardh shpenz alpha'!I94</f>
        <v>0</v>
      </c>
      <c r="J228" s="25">
        <f>-'Ardh shpenz alpha'!J94</f>
        <v>-44122</v>
      </c>
      <c r="K228" s="25">
        <f>-'Ardh shpenz alpha'!K94</f>
        <v>-339052</v>
      </c>
      <c r="L228" s="25">
        <f>-'Ardh shpenz alpha'!L94</f>
        <v>0</v>
      </c>
      <c r="M228" s="419"/>
      <c r="N228" s="25">
        <f>-'Ardh shpenz alpha'!M94</f>
        <v>-2538</v>
      </c>
      <c r="O228" s="418"/>
      <c r="P228" s="25">
        <f>-'Ardh shpenz alpha'!N94</f>
        <v>-9029</v>
      </c>
    </row>
    <row r="229" spans="2:16">
      <c r="B229" s="470" t="s">
        <v>117</v>
      </c>
      <c r="C229" s="470">
        <v>0</v>
      </c>
      <c r="D229" s="470">
        <v>0</v>
      </c>
      <c r="E229" s="470">
        <v>0</v>
      </c>
      <c r="F229" s="470">
        <v>0</v>
      </c>
      <c r="G229" s="470">
        <v>0</v>
      </c>
      <c r="H229" s="470">
        <v>0</v>
      </c>
      <c r="I229" s="470">
        <v>0</v>
      </c>
      <c r="J229" s="25">
        <v>0</v>
      </c>
      <c r="K229" s="25">
        <v>0</v>
      </c>
      <c r="L229" s="25">
        <v>0</v>
      </c>
      <c r="N229" s="25">
        <v>0</v>
      </c>
      <c r="O229" s="418"/>
      <c r="P229" s="25">
        <f>-'Ardh shpenz alpha'!N96</f>
        <v>-55000</v>
      </c>
    </row>
    <row r="230" spans="2:16">
      <c r="B230" s="470"/>
      <c r="C230" s="470"/>
      <c r="D230" s="470"/>
      <c r="E230" s="470"/>
      <c r="F230" s="470"/>
      <c r="G230" s="470"/>
      <c r="H230" s="470"/>
      <c r="I230" s="470"/>
      <c r="O230" s="418"/>
    </row>
    <row r="231" spans="2:16" ht="15.75" thickBot="1">
      <c r="B231" s="472" t="s">
        <v>2</v>
      </c>
      <c r="C231" s="473">
        <f>SUM(C224:C229)</f>
        <v>0</v>
      </c>
      <c r="D231" s="473">
        <f>SUM(D224:D229)</f>
        <v>0</v>
      </c>
      <c r="E231" s="473">
        <f>SUM(E224:E229)</f>
        <v>0</v>
      </c>
      <c r="F231" s="473">
        <f>SUM(F224:F229)</f>
        <v>-35238</v>
      </c>
      <c r="G231" s="473">
        <f t="shared" ref="G231:L231" si="34">SUM(G224:G229)</f>
        <v>1291.0500000000002</v>
      </c>
      <c r="H231" s="473">
        <f t="shared" si="34"/>
        <v>-385347</v>
      </c>
      <c r="I231" s="473">
        <f t="shared" si="34"/>
        <v>-2543513</v>
      </c>
      <c r="J231" s="403">
        <f t="shared" si="34"/>
        <v>-738675</v>
      </c>
      <c r="K231" s="403">
        <f t="shared" si="34"/>
        <v>-681718</v>
      </c>
      <c r="L231" s="403">
        <f t="shared" si="34"/>
        <v>-891541</v>
      </c>
      <c r="M231" s="402"/>
      <c r="N231" s="403">
        <f>SUM(N224:N229)</f>
        <v>-1674363</v>
      </c>
      <c r="O231" s="382"/>
      <c r="P231" s="403">
        <f>SUM(P224:P229)</f>
        <v>-1011603</v>
      </c>
    </row>
    <row r="232" spans="2:16" ht="15.75" thickTop="1">
      <c r="C232" s="413">
        <f>-'ardh-shpenz'!D21</f>
        <v>0</v>
      </c>
      <c r="D232" s="413">
        <f>-'ardh-shpenz'!E21</f>
        <v>0</v>
      </c>
      <c r="E232" s="413">
        <f>-'ardh-shpenz'!F21</f>
        <v>0</v>
      </c>
      <c r="F232" s="413">
        <f>-'ardh-shpenz'!G21</f>
        <v>35238</v>
      </c>
      <c r="G232" s="413">
        <f>-'ardh-shpenz'!H21</f>
        <v>-1291.0500000000002</v>
      </c>
      <c r="H232" s="413">
        <f>-'ardh-shpenz'!I21</f>
        <v>385347</v>
      </c>
      <c r="I232" s="413">
        <f>-'ardh-shpenz'!J21</f>
        <v>2543513</v>
      </c>
      <c r="J232" s="413">
        <f>-'ardh-shpenz'!K21</f>
        <v>738675</v>
      </c>
      <c r="K232" s="413">
        <f>-'ardh-shpenz'!L21</f>
        <v>681718</v>
      </c>
      <c r="L232" s="413">
        <f>-'ardh-shpenz'!M21</f>
        <v>891541</v>
      </c>
      <c r="N232" s="413">
        <f>-'ardh-shpenz'!N21</f>
        <v>1674363</v>
      </c>
      <c r="O232" s="413"/>
      <c r="P232" s="413">
        <f>-'ardh-shpenz'!P21</f>
        <v>1011603</v>
      </c>
    </row>
    <row r="233" spans="2:16">
      <c r="K233" s="420"/>
      <c r="L233" s="420"/>
      <c r="N233" s="420"/>
    </row>
    <row r="234" spans="2:16" ht="15.75" thickBot="1">
      <c r="B234" s="470" t="s">
        <v>479</v>
      </c>
      <c r="C234" s="462" t="str">
        <f>+C223</f>
        <v>31 Dhjetor 2018</v>
      </c>
      <c r="D234" s="462" t="str">
        <f t="shared" ref="D234:I234" si="35">+D223</f>
        <v>31 Dhjetor 2017</v>
      </c>
      <c r="E234" s="462" t="str">
        <f t="shared" si="35"/>
        <v>31 Dhjetor 2016</v>
      </c>
      <c r="F234" s="409" t="str">
        <f t="shared" si="35"/>
        <v>31 Dhjetor 2015</v>
      </c>
      <c r="G234" s="409" t="str">
        <f t="shared" si="35"/>
        <v>31 Dhjetor 2014</v>
      </c>
      <c r="H234" s="409" t="str">
        <f t="shared" si="35"/>
        <v>31 Dhjetor 2013</v>
      </c>
      <c r="I234" s="409" t="str">
        <f t="shared" si="35"/>
        <v>31 Dhjetor 2012</v>
      </c>
      <c r="J234" s="409" t="s">
        <v>633</v>
      </c>
      <c r="K234" s="409" t="s">
        <v>583</v>
      </c>
      <c r="L234" s="409" t="s">
        <v>567</v>
      </c>
      <c r="N234" s="409" t="s">
        <v>88</v>
      </c>
      <c r="O234" s="394"/>
      <c r="P234" s="409" t="s">
        <v>121</v>
      </c>
    </row>
    <row r="235" spans="2:16" ht="15.75" thickTop="1">
      <c r="B235" s="470" t="s">
        <v>118</v>
      </c>
      <c r="C235" s="470">
        <f>+'ardh-shpenz'!D23</f>
        <v>8421552.4499999993</v>
      </c>
      <c r="D235" s="470">
        <f>+'ardh-shpenz'!E23</f>
        <v>8481363</v>
      </c>
      <c r="E235" s="470">
        <f>+'ardh-shpenz'!F23</f>
        <v>2897669</v>
      </c>
      <c r="F235" s="25">
        <f>+'ardh-shpenz'!G23</f>
        <v>1736680</v>
      </c>
      <c r="G235" s="25">
        <f>+'ardh-shpenz'!H23</f>
        <v>3152192.1499999976</v>
      </c>
      <c r="H235" s="25">
        <f>+'ardh-shpenz'!I23</f>
        <v>3833879</v>
      </c>
      <c r="I235" s="25">
        <f>+'ardh-shpenz'!J23</f>
        <v>3057933</v>
      </c>
      <c r="J235" s="25">
        <f>+'ardh-shpenz'!K23</f>
        <v>3630767</v>
      </c>
      <c r="K235" s="25">
        <f>+'ardh-shpenz'!L23</f>
        <v>3114356</v>
      </c>
      <c r="L235" s="25">
        <f>+'ardh-shpenz'!M23</f>
        <v>-1803182</v>
      </c>
      <c r="N235" s="25">
        <f>+'ardh-shpenz'!N23</f>
        <v>2556581</v>
      </c>
      <c r="P235" s="25">
        <f>+'ardh-shpenz'!P23</f>
        <v>2220606</v>
      </c>
    </row>
    <row r="236" spans="2:16">
      <c r="B236" s="470" t="s">
        <v>119</v>
      </c>
      <c r="C236" s="470">
        <f>+C211</f>
        <v>28532</v>
      </c>
      <c r="D236" s="470">
        <f>+D211</f>
        <v>0</v>
      </c>
      <c r="E236" s="470">
        <f>+E211</f>
        <v>263111</v>
      </c>
      <c r="F236" s="25">
        <f>+F211+350000+107508</f>
        <v>460704</v>
      </c>
      <c r="G236" s="25">
        <f>+G211</f>
        <v>0</v>
      </c>
      <c r="H236" s="25">
        <f>+H211</f>
        <v>50043</v>
      </c>
      <c r="I236" s="25">
        <f>+I211</f>
        <v>857363</v>
      </c>
      <c r="J236" s="25">
        <v>100000</v>
      </c>
      <c r="K236" s="25">
        <f>+K211</f>
        <v>431238</v>
      </c>
      <c r="L236" s="25">
        <v>4518322</v>
      </c>
      <c r="N236" s="25">
        <f>+'Ardh shpenz alpha'!M79</f>
        <v>892593</v>
      </c>
      <c r="P236" s="421">
        <v>0</v>
      </c>
    </row>
    <row r="237" spans="2:16">
      <c r="B237" s="470" t="s">
        <v>120</v>
      </c>
      <c r="C237" s="470">
        <f>SUM(C235:C236)</f>
        <v>8450084.4499999993</v>
      </c>
      <c r="D237" s="470">
        <f>SUM(D235:D236)</f>
        <v>8481363</v>
      </c>
      <c r="E237" s="470">
        <f>SUM(E235:E236)</f>
        <v>3160780</v>
      </c>
      <c r="F237" s="422">
        <f>SUM(F235:F236)</f>
        <v>2197384</v>
      </c>
      <c r="G237" s="422">
        <f t="shared" ref="G237:L237" si="36">SUM(G235:G236)</f>
        <v>3152192.1499999976</v>
      </c>
      <c r="H237" s="422">
        <f t="shared" si="36"/>
        <v>3883922</v>
      </c>
      <c r="I237" s="422">
        <f t="shared" si="36"/>
        <v>3915296</v>
      </c>
      <c r="J237" s="422">
        <f t="shared" si="36"/>
        <v>3730767</v>
      </c>
      <c r="K237" s="422">
        <f t="shared" si="36"/>
        <v>3545594</v>
      </c>
      <c r="L237" s="422">
        <f t="shared" si="36"/>
        <v>2715140</v>
      </c>
      <c r="N237" s="422">
        <f>SUM(N235:N236)</f>
        <v>3449174</v>
      </c>
      <c r="P237" s="422">
        <f>SUM(P235:P236)</f>
        <v>2220606</v>
      </c>
    </row>
    <row r="238" spans="2:16">
      <c r="B238" s="470" t="s">
        <v>122</v>
      </c>
      <c r="C238" s="567">
        <v>15</v>
      </c>
      <c r="D238" s="567">
        <v>15</v>
      </c>
      <c r="E238" s="567">
        <v>15</v>
      </c>
      <c r="F238" s="423">
        <v>15</v>
      </c>
      <c r="G238" s="423">
        <v>15</v>
      </c>
      <c r="H238" s="423">
        <v>10</v>
      </c>
      <c r="I238" s="423">
        <v>10</v>
      </c>
      <c r="J238" s="423">
        <v>10</v>
      </c>
      <c r="K238" s="423">
        <v>10</v>
      </c>
      <c r="L238" s="423">
        <v>10</v>
      </c>
      <c r="N238" s="423">
        <v>10</v>
      </c>
      <c r="O238" s="424"/>
      <c r="P238" s="423">
        <v>20</v>
      </c>
    </row>
    <row r="239" spans="2:16">
      <c r="B239" s="473" t="s">
        <v>107</v>
      </c>
      <c r="C239" s="568">
        <f>+(C235+'Ardh shpenz alpha'!C79)*0.15</f>
        <v>1267512.6674999997</v>
      </c>
      <c r="D239" s="568">
        <f>+D235*0.15</f>
        <v>1272204.45</v>
      </c>
      <c r="E239" s="568">
        <f>+E237*0.15</f>
        <v>474117</v>
      </c>
      <c r="F239" s="425">
        <f>+F237*0.15</f>
        <v>329607.59999999998</v>
      </c>
      <c r="G239" s="425">
        <f>+G237*0.15</f>
        <v>472828.8224999996</v>
      </c>
      <c r="H239" s="425">
        <f>+H237*0.1</f>
        <v>388392.2</v>
      </c>
      <c r="I239" s="425">
        <f>+I237*0.1</f>
        <v>391529.60000000003</v>
      </c>
      <c r="J239" s="425">
        <f>+J237*0.1</f>
        <v>373076.7</v>
      </c>
      <c r="K239" s="425">
        <f>+K237*0.1</f>
        <v>354559.4</v>
      </c>
      <c r="L239" s="425">
        <f>+L237*0.1</f>
        <v>271514</v>
      </c>
      <c r="M239" s="382"/>
      <c r="N239" s="425">
        <f>+N237*0.1</f>
        <v>344917.4</v>
      </c>
      <c r="O239" s="425"/>
      <c r="P239" s="425">
        <f>+P237*0.2</f>
        <v>444121.2</v>
      </c>
    </row>
    <row r="240" spans="2:16">
      <c r="B240" s="470"/>
      <c r="C240" s="470"/>
      <c r="D240" s="470"/>
      <c r="E240" s="470"/>
      <c r="K240" s="426"/>
      <c r="L240" s="426"/>
      <c r="N240" s="426"/>
      <c r="O240" s="426"/>
      <c r="P240" s="426"/>
    </row>
    <row r="241" spans="2:16">
      <c r="B241" s="473" t="s">
        <v>123</v>
      </c>
      <c r="C241" s="568">
        <f>+C235-C239</f>
        <v>7154039.7824999997</v>
      </c>
      <c r="D241" s="568">
        <f>+D237-D239</f>
        <v>7209158.5499999998</v>
      </c>
      <c r="E241" s="568">
        <f t="shared" ref="E241:J241" si="37">+E235-E239</f>
        <v>2423552</v>
      </c>
      <c r="F241" s="425">
        <f t="shared" si="37"/>
        <v>1407072.4</v>
      </c>
      <c r="G241" s="425">
        <f t="shared" si="37"/>
        <v>2679363.3274999978</v>
      </c>
      <c r="H241" s="425">
        <f t="shared" si="37"/>
        <v>3445486.8</v>
      </c>
      <c r="I241" s="425">
        <f t="shared" si="37"/>
        <v>2666403.4</v>
      </c>
      <c r="J241" s="425">
        <f t="shared" si="37"/>
        <v>3257690.3</v>
      </c>
      <c r="K241" s="425">
        <f>+K235-K239-1</f>
        <v>2759795.6</v>
      </c>
      <c r="L241" s="425">
        <f>+L235-L239</f>
        <v>-2074696</v>
      </c>
      <c r="M241" s="382"/>
      <c r="N241" s="425">
        <f>+N235-N239</f>
        <v>2211663.6</v>
      </c>
      <c r="O241" s="425"/>
      <c r="P241" s="425">
        <f>+P235-P239</f>
        <v>1776484.8</v>
      </c>
    </row>
    <row r="244" spans="2:16">
      <c r="P244" s="25">
        <f>+P241-BK!P70</f>
        <v>-0.19999999995343387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0"/>
    <pageSetUpPr fitToPage="1"/>
  </sheetPr>
  <dimension ref="A1:V84"/>
  <sheetViews>
    <sheetView topLeftCell="A37" zoomScale="75" workbookViewId="0">
      <selection activeCell="H28" sqref="H28"/>
    </sheetView>
  </sheetViews>
  <sheetFormatPr defaultRowHeight="15.75"/>
  <cols>
    <col min="1" max="1" width="4.5703125" style="101" customWidth="1"/>
    <col min="2" max="2" width="52.85546875" style="98" customWidth="1"/>
    <col min="3" max="3" width="11.28515625" style="99" customWidth="1"/>
    <col min="4" max="5" width="20.5703125" style="100" customWidth="1"/>
    <col min="6" max="11" width="20.5703125" style="100" hidden="1" customWidth="1"/>
    <col min="12" max="12" width="22.42578125" style="100" hidden="1" customWidth="1"/>
    <col min="13" max="13" width="22.85546875" style="100" hidden="1" customWidth="1"/>
    <col min="14" max="14" width="17.140625" style="100" hidden="1" customWidth="1"/>
    <col min="15" max="15" width="8.42578125" style="100" hidden="1" customWidth="1"/>
    <col min="16" max="16" width="17.42578125" style="100" hidden="1" customWidth="1"/>
    <col min="17" max="17" width="13" style="100" hidden="1" customWidth="1"/>
    <col min="18" max="18" width="17.42578125" style="100" hidden="1" customWidth="1"/>
    <col min="19" max="19" width="9.140625" style="101" customWidth="1"/>
    <col min="20" max="20" width="9.140625" style="101"/>
    <col min="21" max="21" width="16.140625" style="101" customWidth="1"/>
    <col min="22" max="16384" width="9.140625" style="101"/>
  </cols>
  <sheetData>
    <row r="1" spans="1:18">
      <c r="A1" s="29" t="s">
        <v>454</v>
      </c>
    </row>
    <row r="2" spans="1:18">
      <c r="A2" s="102" t="s">
        <v>1029</v>
      </c>
    </row>
    <row r="3" spans="1:18">
      <c r="A3" s="102" t="s">
        <v>97</v>
      </c>
    </row>
    <row r="5" spans="1:18" ht="33" customHeight="1" thickBot="1">
      <c r="A5" s="103" t="s">
        <v>0</v>
      </c>
      <c r="C5" s="99" t="s">
        <v>450</v>
      </c>
      <c r="D5" s="104" t="s">
        <v>1028</v>
      </c>
      <c r="E5" s="104" t="s">
        <v>1016</v>
      </c>
      <c r="F5" s="104" t="s">
        <v>952</v>
      </c>
      <c r="G5" s="104" t="s">
        <v>942</v>
      </c>
      <c r="H5" s="104" t="s">
        <v>704</v>
      </c>
      <c r="I5" s="104" t="s">
        <v>659</v>
      </c>
      <c r="J5" s="104" t="s">
        <v>645</v>
      </c>
      <c r="K5" s="104" t="s">
        <v>633</v>
      </c>
      <c r="L5" s="104" t="s">
        <v>583</v>
      </c>
      <c r="M5" s="104" t="s">
        <v>567</v>
      </c>
      <c r="N5" s="104" t="s">
        <v>88</v>
      </c>
      <c r="P5" s="105" t="s">
        <v>451</v>
      </c>
      <c r="R5" s="105" t="s">
        <v>541</v>
      </c>
    </row>
    <row r="6" spans="1:18" ht="16.5" thickTop="1">
      <c r="A6" s="103" t="s">
        <v>42</v>
      </c>
    </row>
    <row r="7" spans="1:18"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P7" s="106"/>
      <c r="R7" s="106"/>
    </row>
    <row r="8" spans="1:18">
      <c r="B8" s="98" t="s">
        <v>1</v>
      </c>
      <c r="C8" s="99" t="s">
        <v>442</v>
      </c>
      <c r="D8" s="107">
        <f>+'Bilanci Alpha'!D48</f>
        <v>1036231.58</v>
      </c>
      <c r="E8" s="107">
        <f>+'Bilanci Alpha'!E48</f>
        <v>1052254</v>
      </c>
      <c r="F8" s="107">
        <f>+'Bilanci Alpha'!F48</f>
        <v>2032315.38</v>
      </c>
      <c r="G8" s="107">
        <f>+'Bilanci Alpha'!G48</f>
        <v>385232.1</v>
      </c>
      <c r="H8" s="107">
        <f>+'Bilanci Alpha'!H48</f>
        <v>852121.37</v>
      </c>
      <c r="I8" s="107">
        <f>+'Bilanci Alpha'!I48</f>
        <v>1481529</v>
      </c>
      <c r="J8" s="107">
        <f>+'Bilanci Alpha'!J48</f>
        <v>770163</v>
      </c>
      <c r="K8" s="107">
        <f>+'Bilanci Alpha'!K48</f>
        <v>1480761</v>
      </c>
      <c r="L8" s="107">
        <f>+'Bilanci Alpha'!L48</f>
        <v>1161465</v>
      </c>
      <c r="M8" s="107">
        <f>+'Bilanci Alpha'!M48</f>
        <v>1018978</v>
      </c>
      <c r="N8" s="107">
        <f>+'Bilanci Alpha'!N48</f>
        <v>2113643</v>
      </c>
      <c r="O8" s="107"/>
      <c r="P8" s="107">
        <f>+'Bilanci Alpha'!O48</f>
        <v>3313071</v>
      </c>
      <c r="Q8" s="108"/>
      <c r="R8" s="107">
        <f>+'Bilanci Alpha'!P48</f>
        <v>4437258</v>
      </c>
    </row>
    <row r="9" spans="1:18">
      <c r="B9" s="98" t="s">
        <v>41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P9" s="106"/>
      <c r="Q9" s="108"/>
      <c r="R9" s="106"/>
    </row>
    <row r="10" spans="1:18">
      <c r="B10" s="103"/>
      <c r="D10" s="109">
        <f>SUM(D8:D9)</f>
        <v>1036231.58</v>
      </c>
      <c r="E10" s="109">
        <f>SUM(E8:E9)</f>
        <v>1052254</v>
      </c>
      <c r="F10" s="109">
        <f>SUM(F8:F9)</f>
        <v>2032315.38</v>
      </c>
      <c r="G10" s="109">
        <f>SUM(G8:G9)</f>
        <v>385232.1</v>
      </c>
      <c r="H10" s="109">
        <f>SUM(H8:H9)</f>
        <v>852121.37</v>
      </c>
      <c r="I10" s="109">
        <f t="shared" ref="I10:N10" si="0">SUM(I8:I9)</f>
        <v>1481529</v>
      </c>
      <c r="J10" s="109">
        <f t="shared" si="0"/>
        <v>770163</v>
      </c>
      <c r="K10" s="109">
        <f t="shared" si="0"/>
        <v>1480761</v>
      </c>
      <c r="L10" s="109">
        <f t="shared" si="0"/>
        <v>1161465</v>
      </c>
      <c r="M10" s="109">
        <f t="shared" si="0"/>
        <v>1018978</v>
      </c>
      <c r="N10" s="109">
        <f t="shared" si="0"/>
        <v>2113643</v>
      </c>
      <c r="P10" s="109">
        <f>SUM(P8:P9)</f>
        <v>3313071</v>
      </c>
      <c r="Q10" s="108"/>
      <c r="R10" s="109">
        <f>SUM(R8:R9)</f>
        <v>4437258</v>
      </c>
    </row>
    <row r="11" spans="1:18">
      <c r="A11" s="98" t="s">
        <v>43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P11" s="106"/>
      <c r="Q11" s="108"/>
      <c r="R11" s="106"/>
    </row>
    <row r="12" spans="1:18">
      <c r="B12" s="98" t="s">
        <v>52</v>
      </c>
      <c r="C12" s="99" t="s">
        <v>441</v>
      </c>
      <c r="D12" s="110">
        <f>+'Bilanci Alpha'!D40</f>
        <v>21137033.129000001</v>
      </c>
      <c r="E12" s="110">
        <f>+'Bilanci Alpha'!E40</f>
        <v>12740703.280000001</v>
      </c>
      <c r="F12" s="110">
        <f>+'Bilanci Alpha'!F40</f>
        <v>18499447</v>
      </c>
      <c r="G12" s="110">
        <f>+'Bilanci Alpha'!G40</f>
        <v>10485211</v>
      </c>
      <c r="H12" s="110">
        <f>+'Bilanci Alpha'!H40</f>
        <v>12252050</v>
      </c>
      <c r="I12" s="110">
        <f>+'Bilanci Alpha'!I40</f>
        <v>17792038</v>
      </c>
      <c r="J12" s="110">
        <f>+'Bilanci Alpha'!J40</f>
        <v>18285958</v>
      </c>
      <c r="K12" s="110">
        <f>+'Bilanci Alpha'!K40</f>
        <v>17374090</v>
      </c>
      <c r="L12" s="110">
        <f>+'Bilanci Alpha'!L40</f>
        <v>16908659</v>
      </c>
      <c r="M12" s="110">
        <f>+'Bilanci Alpha'!M40</f>
        <v>6005912</v>
      </c>
      <c r="N12" s="110">
        <f>+'Bilanci Alpha'!N40</f>
        <v>3183589</v>
      </c>
      <c r="P12" s="110">
        <f>+'Bilanci Alpha'!O40</f>
        <v>1896742</v>
      </c>
      <c r="Q12" s="108"/>
      <c r="R12" s="110">
        <f>+'Bilanci Alpha'!P40</f>
        <v>1411100</v>
      </c>
    </row>
    <row r="13" spans="1:18">
      <c r="B13" s="98" t="s">
        <v>44</v>
      </c>
      <c r="C13" s="99" t="s">
        <v>441</v>
      </c>
      <c r="D13" s="110">
        <f>+'Bilanci Alpha'!D43+'Bilanci Alpha'!D42</f>
        <v>0</v>
      </c>
      <c r="E13" s="110">
        <f>+'Bilanci Alpha'!E43+'Bilanci Alpha'!E42</f>
        <v>1075022</v>
      </c>
      <c r="F13" s="110">
        <f>+'Bilanci Alpha'!F43+'Bilanci Alpha'!F42</f>
        <v>2347227</v>
      </c>
      <c r="G13" s="110">
        <f>+'Bilanci Alpha'!G43+'Bilanci Alpha'!G42</f>
        <v>2870098</v>
      </c>
      <c r="H13" s="110">
        <f>+'Bilanci Alpha'!H43+'Bilanci Alpha'!H42</f>
        <v>3219407.1775000012</v>
      </c>
      <c r="I13" s="110">
        <f>+'Bilanci Alpha'!I43+'Bilanci Alpha'!I42</f>
        <v>3692236</v>
      </c>
      <c r="J13" s="110">
        <f>+'Bilanci Alpha'!J43+'Bilanci Alpha'!J42</f>
        <v>4012173</v>
      </c>
      <c r="K13" s="110">
        <f>+'Bilanci Alpha'!K43+'Bilanci Alpha'!K42</f>
        <v>3549977</v>
      </c>
      <c r="L13" s="110">
        <f>+'Bilanci Alpha'!L43+'Bilanci Alpha'!L42</f>
        <v>8416359</v>
      </c>
      <c r="M13" s="110">
        <f>+'Bilanci Alpha'!M43+'Bilanci Alpha'!M42</f>
        <v>15156696</v>
      </c>
      <c r="N13" s="110">
        <f>+'Bilanci Alpha'!N43+'Bilanci Alpha'!N42</f>
        <v>4488007</v>
      </c>
      <c r="P13" s="110">
        <f>+'Bilanci Alpha'!O43+'Bilanci Alpha'!O42</f>
        <v>6214125</v>
      </c>
      <c r="Q13" s="108"/>
      <c r="R13" s="110">
        <f>+'Bilanci Alpha'!P43+'Bilanci Alpha'!P42+'Bilanci Alpha'!P41</f>
        <v>10837246</v>
      </c>
    </row>
    <row r="14" spans="1:18">
      <c r="B14" s="98" t="s">
        <v>3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/>
      <c r="P14" s="111">
        <v>0</v>
      </c>
      <c r="Q14" s="108"/>
      <c r="R14" s="111">
        <v>0</v>
      </c>
    </row>
    <row r="15" spans="1:18">
      <c r="B15" s="98" t="s">
        <v>4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/>
      <c r="P15" s="111">
        <v>0</v>
      </c>
      <c r="Q15" s="108"/>
      <c r="R15" s="111">
        <v>0</v>
      </c>
    </row>
    <row r="16" spans="1:18">
      <c r="D16" s="109">
        <f>SUM(D12:D15)</f>
        <v>21137033.129000001</v>
      </c>
      <c r="E16" s="109">
        <f>SUM(E12:E15)</f>
        <v>13815725.280000001</v>
      </c>
      <c r="F16" s="109">
        <f>SUM(F12:F15)</f>
        <v>20846674</v>
      </c>
      <c r="G16" s="109">
        <f>SUM(G12:G15)</f>
        <v>13355309</v>
      </c>
      <c r="H16" s="109">
        <f>SUM(H12:H15)</f>
        <v>15471457.177500002</v>
      </c>
      <c r="I16" s="109">
        <f t="shared" ref="I16:N16" si="1">SUM(I12:I15)</f>
        <v>21484274</v>
      </c>
      <c r="J16" s="109">
        <f t="shared" si="1"/>
        <v>22298131</v>
      </c>
      <c r="K16" s="109">
        <f t="shared" si="1"/>
        <v>20924067</v>
      </c>
      <c r="L16" s="109">
        <f t="shared" si="1"/>
        <v>25325018</v>
      </c>
      <c r="M16" s="109">
        <f t="shared" si="1"/>
        <v>21162608</v>
      </c>
      <c r="N16" s="109">
        <f t="shared" si="1"/>
        <v>7671596</v>
      </c>
      <c r="P16" s="109">
        <f>SUM(P12:P15)</f>
        <v>8110867</v>
      </c>
      <c r="Q16" s="108"/>
      <c r="R16" s="109">
        <f>SUM(R12:R15)</f>
        <v>12248346</v>
      </c>
    </row>
    <row r="17" spans="1:18">
      <c r="A17" s="98" t="s">
        <v>5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P17" s="106"/>
      <c r="Q17" s="108"/>
      <c r="R17" s="106"/>
    </row>
    <row r="18" spans="1:18">
      <c r="B18" s="98" t="s">
        <v>560</v>
      </c>
      <c r="D18" s="111">
        <f>+'Bilanci Alpha'!D33</f>
        <v>0</v>
      </c>
      <c r="E18" s="111">
        <f>+'Bilanci Alpha'!E33</f>
        <v>0</v>
      </c>
      <c r="F18" s="111">
        <f>+'Bilanci Alpha'!F33</f>
        <v>0</v>
      </c>
      <c r="G18" s="111">
        <f>+'Bilanci Alpha'!G33</f>
        <v>0</v>
      </c>
      <c r="H18" s="111">
        <f>+'Bilanci Alpha'!H33</f>
        <v>0</v>
      </c>
      <c r="I18" s="111">
        <f>+'Bilanci Alpha'!I33</f>
        <v>0</v>
      </c>
      <c r="J18" s="111">
        <f>+'Bilanci Alpha'!J33</f>
        <v>0</v>
      </c>
      <c r="K18" s="111">
        <f>+'Bilanci Alpha'!K33</f>
        <v>0</v>
      </c>
      <c r="L18" s="111">
        <f>+'Bilanci Alpha'!L33</f>
        <v>0</v>
      </c>
      <c r="M18" s="111">
        <f>+'Bilanci Alpha'!M33</f>
        <v>0</v>
      </c>
      <c r="N18" s="111">
        <f>+'Bilanci Alpha'!N33</f>
        <v>0</v>
      </c>
      <c r="O18" s="111"/>
      <c r="P18" s="111">
        <f>+'Bilanci Alpha'!O33</f>
        <v>0</v>
      </c>
      <c r="Q18" s="108"/>
      <c r="R18" s="111">
        <f>+'Bilanci Alpha'!Q33</f>
        <v>0</v>
      </c>
    </row>
    <row r="19" spans="1:18">
      <c r="B19" s="98" t="s">
        <v>6</v>
      </c>
      <c r="D19" s="111">
        <f>+'Bilanci Alpha'!D34</f>
        <v>0</v>
      </c>
      <c r="E19" s="111">
        <f>+'Bilanci Alpha'!E34</f>
        <v>0</v>
      </c>
      <c r="F19" s="111">
        <f>+'Bilanci Alpha'!F34</f>
        <v>0</v>
      </c>
      <c r="G19" s="111">
        <f>+'Bilanci Alpha'!G34</f>
        <v>0</v>
      </c>
      <c r="H19" s="111">
        <f>+'Bilanci Alpha'!H34</f>
        <v>0</v>
      </c>
      <c r="I19" s="111">
        <f>+'Bilanci Alpha'!I34</f>
        <v>0</v>
      </c>
      <c r="J19" s="111">
        <f>+'Bilanci Alpha'!J34</f>
        <v>0</v>
      </c>
      <c r="K19" s="111">
        <f>+'Bilanci Alpha'!K34</f>
        <v>0</v>
      </c>
      <c r="L19" s="111">
        <f>+'Bilanci Alpha'!L34</f>
        <v>0</v>
      </c>
      <c r="M19" s="111">
        <f>+'Bilanci Alpha'!M34</f>
        <v>0</v>
      </c>
      <c r="N19" s="111">
        <f>+'Bilanci Alpha'!N34</f>
        <v>0</v>
      </c>
      <c r="O19" s="111"/>
      <c r="P19" s="111">
        <f>+'Bilanci Alpha'!O34</f>
        <v>0</v>
      </c>
      <c r="Q19" s="108"/>
      <c r="R19" s="111">
        <f>+'Bilanci Alpha'!Q34</f>
        <v>0</v>
      </c>
    </row>
    <row r="20" spans="1:18">
      <c r="B20" s="98" t="s">
        <v>129</v>
      </c>
      <c r="C20" s="99" t="s">
        <v>440</v>
      </c>
      <c r="D20" s="106">
        <f>+'Bilanci Alpha'!D35</f>
        <v>0</v>
      </c>
      <c r="E20" s="106">
        <f>+'Bilanci Alpha'!E35</f>
        <v>0</v>
      </c>
      <c r="F20" s="106">
        <f>+'Bilanci Alpha'!F35</f>
        <v>0</v>
      </c>
      <c r="G20" s="106">
        <f>+'Bilanci Alpha'!G35</f>
        <v>0</v>
      </c>
      <c r="H20" s="106">
        <f>+'Bilanci Alpha'!H35</f>
        <v>0</v>
      </c>
      <c r="I20" s="106">
        <f>+'Bilanci Alpha'!I35</f>
        <v>0</v>
      </c>
      <c r="J20" s="106">
        <f>+'Bilanci Alpha'!J35</f>
        <v>0</v>
      </c>
      <c r="K20" s="106">
        <f>+'Bilanci Alpha'!K35</f>
        <v>0</v>
      </c>
      <c r="L20" s="106">
        <f>+'Bilanci Alpha'!L35</f>
        <v>0</v>
      </c>
      <c r="M20" s="106">
        <f>+'Bilanci Alpha'!M35</f>
        <v>0</v>
      </c>
      <c r="N20" s="106">
        <f>+'Bilanci Alpha'!N35</f>
        <v>0</v>
      </c>
      <c r="P20" s="106">
        <f>+'Bilanci Alpha'!O35</f>
        <v>0</v>
      </c>
      <c r="Q20" s="108"/>
      <c r="R20" s="106">
        <f>+'Bilanci Alpha'!Q35</f>
        <v>0</v>
      </c>
    </row>
    <row r="21" spans="1:18">
      <c r="B21" s="98" t="s">
        <v>45</v>
      </c>
      <c r="D21" s="111">
        <f>+'Bilanci Alpha'!D36</f>
        <v>0</v>
      </c>
      <c r="E21" s="111">
        <f>+'Bilanci Alpha'!E36</f>
        <v>0</v>
      </c>
      <c r="F21" s="111">
        <f>+'Bilanci Alpha'!F36</f>
        <v>0</v>
      </c>
      <c r="G21" s="111">
        <f>+'Bilanci Alpha'!G36</f>
        <v>0</v>
      </c>
      <c r="H21" s="111">
        <f>+'Bilanci Alpha'!H36</f>
        <v>0</v>
      </c>
      <c r="I21" s="111">
        <f>+'Bilanci Alpha'!I36</f>
        <v>0</v>
      </c>
      <c r="J21" s="111">
        <f>+'Bilanci Alpha'!J36</f>
        <v>0</v>
      </c>
      <c r="K21" s="111">
        <f>+'Bilanci Alpha'!K36</f>
        <v>0</v>
      </c>
      <c r="L21" s="111">
        <f>+'Bilanci Alpha'!L36</f>
        <v>0</v>
      </c>
      <c r="M21" s="111">
        <f>+'Bilanci Alpha'!M36</f>
        <v>0</v>
      </c>
      <c r="N21" s="111">
        <f>+'Bilanci Alpha'!N36</f>
        <v>0</v>
      </c>
      <c r="O21" s="111"/>
      <c r="P21" s="111">
        <f>+'Bilanci Alpha'!O36</f>
        <v>0</v>
      </c>
      <c r="Q21" s="108"/>
      <c r="R21" s="111">
        <f>+'Bilanci Alpha'!Q36</f>
        <v>0</v>
      </c>
    </row>
    <row r="22" spans="1:18">
      <c r="B22" s="98" t="s">
        <v>46</v>
      </c>
      <c r="C22" s="99" t="s">
        <v>443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P22" s="106">
        <v>0</v>
      </c>
      <c r="Q22" s="108"/>
      <c r="R22" s="106">
        <v>0</v>
      </c>
    </row>
    <row r="23" spans="1:18" ht="12.75" customHeight="1">
      <c r="D23" s="109">
        <f>SUM(D18:D22)</f>
        <v>0</v>
      </c>
      <c r="E23" s="109">
        <f>SUM(E18:E22)</f>
        <v>0</v>
      </c>
      <c r="F23" s="109">
        <f>SUM(F18:F22)</f>
        <v>0</v>
      </c>
      <c r="G23" s="109">
        <f>SUM(G18:G22)</f>
        <v>0</v>
      </c>
      <c r="H23" s="109">
        <f>SUM(H18:H22)</f>
        <v>0</v>
      </c>
      <c r="I23" s="109">
        <f t="shared" ref="I23:N23" si="2">SUM(I18:I22)</f>
        <v>0</v>
      </c>
      <c r="J23" s="109">
        <f t="shared" si="2"/>
        <v>0</v>
      </c>
      <c r="K23" s="109">
        <f t="shared" si="2"/>
        <v>0</v>
      </c>
      <c r="L23" s="109">
        <f t="shared" si="2"/>
        <v>0</v>
      </c>
      <c r="M23" s="109">
        <f t="shared" si="2"/>
        <v>0</v>
      </c>
      <c r="N23" s="109">
        <f t="shared" si="2"/>
        <v>0</v>
      </c>
      <c r="P23" s="109">
        <f>SUM(P17:P22)</f>
        <v>0</v>
      </c>
      <c r="Q23" s="108"/>
      <c r="R23" s="109">
        <f>SUM(R17:R22)</f>
        <v>0</v>
      </c>
    </row>
    <row r="24" spans="1:18">
      <c r="B24" s="98" t="s">
        <v>47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P24" s="106"/>
      <c r="Q24" s="108"/>
      <c r="R24" s="106"/>
    </row>
    <row r="25" spans="1:18">
      <c r="B25" s="98" t="s">
        <v>48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P25" s="106"/>
      <c r="Q25" s="108"/>
      <c r="R25" s="106"/>
    </row>
    <row r="26" spans="1:18">
      <c r="B26" s="98" t="s">
        <v>49</v>
      </c>
      <c r="C26" s="99" t="s">
        <v>444</v>
      </c>
      <c r="D26" s="106">
        <f>+'Bilanci Alpha'!D52</f>
        <v>0</v>
      </c>
      <c r="E26" s="106">
        <f>+'Bilanci Alpha'!E52</f>
        <v>0</v>
      </c>
      <c r="F26" s="106">
        <f>+'Bilanci Alpha'!F52</f>
        <v>0</v>
      </c>
      <c r="G26" s="106">
        <f>+'Bilanci Alpha'!G52</f>
        <v>0</v>
      </c>
      <c r="H26" s="106">
        <f>+'Bilanci Alpha'!H52</f>
        <v>3293640</v>
      </c>
      <c r="I26" s="106">
        <f>+'Bilanci Alpha'!I52</f>
        <v>0</v>
      </c>
      <c r="J26" s="106">
        <f>+'Bilanci Alpha'!J52</f>
        <v>715600</v>
      </c>
      <c r="K26" s="106">
        <f>+'Bilanci Alpha'!K52</f>
        <v>0</v>
      </c>
      <c r="L26" s="106">
        <f>+'Bilanci Alpha'!L52</f>
        <v>375915</v>
      </c>
      <c r="M26" s="106">
        <f>+'Bilanci Alpha'!M52</f>
        <v>490454</v>
      </c>
      <c r="N26" s="106">
        <f>+'Bilanci Alpha'!N52</f>
        <v>699101</v>
      </c>
      <c r="O26" s="106"/>
      <c r="P26" s="106">
        <f>+'Bilanci Alpha'!O52</f>
        <v>751082</v>
      </c>
      <c r="Q26" s="108"/>
      <c r="R26" s="106">
        <f>+'Bilanci Alpha'!P52</f>
        <v>0</v>
      </c>
    </row>
    <row r="27" spans="1:18">
      <c r="B27" s="98" t="s">
        <v>125</v>
      </c>
      <c r="D27" s="111">
        <f>+'Bilanci Alpha'!D56</f>
        <v>0</v>
      </c>
      <c r="E27" s="111">
        <f>+'Bilanci Alpha'!E56</f>
        <v>0</v>
      </c>
      <c r="F27" s="111">
        <f>+'Bilanci Alpha'!F56</f>
        <v>0</v>
      </c>
      <c r="G27" s="111">
        <f>+'Bilanci Alpha'!G56</f>
        <v>0</v>
      </c>
      <c r="H27" s="111">
        <f>+'Bilanci Alpha'!H56</f>
        <v>0</v>
      </c>
      <c r="I27" s="111">
        <f>+'Bilanci Alpha'!I56</f>
        <v>0</v>
      </c>
      <c r="J27" s="111">
        <f>+'Bilanci Alpha'!J56</f>
        <v>0</v>
      </c>
      <c r="K27" s="111">
        <f>+'Bilanci Alpha'!K56</f>
        <v>0</v>
      </c>
      <c r="L27" s="111">
        <f>+'Bilanci Alpha'!L56</f>
        <v>0</v>
      </c>
      <c r="M27" s="111">
        <f>+'Bilanci Alpha'!M56</f>
        <v>0</v>
      </c>
      <c r="N27" s="111">
        <f>+'Bilanci Alpha'!N56</f>
        <v>0</v>
      </c>
      <c r="P27" s="111">
        <f>+'Bilanci Alpha'!O56</f>
        <v>7076661</v>
      </c>
      <c r="Q27" s="108"/>
      <c r="R27" s="111">
        <f>+'Bilanci Alpha'!P56</f>
        <v>8724025</v>
      </c>
    </row>
    <row r="28" spans="1:18"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P28" s="106"/>
      <c r="Q28" s="108"/>
      <c r="R28" s="106"/>
    </row>
    <row r="29" spans="1:18" ht="16.5" thickBot="1">
      <c r="B29" s="112" t="s">
        <v>50</v>
      </c>
      <c r="D29" s="113">
        <f>+D23+D16+D10+D26+D27</f>
        <v>22173264.708999999</v>
      </c>
      <c r="E29" s="113">
        <f>+E23+E16+E10+E26+E27</f>
        <v>14867979.280000001</v>
      </c>
      <c r="F29" s="113">
        <f>+F23+F16+F10+F26+F27</f>
        <v>22878989.379999999</v>
      </c>
      <c r="G29" s="113">
        <f>+G23+G16+G10+G26+G27</f>
        <v>13740541.1</v>
      </c>
      <c r="H29" s="113">
        <f>+H23+H16+H10+H26+H27</f>
        <v>19617218.547499999</v>
      </c>
      <c r="I29" s="113">
        <f t="shared" ref="I29:N29" si="3">+I23+I16+I10+I26+I27</f>
        <v>22965803</v>
      </c>
      <c r="J29" s="113">
        <f t="shared" si="3"/>
        <v>23783894</v>
      </c>
      <c r="K29" s="113">
        <f t="shared" si="3"/>
        <v>22404828</v>
      </c>
      <c r="L29" s="113">
        <f t="shared" si="3"/>
        <v>26862398</v>
      </c>
      <c r="M29" s="113">
        <f t="shared" si="3"/>
        <v>22672040</v>
      </c>
      <c r="N29" s="113">
        <f t="shared" si="3"/>
        <v>10484340</v>
      </c>
      <c r="P29" s="113">
        <f>+P23+P16+P10+P26+P27</f>
        <v>19251681</v>
      </c>
      <c r="Q29" s="108"/>
      <c r="R29" s="113">
        <f>+R23+R16+R10+R26+R27</f>
        <v>25409629</v>
      </c>
    </row>
    <row r="30" spans="1:18" ht="12" customHeight="1" thickTop="1"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P30" s="106"/>
      <c r="Q30" s="108"/>
      <c r="R30" s="106"/>
    </row>
    <row r="31" spans="1:18">
      <c r="A31" s="103" t="s">
        <v>7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P31" s="106"/>
      <c r="Q31" s="108"/>
      <c r="R31" s="106"/>
    </row>
    <row r="32" spans="1:18">
      <c r="B32" s="98" t="s">
        <v>51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P32" s="106"/>
      <c r="Q32" s="108"/>
      <c r="R32" s="106"/>
    </row>
    <row r="33" spans="1:18">
      <c r="B33" s="98" t="s">
        <v>53</v>
      </c>
      <c r="C33" s="99">
        <v>4</v>
      </c>
      <c r="D33" s="107">
        <f>+'Bilanci Alpha'!D18</f>
        <v>23276259</v>
      </c>
      <c r="E33" s="107">
        <f>+'Bilanci Alpha'!E18</f>
        <v>25993140</v>
      </c>
      <c r="F33" s="107">
        <f>+'Bilanci Alpha'!F18</f>
        <v>34594266</v>
      </c>
      <c r="G33" s="107">
        <f>+'Bilanci Alpha'!G18</f>
        <v>42611733</v>
      </c>
      <c r="H33" s="107">
        <f>+'Bilanci Alpha'!H18</f>
        <v>36550960</v>
      </c>
      <c r="I33" s="107">
        <f>+'Bilanci Alpha'!I18</f>
        <v>35265407</v>
      </c>
      <c r="J33" s="107">
        <f>+'Bilanci Alpha'!J18</f>
        <v>34892661</v>
      </c>
      <c r="K33" s="107">
        <f>+'Bilanci Alpha'!K18</f>
        <v>33494927</v>
      </c>
      <c r="L33" s="107">
        <f>+'Bilanci Alpha'!L18</f>
        <v>36013971</v>
      </c>
      <c r="M33" s="107">
        <f>+'Bilanci Alpha'!M18</f>
        <v>38376194</v>
      </c>
      <c r="N33" s="107">
        <f>+'Bilanci Alpha'!N18</f>
        <v>37707939</v>
      </c>
      <c r="P33" s="107">
        <f>+'Bilanci Alpha'!O18</f>
        <v>31825083</v>
      </c>
      <c r="Q33" s="108"/>
      <c r="R33" s="107">
        <f>+'Bilanci Alpha'!P18</f>
        <v>28982109</v>
      </c>
    </row>
    <row r="34" spans="1:18">
      <c r="B34" s="98" t="s">
        <v>54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P34" s="106"/>
      <c r="Q34" s="108"/>
      <c r="R34" s="106"/>
    </row>
    <row r="35" spans="1:18">
      <c r="B35" s="98" t="s">
        <v>55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P35" s="106"/>
      <c r="Q35" s="108"/>
      <c r="R35" s="106"/>
    </row>
    <row r="36" spans="1:18" ht="16.5" thickBot="1">
      <c r="B36" s="112" t="s">
        <v>56</v>
      </c>
      <c r="D36" s="113">
        <f>SUM(D33:D35)</f>
        <v>23276259</v>
      </c>
      <c r="E36" s="113">
        <f>SUM(E33:E35)</f>
        <v>25993140</v>
      </c>
      <c r="F36" s="113">
        <f>SUM(F33:F35)</f>
        <v>34594266</v>
      </c>
      <c r="G36" s="113">
        <f>SUM(G33:G35)</f>
        <v>42611733</v>
      </c>
      <c r="H36" s="113">
        <f>SUM(H33:H35)</f>
        <v>36550960</v>
      </c>
      <c r="I36" s="113">
        <f t="shared" ref="I36:N36" si="4">SUM(I33:I35)</f>
        <v>35265407</v>
      </c>
      <c r="J36" s="113">
        <f t="shared" si="4"/>
        <v>34892661</v>
      </c>
      <c r="K36" s="113">
        <f t="shared" si="4"/>
        <v>33494927</v>
      </c>
      <c r="L36" s="113">
        <f t="shared" si="4"/>
        <v>36013971</v>
      </c>
      <c r="M36" s="113">
        <f t="shared" si="4"/>
        <v>38376194</v>
      </c>
      <c r="N36" s="113">
        <f t="shared" si="4"/>
        <v>37707939</v>
      </c>
      <c r="P36" s="113">
        <f>SUM(P33:P35)</f>
        <v>31825083</v>
      </c>
      <c r="Q36" s="108"/>
      <c r="R36" s="113">
        <f>SUM(R33:R35)</f>
        <v>28982109</v>
      </c>
    </row>
    <row r="37" spans="1:18" ht="16.5" thickTop="1"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P37" s="106"/>
      <c r="Q37" s="108"/>
      <c r="R37" s="106"/>
    </row>
    <row r="38" spans="1:18">
      <c r="B38" s="103" t="s">
        <v>57</v>
      </c>
      <c r="D38" s="114">
        <f>+D29+D36</f>
        <v>45449523.708999999</v>
      </c>
      <c r="E38" s="114">
        <f>+E29+E36</f>
        <v>40861119.280000001</v>
      </c>
      <c r="F38" s="114">
        <f>+F29+F36</f>
        <v>57473255.379999995</v>
      </c>
      <c r="G38" s="114">
        <f>+G29+G36</f>
        <v>56352274.100000001</v>
      </c>
      <c r="H38" s="114">
        <f>+H29+H36</f>
        <v>56168178.547499999</v>
      </c>
      <c r="I38" s="114">
        <f t="shared" ref="I38:N38" si="5">+I29+I36</f>
        <v>58231210</v>
      </c>
      <c r="J38" s="114">
        <f t="shared" si="5"/>
        <v>58676555</v>
      </c>
      <c r="K38" s="114">
        <f t="shared" si="5"/>
        <v>55899755</v>
      </c>
      <c r="L38" s="114">
        <f t="shared" si="5"/>
        <v>62876369</v>
      </c>
      <c r="M38" s="114">
        <f t="shared" si="5"/>
        <v>61048234</v>
      </c>
      <c r="N38" s="114">
        <f t="shared" si="5"/>
        <v>48192279</v>
      </c>
      <c r="O38" s="108"/>
      <c r="P38" s="114">
        <f>+P29+P36</f>
        <v>51076764</v>
      </c>
      <c r="Q38" s="108"/>
      <c r="R38" s="114">
        <f>+R29+R36</f>
        <v>54391738</v>
      </c>
    </row>
    <row r="39" spans="1:18"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8"/>
      <c r="P39" s="106"/>
      <c r="Q39" s="108"/>
      <c r="R39" s="106"/>
    </row>
    <row r="40" spans="1:18">
      <c r="A40" s="29" t="s">
        <v>77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P40" s="106"/>
      <c r="Q40" s="108"/>
      <c r="R40" s="106"/>
    </row>
    <row r="41" spans="1:18" ht="9.75" customHeight="1"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P41" s="106"/>
      <c r="Q41" s="108"/>
      <c r="R41" s="106"/>
    </row>
    <row r="42" spans="1:18">
      <c r="A42" s="29" t="s">
        <v>111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P42" s="106"/>
      <c r="Q42" s="108"/>
      <c r="R42" s="106"/>
    </row>
    <row r="43" spans="1:18">
      <c r="B43" s="101" t="s">
        <v>58</v>
      </c>
      <c r="C43" s="99" t="s">
        <v>446</v>
      </c>
      <c r="D43" s="110">
        <f>'Bilanci Alpha'!D99</f>
        <v>0</v>
      </c>
      <c r="E43" s="110">
        <f>'Bilanci Alpha'!E99</f>
        <v>0</v>
      </c>
      <c r="F43" s="110">
        <f>'Bilanci Alpha'!F99</f>
        <v>0</v>
      </c>
      <c r="G43" s="110">
        <f>'Bilanci Alpha'!G99</f>
        <v>0</v>
      </c>
      <c r="H43" s="110">
        <f>'Bilanci Alpha'!H99</f>
        <v>0</v>
      </c>
      <c r="I43" s="110">
        <f>'Bilanci Alpha'!I99</f>
        <v>0</v>
      </c>
      <c r="J43" s="110">
        <f>'Bilanci Alpha'!J99</f>
        <v>0</v>
      </c>
      <c r="K43" s="110">
        <f>'Bilanci Alpha'!K99</f>
        <v>35994847</v>
      </c>
      <c r="L43" s="110">
        <f>'Bilanci Alpha'!L99</f>
        <v>44053275</v>
      </c>
      <c r="M43" s="110">
        <f>'Bilanci Alpha'!M99</f>
        <v>49932873</v>
      </c>
      <c r="N43" s="110">
        <f>'Bilanci Alpha'!N99</f>
        <v>7924580</v>
      </c>
      <c r="P43" s="110">
        <f>'Bilanci Alpha'!O99</f>
        <v>31329282</v>
      </c>
      <c r="Q43" s="108"/>
      <c r="R43" s="110">
        <f>'Bilanci Alpha'!P99</f>
        <v>14802280</v>
      </c>
    </row>
    <row r="44" spans="1:18">
      <c r="B44" s="101" t="s">
        <v>59</v>
      </c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P44" s="111">
        <v>0</v>
      </c>
      <c r="Q44" s="108"/>
      <c r="R44" s="111">
        <v>0</v>
      </c>
    </row>
    <row r="45" spans="1:18">
      <c r="B45" s="102" t="s">
        <v>60</v>
      </c>
      <c r="C45" s="99" t="s">
        <v>445</v>
      </c>
      <c r="D45" s="106">
        <f>'Bilanci Alpha'!D102</f>
        <v>3125119</v>
      </c>
      <c r="E45" s="106">
        <f>'Bilanci Alpha'!E102</f>
        <v>5219399.3499999996</v>
      </c>
      <c r="F45" s="106">
        <f>'Bilanci Alpha'!F102</f>
        <v>17111831</v>
      </c>
      <c r="G45" s="106">
        <f>'Bilanci Alpha'!G102</f>
        <v>22394775</v>
      </c>
      <c r="H45" s="106">
        <f>'Bilanci Alpha'!H102</f>
        <v>20632716.419999998</v>
      </c>
      <c r="I45" s="106">
        <f>'Bilanci Alpha'!I102</f>
        <v>16097832.199999999</v>
      </c>
      <c r="J45" s="106">
        <f>'Bilanci Alpha'!J102</f>
        <v>7878046</v>
      </c>
      <c r="K45" s="106">
        <f>'Bilanci Alpha'!K102</f>
        <v>5528943</v>
      </c>
      <c r="L45" s="106">
        <f>'Bilanci Alpha'!L102</f>
        <v>6485898</v>
      </c>
      <c r="M45" s="106">
        <f>'Bilanci Alpha'!M102</f>
        <v>1627585</v>
      </c>
      <c r="N45" s="106">
        <f>'Bilanci Alpha'!N102</f>
        <v>2474626</v>
      </c>
      <c r="P45" s="106">
        <f>'Bilanci Alpha'!O102</f>
        <v>1617497</v>
      </c>
      <c r="Q45" s="108"/>
      <c r="R45" s="106">
        <f>'Bilanci Alpha'!P102</f>
        <v>1031500</v>
      </c>
    </row>
    <row r="46" spans="1:18">
      <c r="B46" s="102" t="s">
        <v>61</v>
      </c>
      <c r="D46" s="110">
        <f>+'Bilanci Alpha'!D103</f>
        <v>747800</v>
      </c>
      <c r="E46" s="110">
        <f>+'Bilanci Alpha'!E103</f>
        <v>975000</v>
      </c>
      <c r="F46" s="110">
        <f>+'Bilanci Alpha'!F103</f>
        <v>7061408</v>
      </c>
      <c r="G46" s="110">
        <f>+'Bilanci Alpha'!G103</f>
        <v>2353210.7200000002</v>
      </c>
      <c r="H46" s="110">
        <f>+'Bilanci Alpha'!H103</f>
        <v>1444881</v>
      </c>
      <c r="I46" s="110">
        <f>+'Bilanci Alpha'!I103</f>
        <v>908618</v>
      </c>
      <c r="J46" s="110">
        <f>+'Bilanci Alpha'!J103</f>
        <v>0</v>
      </c>
      <c r="K46" s="110">
        <f>+'Bilanci Alpha'!K103</f>
        <v>0</v>
      </c>
      <c r="L46" s="110">
        <f>+'Bilanci Alpha'!L103</f>
        <v>1182576</v>
      </c>
      <c r="M46" s="110">
        <f>+'Bilanci Alpha'!M103</f>
        <v>924132</v>
      </c>
      <c r="N46" s="110">
        <f>+'Bilanci Alpha'!N103</f>
        <v>91680</v>
      </c>
      <c r="P46" s="110">
        <f>+'Bilanci Alpha'!O103</f>
        <v>0</v>
      </c>
      <c r="Q46" s="108"/>
      <c r="R46" s="110">
        <f>+'Bilanci Alpha'!P103</f>
        <v>0</v>
      </c>
    </row>
    <row r="47" spans="1:18">
      <c r="B47" s="102" t="s">
        <v>8</v>
      </c>
      <c r="C47" s="99" t="s">
        <v>448</v>
      </c>
      <c r="D47" s="106">
        <f>+'Bilanci Alpha'!D104+'Bilanci Alpha'!D105</f>
        <v>705499</v>
      </c>
      <c r="E47" s="106">
        <f>+'Bilanci Alpha'!E104+'Bilanci Alpha'!E105</f>
        <v>949654</v>
      </c>
      <c r="F47" s="106">
        <f>+'Bilanci Alpha'!F104+'Bilanci Alpha'!F105</f>
        <v>982109</v>
      </c>
      <c r="G47" s="106">
        <f>+'Bilanci Alpha'!G104+'Bilanci Alpha'!G105</f>
        <v>667433</v>
      </c>
      <c r="H47" s="106">
        <f>+'Bilanci Alpha'!H104+'Bilanci Alpha'!H105</f>
        <v>353298</v>
      </c>
      <c r="I47" s="106">
        <f>+'Bilanci Alpha'!I104+'Bilanci Alpha'!I105</f>
        <v>834340</v>
      </c>
      <c r="J47" s="106">
        <f>+'Bilanci Alpha'!J104+'Bilanci Alpha'!J105</f>
        <v>565234</v>
      </c>
      <c r="K47" s="106">
        <f>+'Bilanci Alpha'!K104+'Bilanci Alpha'!K105</f>
        <v>489935</v>
      </c>
      <c r="L47" s="106">
        <f>+'Bilanci Alpha'!L104+'Bilanci Alpha'!L105</f>
        <v>526280</v>
      </c>
      <c r="M47" s="106">
        <f>+'Bilanci Alpha'!M104+'Bilanci Alpha'!M105</f>
        <v>558132</v>
      </c>
      <c r="N47" s="106">
        <f>+'Bilanci Alpha'!N104+'Bilanci Alpha'!N105</f>
        <v>538847</v>
      </c>
      <c r="P47" s="106">
        <f>+'Bilanci Alpha'!O104+'Bilanci Alpha'!O105</f>
        <v>596758</v>
      </c>
      <c r="Q47" s="108"/>
      <c r="R47" s="106">
        <f>+'Bilanci Alpha'!P104+'Bilanci Alpha'!P105</f>
        <v>483650</v>
      </c>
    </row>
    <row r="48" spans="1:18">
      <c r="B48" s="102" t="s">
        <v>95</v>
      </c>
      <c r="C48" s="99" t="s">
        <v>449</v>
      </c>
      <c r="D48" s="110">
        <f>+'Bilanci Alpha'!D107+'Bilanci Alpha'!D106</f>
        <v>0</v>
      </c>
      <c r="E48" s="110">
        <f>+'Bilanci Alpha'!E107+'Bilanci Alpha'!E106</f>
        <v>0</v>
      </c>
      <c r="F48" s="110">
        <f>+'Bilanci Alpha'!F107+'Bilanci Alpha'!F106</f>
        <v>5810000</v>
      </c>
      <c r="G48" s="110">
        <f>+'Bilanci Alpha'!G107+'Bilanci Alpha'!G106</f>
        <v>6852500</v>
      </c>
      <c r="H48" s="110">
        <f>+'Bilanci Alpha'!H107+'Bilanci Alpha'!H106</f>
        <v>11060000</v>
      </c>
      <c r="I48" s="110">
        <f>+'Bilanci Alpha'!I107+'Bilanci Alpha'!I106</f>
        <v>20392500</v>
      </c>
      <c r="J48" s="110">
        <f>+'Bilanci Alpha'!J107+'Bilanci Alpha'!J106</f>
        <v>33680842</v>
      </c>
      <c r="K48" s="110">
        <f>+'Bilanci Alpha'!K107+'Bilanci Alpha'!K106</f>
        <v>0</v>
      </c>
      <c r="L48" s="110">
        <f>+'Bilanci Alpha'!L107+'Bilanci Alpha'!L106</f>
        <v>0</v>
      </c>
      <c r="M48" s="110">
        <f>+'Bilanci Alpha'!M107+'Bilanci Alpha'!M106</f>
        <v>0</v>
      </c>
      <c r="N48" s="110">
        <f>+'Bilanci Alpha'!N107+'Bilanci Alpha'!N106</f>
        <v>27082338</v>
      </c>
      <c r="P48" s="110">
        <f>+'Bilanci Alpha'!O107+'Bilanci Alpha'!O106</f>
        <v>7224401</v>
      </c>
      <c r="Q48" s="108"/>
      <c r="R48" s="110">
        <f>+'Bilanci Alpha'!P107+'Bilanci Alpha'!P106</f>
        <v>22780723</v>
      </c>
    </row>
    <row r="49" spans="1:22">
      <c r="B49" s="102" t="s">
        <v>62</v>
      </c>
      <c r="D49" s="110">
        <v>0</v>
      </c>
      <c r="E49" s="110">
        <v>0</v>
      </c>
      <c r="F49" s="110">
        <v>0</v>
      </c>
      <c r="G49" s="110">
        <v>0</v>
      </c>
      <c r="H49" s="110">
        <v>0</v>
      </c>
      <c r="I49" s="110">
        <v>0</v>
      </c>
      <c r="J49" s="110">
        <v>0</v>
      </c>
      <c r="K49" s="110">
        <v>0</v>
      </c>
      <c r="L49" s="110">
        <v>0</v>
      </c>
      <c r="M49" s="110">
        <v>0</v>
      </c>
      <c r="N49" s="110">
        <v>0</v>
      </c>
      <c r="P49" s="110">
        <v>0</v>
      </c>
      <c r="Q49" s="108"/>
      <c r="R49" s="110">
        <v>0</v>
      </c>
    </row>
    <row r="50" spans="1:22">
      <c r="B50" s="102" t="s">
        <v>63</v>
      </c>
      <c r="C50" s="99" t="s">
        <v>447</v>
      </c>
      <c r="D50" s="110">
        <f>+'Bilanci Alpha'!D93</f>
        <v>0</v>
      </c>
      <c r="E50" s="110">
        <f>+'Bilanci Alpha'!E93</f>
        <v>0</v>
      </c>
      <c r="F50" s="110">
        <f>+'Bilanci Alpha'!F93</f>
        <v>0</v>
      </c>
      <c r="G50" s="110">
        <f>+'Bilanci Alpha'!G93</f>
        <v>0</v>
      </c>
      <c r="H50" s="110">
        <f>+'Bilanci Alpha'!H93</f>
        <v>0</v>
      </c>
      <c r="I50" s="110">
        <f>+'Bilanci Alpha'!I93</f>
        <v>0</v>
      </c>
      <c r="J50" s="110">
        <f>+'Bilanci Alpha'!J93</f>
        <v>0</v>
      </c>
      <c r="K50" s="110">
        <f>+'Bilanci Alpha'!K93</f>
        <v>0</v>
      </c>
      <c r="L50" s="110">
        <f>+'Bilanci Alpha'!L93</f>
        <v>0</v>
      </c>
      <c r="M50" s="110">
        <f>+'Bilanci Alpha'!M93</f>
        <v>0</v>
      </c>
      <c r="N50" s="110">
        <f>+'Bilanci Alpha'!N93</f>
        <v>0</v>
      </c>
      <c r="P50" s="110">
        <f>+'Bilanci Alpha'!O93</f>
        <v>0</v>
      </c>
      <c r="Q50" s="108"/>
      <c r="R50" s="110">
        <f>+'Bilanci Alpha'!P93</f>
        <v>0</v>
      </c>
    </row>
    <row r="51" spans="1:22">
      <c r="B51" s="101" t="s">
        <v>98</v>
      </c>
      <c r="D51" s="110">
        <v>0</v>
      </c>
      <c r="E51" s="110">
        <v>0</v>
      </c>
      <c r="F51" s="110">
        <v>0</v>
      </c>
      <c r="G51" s="110">
        <v>0</v>
      </c>
      <c r="H51" s="110">
        <v>0</v>
      </c>
      <c r="I51" s="110">
        <v>0</v>
      </c>
      <c r="J51" s="110">
        <v>0</v>
      </c>
      <c r="K51" s="110">
        <v>0</v>
      </c>
      <c r="L51" s="110">
        <v>0</v>
      </c>
      <c r="M51" s="110">
        <v>0</v>
      </c>
      <c r="N51" s="110">
        <v>0</v>
      </c>
      <c r="P51" s="110">
        <v>0</v>
      </c>
      <c r="Q51" s="108"/>
      <c r="R51" s="110">
        <v>0</v>
      </c>
    </row>
    <row r="52" spans="1:22">
      <c r="B52" s="101" t="s">
        <v>64</v>
      </c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P52" s="111">
        <v>0</v>
      </c>
      <c r="Q52" s="108"/>
      <c r="R52" s="111">
        <v>0</v>
      </c>
    </row>
    <row r="53" spans="1:22">
      <c r="B53" s="101" t="s">
        <v>65</v>
      </c>
      <c r="D53" s="111">
        <v>0</v>
      </c>
      <c r="E53" s="111">
        <v>0</v>
      </c>
      <c r="F53" s="111">
        <v>0</v>
      </c>
      <c r="G53" s="111">
        <v>0</v>
      </c>
      <c r="H53" s="111">
        <v>0</v>
      </c>
      <c r="I53" s="111">
        <v>0</v>
      </c>
      <c r="J53" s="111">
        <v>0</v>
      </c>
      <c r="K53" s="111">
        <v>0</v>
      </c>
      <c r="L53" s="111">
        <v>0</v>
      </c>
      <c r="M53" s="111">
        <v>0</v>
      </c>
      <c r="N53" s="111">
        <v>0</v>
      </c>
      <c r="P53" s="111">
        <v>0</v>
      </c>
      <c r="Q53" s="108"/>
      <c r="R53" s="111">
        <v>0</v>
      </c>
    </row>
    <row r="54" spans="1:22">
      <c r="B54" s="101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P54" s="106"/>
      <c r="Q54" s="108"/>
      <c r="R54" s="106"/>
    </row>
    <row r="55" spans="1:22" ht="16.5" thickBot="1">
      <c r="B55" s="112" t="s">
        <v>66</v>
      </c>
      <c r="D55" s="113">
        <f>SUM(D43:D54)</f>
        <v>4578418</v>
      </c>
      <c r="E55" s="113">
        <f>SUM(E43:E54)</f>
        <v>7144053.3499999996</v>
      </c>
      <c r="F55" s="113">
        <f>SUM(F43:F54)</f>
        <v>30965348</v>
      </c>
      <c r="G55" s="113">
        <f>SUM(G43:G54)</f>
        <v>32267918.719999999</v>
      </c>
      <c r="H55" s="113">
        <f>SUM(H43:H54)</f>
        <v>33490895.419999998</v>
      </c>
      <c r="I55" s="113">
        <f t="shared" ref="I55:N55" si="6">SUM(I43:I54)</f>
        <v>38233290.200000003</v>
      </c>
      <c r="J55" s="113">
        <f t="shared" si="6"/>
        <v>42124122</v>
      </c>
      <c r="K55" s="113">
        <f t="shared" si="6"/>
        <v>42013725</v>
      </c>
      <c r="L55" s="113">
        <f t="shared" si="6"/>
        <v>52248029</v>
      </c>
      <c r="M55" s="113">
        <f t="shared" si="6"/>
        <v>53042722</v>
      </c>
      <c r="N55" s="113">
        <f t="shared" si="6"/>
        <v>38112071</v>
      </c>
      <c r="P55" s="113">
        <f>SUM(P43:P54)</f>
        <v>40767938</v>
      </c>
      <c r="Q55" s="108"/>
      <c r="R55" s="113">
        <f>SUM(R43:R54)</f>
        <v>39098153</v>
      </c>
      <c r="U55" s="98"/>
      <c r="V55" s="98"/>
    </row>
    <row r="56" spans="1:22" ht="16.5" thickTop="1">
      <c r="A56" s="29" t="s">
        <v>67</v>
      </c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P56" s="106"/>
      <c r="Q56" s="108"/>
      <c r="R56" s="106"/>
      <c r="U56" s="98"/>
      <c r="V56" s="98"/>
    </row>
    <row r="57" spans="1:22">
      <c r="B57" s="101" t="s">
        <v>68</v>
      </c>
      <c r="C57" s="99">
        <v>6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P57" s="110">
        <f>'Bilanci Alpha'!O90</f>
        <v>2440282</v>
      </c>
      <c r="Q57" s="108"/>
      <c r="R57" s="110">
        <f>'Bilanci Alpha'!P90</f>
        <v>9201526</v>
      </c>
      <c r="U57" s="98"/>
      <c r="V57" s="98"/>
    </row>
    <row r="58" spans="1:22">
      <c r="B58" s="101" t="s">
        <v>69</v>
      </c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08"/>
      <c r="R58" s="110"/>
      <c r="U58" s="98"/>
      <c r="V58" s="98"/>
    </row>
    <row r="59" spans="1:22">
      <c r="B59" s="101" t="s">
        <v>70</v>
      </c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10">
        <v>0</v>
      </c>
      <c r="N59" s="110">
        <v>0</v>
      </c>
      <c r="O59" s="110"/>
      <c r="P59" s="110">
        <v>0</v>
      </c>
      <c r="Q59" s="108"/>
      <c r="R59" s="110">
        <v>0</v>
      </c>
    </row>
    <row r="60" spans="1:22">
      <c r="B60" s="101" t="s">
        <v>64</v>
      </c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P60" s="106"/>
      <c r="Q60" s="108"/>
      <c r="R60" s="106"/>
    </row>
    <row r="61" spans="1:22" ht="16.5" thickBot="1">
      <c r="B61" s="112" t="s">
        <v>71</v>
      </c>
      <c r="D61" s="113">
        <f>SUM(D57:D60)</f>
        <v>0</v>
      </c>
      <c r="E61" s="113">
        <f>SUM(E57:E60)</f>
        <v>0</v>
      </c>
      <c r="F61" s="113">
        <f>SUM(F57:F60)</f>
        <v>0</v>
      </c>
      <c r="G61" s="113">
        <f>SUM(G57:G60)</f>
        <v>0</v>
      </c>
      <c r="H61" s="113">
        <f>SUM(H57:H60)</f>
        <v>0</v>
      </c>
      <c r="I61" s="113">
        <f t="shared" ref="I61:N61" si="7">SUM(I57:I60)</f>
        <v>0</v>
      </c>
      <c r="J61" s="113">
        <f t="shared" si="7"/>
        <v>0</v>
      </c>
      <c r="K61" s="113">
        <f t="shared" si="7"/>
        <v>0</v>
      </c>
      <c r="L61" s="113">
        <f t="shared" si="7"/>
        <v>0</v>
      </c>
      <c r="M61" s="113">
        <f t="shared" si="7"/>
        <v>0</v>
      </c>
      <c r="N61" s="113">
        <f t="shared" si="7"/>
        <v>0</v>
      </c>
      <c r="P61" s="115">
        <f>SUM(P57:P60)</f>
        <v>2440282</v>
      </c>
      <c r="Q61" s="108"/>
      <c r="R61" s="115">
        <f>SUM(R57:R60)</f>
        <v>9201526</v>
      </c>
      <c r="U61" s="116"/>
    </row>
    <row r="62" spans="1:22" ht="12.75" customHeight="1" thickTop="1"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P62" s="106"/>
      <c r="Q62" s="108"/>
      <c r="R62" s="106"/>
    </row>
    <row r="63" spans="1:22">
      <c r="A63" s="29" t="s">
        <v>72</v>
      </c>
      <c r="Q63" s="108"/>
      <c r="U63" s="116"/>
    </row>
    <row r="64" spans="1:22">
      <c r="B64" s="101" t="s">
        <v>40</v>
      </c>
      <c r="C64" s="99">
        <v>7</v>
      </c>
      <c r="D64" s="106">
        <f>+'Bilanci Alpha'!D70</f>
        <v>10000000</v>
      </c>
      <c r="E64" s="106">
        <f>+'Bilanci Alpha'!E70</f>
        <v>10000000</v>
      </c>
      <c r="F64" s="106">
        <f>+'Bilanci Alpha'!F70</f>
        <v>10000000</v>
      </c>
      <c r="G64" s="106">
        <f>+'Bilanci Alpha'!G70</f>
        <v>10000000</v>
      </c>
      <c r="H64" s="106">
        <f>+'Bilanci Alpha'!H70</f>
        <v>10000000</v>
      </c>
      <c r="I64" s="106">
        <f>+'Bilanci Alpha'!I70</f>
        <v>10000000</v>
      </c>
      <c r="J64" s="106">
        <f>+'Bilanci Alpha'!J70</f>
        <v>10000000</v>
      </c>
      <c r="K64" s="106">
        <f>+'Bilanci Alpha'!K70</f>
        <v>10000000</v>
      </c>
      <c r="L64" s="106">
        <f>+'Bilanci Alpha'!L70</f>
        <v>7800000</v>
      </c>
      <c r="M64" s="106">
        <f>+'Bilanci Alpha'!M70</f>
        <v>7800000</v>
      </c>
      <c r="N64" s="106">
        <f>+'Bilanci Alpha'!N70</f>
        <v>7800000</v>
      </c>
      <c r="P64" s="106">
        <v>100000</v>
      </c>
      <c r="Q64" s="108"/>
      <c r="R64" s="106">
        <v>100000</v>
      </c>
    </row>
    <row r="65" spans="2:21">
      <c r="B65" s="101" t="s">
        <v>430</v>
      </c>
      <c r="C65" s="99">
        <v>7</v>
      </c>
      <c r="D65" s="106">
        <f>+'Bilanci Alpha'!D71</f>
        <v>0</v>
      </c>
      <c r="E65" s="106">
        <f>+'Bilanci Alpha'!E71</f>
        <v>0</v>
      </c>
      <c r="F65" s="106">
        <f>+'Bilanci Alpha'!F71</f>
        <v>0</v>
      </c>
      <c r="G65" s="106">
        <f>+'Bilanci Alpha'!G71</f>
        <v>0</v>
      </c>
      <c r="H65" s="106">
        <f>+'Bilanci Alpha'!H71</f>
        <v>0</v>
      </c>
      <c r="I65" s="106">
        <f>+'Bilanci Alpha'!I71</f>
        <v>0</v>
      </c>
      <c r="J65" s="106">
        <f>+'Bilanci Alpha'!J71</f>
        <v>0</v>
      </c>
      <c r="K65" s="106">
        <f>+'Bilanci Alpha'!K71</f>
        <v>0</v>
      </c>
      <c r="L65" s="106">
        <f>+'Bilanci Alpha'!L71</f>
        <v>0</v>
      </c>
      <c r="M65" s="106">
        <f>+'Bilanci Alpha'!M71</f>
        <v>0</v>
      </c>
      <c r="N65" s="106">
        <f>+'Bilanci Alpha'!N71</f>
        <v>0</v>
      </c>
      <c r="P65" s="110">
        <v>0</v>
      </c>
      <c r="Q65" s="108"/>
      <c r="R65" s="110">
        <v>0</v>
      </c>
    </row>
    <row r="66" spans="2:21">
      <c r="B66" s="101" t="s">
        <v>73</v>
      </c>
      <c r="D66" s="110">
        <f>+'Bilanci Alpha'!D75</f>
        <v>615340</v>
      </c>
      <c r="E66" s="110">
        <f>+'Bilanci Alpha'!E75</f>
        <v>615340</v>
      </c>
      <c r="F66" s="110">
        <f>+'Bilanci Alpha'!F75</f>
        <v>615340</v>
      </c>
      <c r="G66" s="110">
        <f>+'Bilanci Alpha'!G75</f>
        <v>615340</v>
      </c>
      <c r="H66" s="110">
        <f>+'Bilanci Alpha'!H75</f>
        <v>615340</v>
      </c>
      <c r="I66" s="110">
        <f>+'Bilanci Alpha'!I75</f>
        <v>615340</v>
      </c>
      <c r="J66" s="110">
        <f>+'Bilanci Alpha'!J75</f>
        <v>615340</v>
      </c>
      <c r="K66" s="110">
        <f>+'Bilanci Alpha'!K75</f>
        <v>615340</v>
      </c>
      <c r="L66" s="110">
        <f>+'Bilanci Alpha'!L75</f>
        <v>55544</v>
      </c>
      <c r="M66" s="110">
        <f>+'Bilanci Alpha'!M75</f>
        <v>55544</v>
      </c>
      <c r="N66" s="110">
        <f>+'Bilanci Alpha'!N75</f>
        <v>55544</v>
      </c>
      <c r="P66" s="110">
        <f>+'Bilanci Alpha'!O75</f>
        <v>20000</v>
      </c>
      <c r="Q66" s="108"/>
      <c r="R66" s="110">
        <f>+'Bilanci Alpha'!P75</f>
        <v>20000</v>
      </c>
      <c r="U66" s="116"/>
    </row>
    <row r="67" spans="2:21">
      <c r="B67" s="101" t="s">
        <v>74</v>
      </c>
      <c r="D67" s="110">
        <f>+'Bilanci Alpha'!D74</f>
        <v>13000</v>
      </c>
      <c r="E67" s="110">
        <f>+'Bilanci Alpha'!E74</f>
        <v>13000</v>
      </c>
      <c r="F67" s="110">
        <f>+'Bilanci Alpha'!F74</f>
        <v>13000</v>
      </c>
      <c r="G67" s="110">
        <f>+'Bilanci Alpha'!G74</f>
        <v>13000</v>
      </c>
      <c r="H67" s="110">
        <f>+'Bilanci Alpha'!H74</f>
        <v>13000</v>
      </c>
      <c r="I67" s="110">
        <f>+'Bilanci Alpha'!I74</f>
        <v>13000</v>
      </c>
      <c r="J67" s="110">
        <f>+'Bilanci Alpha'!J74</f>
        <v>13000</v>
      </c>
      <c r="K67" s="110">
        <f>+'Bilanci Alpha'!K74</f>
        <v>13000</v>
      </c>
      <c r="L67" s="110">
        <f>+'Bilanci Alpha'!L74</f>
        <v>13000</v>
      </c>
      <c r="M67" s="110">
        <f>+'Bilanci Alpha'!M74</f>
        <v>13000</v>
      </c>
      <c r="N67" s="110">
        <f>+'Bilanci Alpha'!N74</f>
        <v>13000</v>
      </c>
      <c r="P67" s="110">
        <f>+'Bilanci Alpha'!O74</f>
        <v>13000</v>
      </c>
      <c r="Q67" s="108"/>
      <c r="R67" s="110">
        <f>+'Bilanci Alpha'!P74</f>
        <v>13000</v>
      </c>
    </row>
    <row r="68" spans="2:21">
      <c r="B68" s="101" t="s">
        <v>9</v>
      </c>
      <c r="D68" s="110">
        <f>+'Bilanci Alpha'!D76</f>
        <v>0</v>
      </c>
      <c r="E68" s="110">
        <f>+'Bilanci Alpha'!E76</f>
        <v>0</v>
      </c>
      <c r="F68" s="110">
        <f>+'Bilanci Alpha'!F76</f>
        <v>0</v>
      </c>
      <c r="G68" s="110">
        <f>+'Bilanci Alpha'!G76</f>
        <v>0</v>
      </c>
      <c r="H68" s="110">
        <f>+'Bilanci Alpha'!H76</f>
        <v>0</v>
      </c>
      <c r="I68" s="110">
        <f>+'Bilanci Alpha'!I76</f>
        <v>0</v>
      </c>
      <c r="J68" s="110">
        <f>+'Bilanci Alpha'!J76</f>
        <v>0</v>
      </c>
      <c r="K68" s="110">
        <f>+'Bilanci Alpha'!K76</f>
        <v>0</v>
      </c>
      <c r="L68" s="110">
        <f>+'Bilanci Alpha'!L76</f>
        <v>0</v>
      </c>
      <c r="M68" s="110">
        <f>+'Bilanci Alpha'!M76</f>
        <v>0</v>
      </c>
      <c r="N68" s="110">
        <f>+'Bilanci Alpha'!N76</f>
        <v>0</v>
      </c>
      <c r="P68" s="110">
        <f>+'Bilanci Alpha'!O76</f>
        <v>0</v>
      </c>
      <c r="Q68" s="108"/>
      <c r="R68" s="110">
        <f>+'Bilanci Alpha'!P76</f>
        <v>0</v>
      </c>
    </row>
    <row r="69" spans="2:21">
      <c r="B69" s="101" t="s">
        <v>75</v>
      </c>
      <c r="C69" s="99">
        <v>7</v>
      </c>
      <c r="D69" s="106">
        <f>+'Bilanci Alpha'!D77</f>
        <v>23088725.927499995</v>
      </c>
      <c r="E69" s="106">
        <f>+'Bilanci Alpha'!E77</f>
        <v>15879567.377499994</v>
      </c>
      <c r="F69" s="106">
        <f>+'Bilanci Alpha'!F77</f>
        <v>13456015.377499994</v>
      </c>
      <c r="G69" s="106">
        <f>+'Bilanci Alpha'!G77</f>
        <v>12048943.127499994</v>
      </c>
      <c r="H69" s="106">
        <f>+'Bilanci Alpha'!H77</f>
        <v>9369579.8000000007</v>
      </c>
      <c r="I69" s="106">
        <f>+'Bilanci Alpha'!I77</f>
        <v>5924093</v>
      </c>
      <c r="J69" s="106">
        <f>+'Bilanci Alpha'!J77</f>
        <v>3257690</v>
      </c>
      <c r="K69" s="106">
        <f>+'Bilanci Alpha'!K77</f>
        <v>0</v>
      </c>
      <c r="L69" s="106">
        <f>+'Bilanci Alpha'!L77</f>
        <v>0</v>
      </c>
      <c r="M69" s="106">
        <f>+'Bilanci Alpha'!M77</f>
        <v>2211664</v>
      </c>
      <c r="N69" s="106">
        <f>+'Bilanci Alpha'!N77</f>
        <v>0</v>
      </c>
      <c r="P69" s="106">
        <f>+'Bilanci Alpha'!O77</f>
        <v>5959059</v>
      </c>
      <c r="Q69" s="108"/>
      <c r="R69" s="106">
        <f>+'Bilanci Alpha'!P77</f>
        <v>3934495</v>
      </c>
    </row>
    <row r="70" spans="2:21">
      <c r="B70" s="101" t="s">
        <v>76</v>
      </c>
      <c r="C70" s="99">
        <v>7</v>
      </c>
      <c r="D70" s="106">
        <f>+'Bilanci Alpha'!D78</f>
        <v>7154039.7825000025</v>
      </c>
      <c r="E70" s="106">
        <f>+'Bilanci Alpha'!E78</f>
        <v>7209158.5499999998</v>
      </c>
      <c r="F70" s="106">
        <f>+'Bilanci Alpha'!F78</f>
        <v>2423552</v>
      </c>
      <c r="G70" s="106">
        <f>+'Bilanci Alpha'!G78</f>
        <v>1407072.25</v>
      </c>
      <c r="H70" s="106">
        <f>+'Bilanci Alpha'!H78</f>
        <v>2679363.3274999922</v>
      </c>
      <c r="I70" s="106">
        <f>+'Bilanci Alpha'!I78</f>
        <v>3445486.8</v>
      </c>
      <c r="J70" s="106">
        <f>+'Bilanci Alpha'!J78</f>
        <v>2666403</v>
      </c>
      <c r="K70" s="106">
        <f>+'Bilanci Alpha'!K78</f>
        <v>3257690</v>
      </c>
      <c r="L70" s="106">
        <f>+'Bilanci Alpha'!L78</f>
        <v>2759796</v>
      </c>
      <c r="M70" s="106">
        <f>+'Bilanci Alpha'!M78</f>
        <v>-2074696</v>
      </c>
      <c r="N70" s="106">
        <f>+'Bilanci Alpha'!N78</f>
        <v>2211664</v>
      </c>
      <c r="P70" s="106">
        <f>+'Bilanci Alpha'!O78</f>
        <v>1776485</v>
      </c>
      <c r="Q70" s="108"/>
      <c r="R70" s="106">
        <f>+'Bilanci Alpha'!P78</f>
        <v>2024564</v>
      </c>
    </row>
    <row r="71" spans="2:21" ht="16.5" thickBot="1">
      <c r="B71" s="112" t="s">
        <v>130</v>
      </c>
      <c r="D71" s="113">
        <f>SUM(D64:D70)</f>
        <v>40871105.709999993</v>
      </c>
      <c r="E71" s="113">
        <f>SUM(E64:E70)</f>
        <v>33717065.927499995</v>
      </c>
      <c r="F71" s="113">
        <f>SUM(F64:F70)</f>
        <v>26507907.377499994</v>
      </c>
      <c r="G71" s="113">
        <f>SUM(G64:G70)</f>
        <v>24084355.377499994</v>
      </c>
      <c r="H71" s="113">
        <f>SUM(H64:H70)</f>
        <v>22677283.127499994</v>
      </c>
      <c r="I71" s="113">
        <f t="shared" ref="I71:N71" si="8">SUM(I64:I70)</f>
        <v>19997919.800000001</v>
      </c>
      <c r="J71" s="113">
        <f t="shared" si="8"/>
        <v>16552433</v>
      </c>
      <c r="K71" s="113">
        <f t="shared" si="8"/>
        <v>13886030</v>
      </c>
      <c r="L71" s="113">
        <f t="shared" si="8"/>
        <v>10628340</v>
      </c>
      <c r="M71" s="113">
        <f t="shared" si="8"/>
        <v>8005512</v>
      </c>
      <c r="N71" s="113">
        <f t="shared" si="8"/>
        <v>10080208</v>
      </c>
      <c r="P71" s="113">
        <f>SUM(P64:P70)</f>
        <v>7868544</v>
      </c>
      <c r="Q71" s="108"/>
      <c r="R71" s="113">
        <f>SUM(R64:R70)</f>
        <v>6092059</v>
      </c>
    </row>
    <row r="72" spans="2:21" ht="16.5" thickTop="1">
      <c r="B72" s="1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P72" s="110"/>
      <c r="R72" s="110"/>
    </row>
    <row r="73" spans="2:21">
      <c r="B73" s="112" t="s">
        <v>78</v>
      </c>
      <c r="D73" s="114">
        <f>+D71+D61+D55</f>
        <v>45449523.709999993</v>
      </c>
      <c r="E73" s="114">
        <f>+E71+E61+E55</f>
        <v>40861119.277499996</v>
      </c>
      <c r="F73" s="114">
        <f>+F71+F61+F55</f>
        <v>57473255.377499998</v>
      </c>
      <c r="G73" s="114">
        <f>+G71+G61+G55</f>
        <v>56352274.097499996</v>
      </c>
      <c r="H73" s="114">
        <f>+H71+H61+H55</f>
        <v>56168178.547499992</v>
      </c>
      <c r="I73" s="114">
        <f t="shared" ref="I73:N73" si="9">+I71+I61+I55</f>
        <v>58231210</v>
      </c>
      <c r="J73" s="114">
        <f t="shared" si="9"/>
        <v>58676555</v>
      </c>
      <c r="K73" s="114">
        <f t="shared" si="9"/>
        <v>55899755</v>
      </c>
      <c r="L73" s="114">
        <f t="shared" si="9"/>
        <v>62876369</v>
      </c>
      <c r="M73" s="114">
        <f t="shared" si="9"/>
        <v>61048234</v>
      </c>
      <c r="N73" s="114">
        <f t="shared" si="9"/>
        <v>48192279</v>
      </c>
      <c r="O73" s="117"/>
      <c r="P73" s="114">
        <f>+P71+P61+P55</f>
        <v>51076764</v>
      </c>
      <c r="Q73" s="108"/>
      <c r="R73" s="114">
        <f>+R71+R61+R55</f>
        <v>54391738</v>
      </c>
      <c r="U73" s="116"/>
    </row>
    <row r="75" spans="2:21">
      <c r="C75" s="112">
        <v>2</v>
      </c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R75" s="108"/>
    </row>
    <row r="76" spans="2:21">
      <c r="B76" s="112" t="s">
        <v>647</v>
      </c>
      <c r="C76" s="112"/>
      <c r="D76" s="70" t="s">
        <v>452</v>
      </c>
      <c r="E76" s="70"/>
      <c r="F76" s="70"/>
      <c r="G76" s="70"/>
      <c r="H76" s="70"/>
      <c r="J76" s="70" t="s">
        <v>452</v>
      </c>
      <c r="L76" s="118"/>
      <c r="M76" s="118"/>
      <c r="N76" s="118"/>
      <c r="O76" s="119" t="s">
        <v>452</v>
      </c>
      <c r="P76" s="118"/>
      <c r="R76" s="118"/>
    </row>
    <row r="77" spans="2:21" hidden="1">
      <c r="B77" s="112"/>
      <c r="C77" s="112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9"/>
      <c r="P77" s="118"/>
      <c r="R77" s="118"/>
    </row>
    <row r="78" spans="2:21" hidden="1">
      <c r="B78" s="99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0"/>
      <c r="P78" s="108"/>
      <c r="R78" s="108"/>
    </row>
    <row r="79" spans="2:21" hidden="1">
      <c r="D79" s="108">
        <f>+D73-D38</f>
        <v>9.9999457597732544E-4</v>
      </c>
      <c r="E79" s="108">
        <f>+E73-E38</f>
        <v>-2.5000050663948059E-3</v>
      </c>
      <c r="F79" s="108">
        <f>+F73-F38</f>
        <v>-2.499997615814209E-3</v>
      </c>
      <c r="G79" s="108">
        <f>+G73-G38</f>
        <v>-2.5000050663948059E-3</v>
      </c>
      <c r="H79" s="108">
        <f>+H73-H38</f>
        <v>0</v>
      </c>
      <c r="I79" s="108">
        <f t="shared" ref="I79:N79" si="10">+I73-I38</f>
        <v>0</v>
      </c>
      <c r="J79" s="108">
        <f t="shared" si="10"/>
        <v>0</v>
      </c>
      <c r="K79" s="108">
        <f t="shared" si="10"/>
        <v>0</v>
      </c>
      <c r="L79" s="108">
        <f t="shared" si="10"/>
        <v>0</v>
      </c>
      <c r="M79" s="108">
        <f t="shared" si="10"/>
        <v>0</v>
      </c>
      <c r="N79" s="108">
        <f t="shared" si="10"/>
        <v>0</v>
      </c>
      <c r="P79" s="108">
        <f>+P73-P38</f>
        <v>0</v>
      </c>
      <c r="R79" s="108">
        <f>+R73-R38</f>
        <v>0</v>
      </c>
    </row>
    <row r="80" spans="2:21" hidden="1"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</row>
    <row r="81" spans="4:15"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</row>
    <row r="82" spans="4:15"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</row>
    <row r="83" spans="4:15"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</row>
    <row r="84" spans="4:15"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</row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S38"/>
  <sheetViews>
    <sheetView tabSelected="1" workbookViewId="0">
      <selection activeCell="H37" sqref="H37"/>
    </sheetView>
  </sheetViews>
  <sheetFormatPr defaultRowHeight="12.75"/>
  <cols>
    <col min="1" max="1" width="3.85546875" style="1" customWidth="1"/>
    <col min="2" max="2" width="46.42578125" style="1" customWidth="1"/>
    <col min="3" max="3" width="7.5703125" style="12" customWidth="1"/>
    <col min="4" max="5" width="15.5703125" style="8" customWidth="1"/>
    <col min="6" max="12" width="15.5703125" style="8" hidden="1" customWidth="1"/>
    <col min="13" max="13" width="16.28515625" style="8" hidden="1" customWidth="1"/>
    <col min="14" max="14" width="15.5703125" style="8" hidden="1" customWidth="1"/>
    <col min="15" max="15" width="4.28515625" style="1" hidden="1" customWidth="1"/>
    <col min="16" max="16" width="14.85546875" style="1" hidden="1" customWidth="1"/>
    <col min="17" max="17" width="14" style="22" hidden="1" customWidth="1"/>
    <col min="18" max="18" width="12.85546875" style="1" bestFit="1" customWidth="1"/>
    <col min="19" max="19" width="11.140625" style="1" bestFit="1" customWidth="1"/>
    <col min="20" max="16384" width="9.140625" style="1"/>
  </cols>
  <sheetData>
    <row r="1" spans="1:18" ht="15.75">
      <c r="A1" s="29" t="s">
        <v>455</v>
      </c>
    </row>
    <row r="2" spans="1:18" ht="15.75">
      <c r="A2" s="14" t="s">
        <v>1034</v>
      </c>
    </row>
    <row r="3" spans="1:18" ht="15.75">
      <c r="A3" s="14" t="s">
        <v>97</v>
      </c>
    </row>
    <row r="4" spans="1:18" ht="15.75">
      <c r="A4" s="14"/>
    </row>
    <row r="5" spans="1:18" ht="26.25" thickBot="1">
      <c r="C5" s="12" t="s">
        <v>450</v>
      </c>
      <c r="D5" s="16" t="s">
        <v>1028</v>
      </c>
      <c r="E5" s="16" t="s">
        <v>1016</v>
      </c>
      <c r="F5" s="16" t="s">
        <v>952</v>
      </c>
      <c r="G5" s="16" t="s">
        <v>942</v>
      </c>
      <c r="H5" s="16" t="s">
        <v>704</v>
      </c>
      <c r="I5" s="16" t="s">
        <v>659</v>
      </c>
      <c r="J5" s="16" t="s">
        <v>645</v>
      </c>
      <c r="K5" s="16" t="s">
        <v>633</v>
      </c>
      <c r="L5" s="16" t="s">
        <v>583</v>
      </c>
      <c r="M5" s="16" t="s">
        <v>567</v>
      </c>
      <c r="N5" s="16" t="s">
        <v>88</v>
      </c>
      <c r="P5" s="67" t="s">
        <v>451</v>
      </c>
    </row>
    <row r="6" spans="1:18" ht="13.5" thickTop="1"/>
    <row r="8" spans="1:18">
      <c r="B8" s="1" t="s">
        <v>10</v>
      </c>
      <c r="C8" s="12">
        <v>8</v>
      </c>
      <c r="D8" s="8">
        <f>+'Ardh shpenz alpha'!C12</f>
        <v>59129540</v>
      </c>
      <c r="E8" s="8">
        <f>+'Ardh shpenz alpha'!D12</f>
        <v>57068740</v>
      </c>
      <c r="F8" s="8">
        <f>+'Ardh shpenz alpha'!E12</f>
        <v>52066118</v>
      </c>
      <c r="G8" s="8">
        <f>+'Ardh shpenz alpha'!F12</f>
        <v>42903445</v>
      </c>
      <c r="H8" s="8">
        <f>+'Ardh shpenz alpha'!G12</f>
        <v>48894254</v>
      </c>
      <c r="I8" s="8">
        <f>+'Ardh shpenz alpha'!H12</f>
        <v>65177818</v>
      </c>
      <c r="J8" s="8">
        <f>+'Ardh shpenz alpha'!I12</f>
        <v>51876394</v>
      </c>
      <c r="K8" s="8">
        <f>+'Ardh shpenz alpha'!J12</f>
        <v>58505056</v>
      </c>
      <c r="L8" s="8">
        <f>+'Ardh shpenz alpha'!K12</f>
        <v>58073901</v>
      </c>
      <c r="M8" s="8">
        <f>+'Ardh shpenz alpha'!L12</f>
        <v>32770160</v>
      </c>
      <c r="N8" s="8">
        <f>+'Ardh shpenz alpha'!M12</f>
        <v>35253484</v>
      </c>
      <c r="P8" s="8">
        <f>+'Ardh shpenz alpha'!N12</f>
        <v>29587117</v>
      </c>
    </row>
    <row r="9" spans="1:18">
      <c r="B9" s="1" t="s">
        <v>79</v>
      </c>
      <c r="C9" s="12">
        <v>9</v>
      </c>
      <c r="D9" s="8">
        <f>+'Ardh shpenz alpha'!C19</f>
        <v>0</v>
      </c>
      <c r="E9" s="8">
        <f>+'Ardh shpenz alpha'!D19</f>
        <v>0</v>
      </c>
      <c r="F9" s="8">
        <f>+'Ardh shpenz alpha'!E19</f>
        <v>0</v>
      </c>
      <c r="G9" s="8">
        <f>+'Ardh shpenz alpha'!F19</f>
        <v>0</v>
      </c>
      <c r="H9" s="8">
        <f>+'Ardh shpenz alpha'!G19</f>
        <v>0</v>
      </c>
      <c r="I9" s="8">
        <f>+'Ardh shpenz alpha'!H19</f>
        <v>0</v>
      </c>
      <c r="J9" s="8">
        <f>+'Ardh shpenz alpha'!I19</f>
        <v>0</v>
      </c>
      <c r="K9" s="8">
        <f>+'Ardh shpenz alpha'!J19</f>
        <v>606051</v>
      </c>
      <c r="L9" s="8">
        <f>+'Ardh shpenz alpha'!K19</f>
        <v>186500</v>
      </c>
      <c r="M9" s="8">
        <f>+'Ardh shpenz alpha'!L19</f>
        <v>0</v>
      </c>
      <c r="N9" s="8">
        <f>+'Ardh shpenz alpha'!M19</f>
        <v>0</v>
      </c>
      <c r="P9" s="8">
        <f>+'Ardh shpenz alpha'!N19</f>
        <v>0</v>
      </c>
    </row>
    <row r="10" spans="1:18" ht="25.5">
      <c r="B10" s="4" t="s">
        <v>80</v>
      </c>
      <c r="P10" s="8"/>
    </row>
    <row r="11" spans="1:18" ht="25.5">
      <c r="B11" s="4" t="s">
        <v>81</v>
      </c>
    </row>
    <row r="12" spans="1:18">
      <c r="B12" s="1" t="s">
        <v>82</v>
      </c>
      <c r="C12" s="12">
        <v>10</v>
      </c>
      <c r="D12" s="8">
        <f>-'Ardh shpenz alpha'!C67-'Ardh shpenz alpha'!C70</f>
        <v>0</v>
      </c>
      <c r="E12" s="8">
        <f>-'Ardh shpenz alpha'!D67-'Ardh shpenz alpha'!D70</f>
        <v>0</v>
      </c>
      <c r="F12" s="8">
        <f>-'Ardh shpenz alpha'!E67-'Ardh shpenz alpha'!E70</f>
        <v>0</v>
      </c>
      <c r="G12" s="8">
        <f>-'Ardh shpenz alpha'!F67-'Ardh shpenz alpha'!F70</f>
        <v>0</v>
      </c>
      <c r="H12" s="8">
        <f>-'Ardh shpenz alpha'!G67-'Ardh shpenz alpha'!G70</f>
        <v>0</v>
      </c>
      <c r="I12" s="8">
        <f>-'Ardh shpenz alpha'!H67-'Ardh shpenz alpha'!H70</f>
        <v>0</v>
      </c>
      <c r="J12" s="8">
        <f>-'Ardh shpenz alpha'!I67-'Ardh shpenz alpha'!I70</f>
        <v>0</v>
      </c>
      <c r="K12" s="8">
        <f>-'Ardh shpenz alpha'!J67-'Ardh shpenz alpha'!J70</f>
        <v>0</v>
      </c>
      <c r="L12" s="8">
        <f>-'Ardh shpenz alpha'!K67-'Ardh shpenz alpha'!K70</f>
        <v>0</v>
      </c>
      <c r="M12" s="8">
        <f>-'Ardh shpenz alpha'!L67-'Ardh shpenz alpha'!L70</f>
        <v>0</v>
      </c>
      <c r="N12" s="8">
        <f>-'Ardh shpenz alpha'!M67-'Ardh shpenz alpha'!M70</f>
        <v>0</v>
      </c>
      <c r="P12" s="8">
        <f>-'Ardh shpenz alpha'!N67-'Ardh shpenz alpha'!N70</f>
        <v>0</v>
      </c>
      <c r="Q12" s="28"/>
      <c r="R12" s="8"/>
    </row>
    <row r="13" spans="1:18">
      <c r="B13" s="1" t="s">
        <v>83</v>
      </c>
      <c r="C13" s="12">
        <v>11</v>
      </c>
      <c r="D13" s="8">
        <f>-'Ardh shpenz alpha'!C73-'Ardh shpenz alpha'!C78-'Ardh shpenz alpha'!C79</f>
        <v>-26823419.550000001</v>
      </c>
      <c r="E13" s="8">
        <f>-'Ardh shpenz alpha'!D73-'Ardh shpenz alpha'!D78-'Ardh shpenz alpha'!D79</f>
        <v>-23501905</v>
      </c>
      <c r="F13" s="8">
        <f>-'Ardh shpenz alpha'!E73-'Ardh shpenz alpha'!E78-'Ardh shpenz alpha'!E79</f>
        <v>-24957931</v>
      </c>
      <c r="G13" s="8">
        <f>-'Ardh shpenz alpha'!F73-'Ardh shpenz alpha'!F78-'Ardh shpenz alpha'!F79</f>
        <v>-24493904</v>
      </c>
      <c r="H13" s="8">
        <f>-'Ardh shpenz alpha'!G73-'Ardh shpenz alpha'!G78-'Ardh shpenz alpha'!G79</f>
        <v>-28643842.900000002</v>
      </c>
      <c r="I13" s="8">
        <f>-'Ardh shpenz alpha'!H73-'Ardh shpenz alpha'!H78-'Ardh shpenz alpha'!H79</f>
        <v>-44540139</v>
      </c>
      <c r="J13" s="8">
        <f>-'Ardh shpenz alpha'!I73-'Ardh shpenz alpha'!I78-'Ardh shpenz alpha'!I79</f>
        <v>-32078963</v>
      </c>
      <c r="K13" s="8">
        <f>-'Ardh shpenz alpha'!J73-'Ardh shpenz alpha'!J78-'Ardh shpenz alpha'!J79</f>
        <v>-39139914</v>
      </c>
      <c r="L13" s="8">
        <f>-'Ardh shpenz alpha'!K73-'Ardh shpenz alpha'!K78-'Ardh shpenz alpha'!K79</f>
        <v>-36365461</v>
      </c>
      <c r="M13" s="8">
        <f>-'Ardh shpenz alpha'!L73-'Ardh shpenz alpha'!L78-'Ardh shpenz alpha'!L79</f>
        <v>-17941801</v>
      </c>
      <c r="N13" s="8">
        <f>-'Ardh shpenz alpha'!M73-'Ardh shpenz alpha'!M78-'Ardh shpenz alpha'!M79</f>
        <v>-18046609</v>
      </c>
      <c r="P13" s="8">
        <f>-'Ardh shpenz alpha'!N73-'Ardh shpenz alpha'!N78-'Ardh shpenz alpha'!N79</f>
        <v>-15327558</v>
      </c>
      <c r="Q13" s="27"/>
      <c r="R13" s="8"/>
    </row>
    <row r="14" spans="1:18">
      <c r="B14" s="1" t="s">
        <v>11</v>
      </c>
      <c r="C14" s="12">
        <v>12</v>
      </c>
      <c r="D14" s="8">
        <f>-'Ardh shpenz alpha'!C74</f>
        <v>-16440932</v>
      </c>
      <c r="E14" s="8">
        <f>-'Ardh shpenz alpha'!D74</f>
        <v>-16004478</v>
      </c>
      <c r="F14" s="8">
        <f>-'Ardh shpenz alpha'!E74</f>
        <v>-15644947</v>
      </c>
      <c r="G14" s="8">
        <f>-'Ardh shpenz alpha'!F74</f>
        <v>-14810075</v>
      </c>
      <c r="H14" s="8">
        <f>-'Ardh shpenz alpha'!G74</f>
        <v>-14542821</v>
      </c>
      <c r="I14" s="8">
        <f>-'Ardh shpenz alpha'!H74</f>
        <v>-13278113</v>
      </c>
      <c r="J14" s="8">
        <f>-'Ardh shpenz alpha'!I74</f>
        <v>-11492007</v>
      </c>
      <c r="K14" s="8">
        <f>-'Ardh shpenz alpha'!J74</f>
        <v>-11835414</v>
      </c>
      <c r="L14" s="8">
        <f>-'Ardh shpenz alpha'!K74</f>
        <v>-11998410</v>
      </c>
      <c r="M14" s="8">
        <f>-'Ardh shpenz alpha'!L74</f>
        <v>-12770214</v>
      </c>
      <c r="N14" s="8">
        <f>-'Ardh shpenz alpha'!M74</f>
        <v>-11833744</v>
      </c>
      <c r="P14" s="8">
        <f>-'Ardh shpenz alpha'!N74</f>
        <v>-10458094</v>
      </c>
      <c r="Q14" s="27"/>
    </row>
    <row r="15" spans="1:18">
      <c r="B15" s="1" t="s">
        <v>84</v>
      </c>
      <c r="D15" s="21">
        <f>-'Ardh shpenz alpha'!C83</f>
        <v>-7443636</v>
      </c>
      <c r="E15" s="21">
        <f>-'Ardh shpenz alpha'!D83</f>
        <v>-9080994</v>
      </c>
      <c r="F15" s="21">
        <f>-'Ardh shpenz alpha'!E83</f>
        <v>-8565571</v>
      </c>
      <c r="G15" s="21">
        <f>-'Ardh shpenz alpha'!F83</f>
        <v>-1827548</v>
      </c>
      <c r="H15" s="21">
        <f>-'Ardh shpenz alpha'!G83</f>
        <v>-2556689</v>
      </c>
      <c r="I15" s="21">
        <f>-'Ardh shpenz alpha'!H83</f>
        <v>-3140340</v>
      </c>
      <c r="J15" s="21">
        <f>-'Ardh shpenz alpha'!I83</f>
        <v>-2703978</v>
      </c>
      <c r="K15" s="21">
        <f>-'Ardh shpenz alpha'!J83</f>
        <v>-3766337</v>
      </c>
      <c r="L15" s="21">
        <f>-'Ardh shpenz alpha'!K83</f>
        <v>-6100456</v>
      </c>
      <c r="M15" s="21">
        <f>-'Ardh shpenz alpha'!L83</f>
        <v>-2969786</v>
      </c>
      <c r="N15" s="21">
        <f>-'Ardh shpenz alpha'!M83</f>
        <v>-1142187</v>
      </c>
      <c r="O15" s="22"/>
      <c r="P15" s="21">
        <f>-'Ardh shpenz alpha'!N83</f>
        <v>-569256</v>
      </c>
      <c r="Q15" s="40"/>
    </row>
    <row r="16" spans="1:18" ht="13.5" thickBot="1">
      <c r="D16" s="9">
        <f>SUM(D8:D15)</f>
        <v>8421552.4499999993</v>
      </c>
      <c r="E16" s="9">
        <f>SUM(E8:E15)</f>
        <v>8481363</v>
      </c>
      <c r="F16" s="9">
        <f>SUM(F8:F15)</f>
        <v>2897669</v>
      </c>
      <c r="G16" s="9">
        <f>SUM(G8:G15)</f>
        <v>1771918</v>
      </c>
      <c r="H16" s="9">
        <f>SUM(H8:H15)</f>
        <v>3150901.0999999978</v>
      </c>
      <c r="I16" s="9">
        <f t="shared" ref="I16:N16" si="0">SUM(I8:I15)</f>
        <v>4219226</v>
      </c>
      <c r="J16" s="9">
        <f t="shared" si="0"/>
        <v>5601446</v>
      </c>
      <c r="K16" s="9">
        <f t="shared" si="0"/>
        <v>4369442</v>
      </c>
      <c r="L16" s="9">
        <f t="shared" si="0"/>
        <v>3796074</v>
      </c>
      <c r="M16" s="9">
        <f t="shared" si="0"/>
        <v>-911641</v>
      </c>
      <c r="N16" s="9">
        <f t="shared" si="0"/>
        <v>4230944</v>
      </c>
      <c r="O16" s="2"/>
      <c r="P16" s="15">
        <f>SUM(P8:P15)</f>
        <v>3232209</v>
      </c>
    </row>
    <row r="17" spans="1:19" s="2" customFormat="1" ht="13.5" thickTop="1">
      <c r="A17" s="3" t="s">
        <v>85</v>
      </c>
      <c r="C17" s="7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Q17" s="24"/>
    </row>
    <row r="18" spans="1:19" s="2" customFormat="1">
      <c r="B18" s="5"/>
      <c r="C18" s="7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Q18" s="24"/>
    </row>
    <row r="19" spans="1:19" s="2" customFormat="1" ht="25.5">
      <c r="B19" s="4" t="s">
        <v>86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"/>
      <c r="P19" s="1"/>
      <c r="Q19" s="24"/>
    </row>
    <row r="20" spans="1:19">
      <c r="B20" s="4" t="s">
        <v>87</v>
      </c>
    </row>
    <row r="21" spans="1:19">
      <c r="B21" s="1" t="s">
        <v>12</v>
      </c>
      <c r="C21" s="12">
        <v>13</v>
      </c>
      <c r="D21" s="8">
        <f>+'Ardh shpenz alpha'!C36-'Ardh shpenz alpha'!C91</f>
        <v>0</v>
      </c>
      <c r="E21" s="8">
        <f>+'Ardh shpenz alpha'!D36-'Ardh shpenz alpha'!D91</f>
        <v>0</v>
      </c>
      <c r="F21" s="8">
        <f>+'Ardh shpenz alpha'!E36-'Ardh shpenz alpha'!E91</f>
        <v>0</v>
      </c>
      <c r="G21" s="8">
        <f>+'Ardh shpenz alpha'!F36-'Ardh shpenz alpha'!F91</f>
        <v>-35238</v>
      </c>
      <c r="H21" s="8">
        <f>+'Ardh shpenz alpha'!G36-'Ardh shpenz alpha'!G91</f>
        <v>1291.0500000000002</v>
      </c>
      <c r="I21" s="8">
        <f>+'Ardh shpenz alpha'!H36-'Ardh shpenz alpha'!H91</f>
        <v>-385347</v>
      </c>
      <c r="J21" s="8">
        <f>+'Ardh shpenz alpha'!I36-'Ardh shpenz alpha'!I91</f>
        <v>-2543513</v>
      </c>
      <c r="K21" s="8">
        <f>+'Ardh shpenz alpha'!J36-'Ardh shpenz alpha'!J91</f>
        <v>-738675</v>
      </c>
      <c r="L21" s="8">
        <f>+'Ardh shpenz alpha'!K36-'Ardh shpenz alpha'!K91</f>
        <v>-681718</v>
      </c>
      <c r="M21" s="8">
        <f>+'Ardh shpenz alpha'!L36-'Ardh shpenz alpha'!L91</f>
        <v>-891541</v>
      </c>
      <c r="N21" s="8">
        <f>+'Ardh shpenz alpha'!M36-'Ardh shpenz alpha'!M91</f>
        <v>-1674363</v>
      </c>
      <c r="P21" s="8">
        <f>+'Ardh shpenz alpha'!N36-'Ardh shpenz alpha'!N91</f>
        <v>-1011603</v>
      </c>
      <c r="R21" s="8"/>
      <c r="S21" s="8"/>
    </row>
    <row r="22" spans="1:19">
      <c r="R22" s="8"/>
      <c r="S22" s="8"/>
    </row>
    <row r="23" spans="1:19" ht="13.5" thickBot="1">
      <c r="B23" s="6" t="s">
        <v>13</v>
      </c>
      <c r="C23" s="13"/>
      <c r="D23" s="23">
        <f>+D16+D21</f>
        <v>8421552.4499999993</v>
      </c>
      <c r="E23" s="23">
        <f>+E16+E21</f>
        <v>8481363</v>
      </c>
      <c r="F23" s="23">
        <f>+F16+F21</f>
        <v>2897669</v>
      </c>
      <c r="G23" s="23">
        <f>+G16+G21</f>
        <v>1736680</v>
      </c>
      <c r="H23" s="23">
        <f>+H16+H21</f>
        <v>3152192.1499999976</v>
      </c>
      <c r="I23" s="23">
        <f t="shared" ref="I23:N23" si="1">+I16+I21</f>
        <v>3833879</v>
      </c>
      <c r="J23" s="23">
        <f t="shared" si="1"/>
        <v>3057933</v>
      </c>
      <c r="K23" s="23">
        <f t="shared" si="1"/>
        <v>3630767</v>
      </c>
      <c r="L23" s="23">
        <f t="shared" si="1"/>
        <v>3114356</v>
      </c>
      <c r="M23" s="23">
        <f t="shared" si="1"/>
        <v>-1803182</v>
      </c>
      <c r="N23" s="23">
        <f t="shared" si="1"/>
        <v>2556581</v>
      </c>
      <c r="O23" s="24"/>
      <c r="P23" s="23">
        <f>+P16+P21</f>
        <v>2220606</v>
      </c>
    </row>
    <row r="24" spans="1:19" s="2" customFormat="1" ht="13.5" thickTop="1"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Q24" s="24"/>
    </row>
    <row r="25" spans="1:19" s="2" customFormat="1">
      <c r="B25" s="5" t="s">
        <v>14</v>
      </c>
      <c r="C25" s="13">
        <v>14</v>
      </c>
      <c r="D25" s="10">
        <f>-'Ardh shpenz alpha'!C104</f>
        <v>-1267512.6675000004</v>
      </c>
      <c r="E25" s="10">
        <f>-'Ardh shpenz alpha'!D104</f>
        <v>-1272204.45</v>
      </c>
      <c r="F25" s="10">
        <f>-'Ardh shpenz alpha'!E104</f>
        <v>-474117</v>
      </c>
      <c r="G25" s="10">
        <f>-'Ardh shpenz alpha'!F104</f>
        <v>-329607.75</v>
      </c>
      <c r="H25" s="10">
        <f>-'Ardh shpenz alpha'!G104</f>
        <v>-472828.82249999861</v>
      </c>
      <c r="I25" s="10">
        <f>-'Ardh shpenz alpha'!H104</f>
        <v>-388392.2</v>
      </c>
      <c r="J25" s="10">
        <f>-'Ardh shpenz alpha'!I104</f>
        <v>-391530</v>
      </c>
      <c r="K25" s="10">
        <f>-'Ardh shpenz alpha'!J104</f>
        <v>-373077</v>
      </c>
      <c r="L25" s="10">
        <f>-'Ardh shpenz alpha'!K104</f>
        <v>-354559</v>
      </c>
      <c r="M25" s="10">
        <f>-'Ardh shpenz alpha'!L104</f>
        <v>-271514</v>
      </c>
      <c r="N25" s="10">
        <f>-'Ardh shpenz alpha'!M104</f>
        <v>-344917</v>
      </c>
      <c r="P25" s="10">
        <f>-'Ardh shpenz alpha'!N104</f>
        <v>-444121</v>
      </c>
      <c r="Q25" s="24"/>
    </row>
    <row r="26" spans="1:19" s="2" customFormat="1">
      <c r="B26" s="5"/>
      <c r="C26" s="13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Q26" s="24"/>
    </row>
    <row r="27" spans="1:19" s="2" customFormat="1" ht="13.5" thickBot="1">
      <c r="B27" s="6" t="s">
        <v>15</v>
      </c>
      <c r="C27" s="7"/>
      <c r="D27" s="15">
        <f>+D23+D25</f>
        <v>7154039.7824999988</v>
      </c>
      <c r="E27" s="15">
        <f>+E23+E25</f>
        <v>7209158.5499999998</v>
      </c>
      <c r="F27" s="15">
        <f t="shared" ref="F27:K27" si="2">+F23+F25</f>
        <v>2423552</v>
      </c>
      <c r="G27" s="15">
        <f t="shared" si="2"/>
        <v>1407072.25</v>
      </c>
      <c r="H27" s="15">
        <f t="shared" si="2"/>
        <v>2679363.3274999987</v>
      </c>
      <c r="I27" s="15">
        <f t="shared" si="2"/>
        <v>3445486.8</v>
      </c>
      <c r="J27" s="15">
        <f t="shared" si="2"/>
        <v>2666403</v>
      </c>
      <c r="K27" s="15">
        <f t="shared" si="2"/>
        <v>3257690</v>
      </c>
      <c r="L27" s="15">
        <f>+L23+L25-1</f>
        <v>2759796</v>
      </c>
      <c r="M27" s="15">
        <f>+M23+M25</f>
        <v>-2074696</v>
      </c>
      <c r="N27" s="15">
        <f>+N23+N25</f>
        <v>2211664</v>
      </c>
      <c r="P27" s="15">
        <f>+P23+P25</f>
        <v>1776485</v>
      </c>
      <c r="Q27" s="24"/>
    </row>
    <row r="28" spans="1:19" s="2" customFormat="1" ht="13.5" thickTop="1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Q28" s="24"/>
    </row>
    <row r="29" spans="1:19" s="2" customFormat="1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Q29" s="24"/>
    </row>
    <row r="30" spans="1:19" s="2" customFormat="1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Q30" s="24"/>
    </row>
    <row r="31" spans="1:19" s="2" customFormat="1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Q31" s="24"/>
    </row>
    <row r="32" spans="1:19" s="2" customFormat="1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Q32" s="24"/>
    </row>
    <row r="33" spans="2:17" s="2" customFormat="1"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Q33" s="24"/>
    </row>
    <row r="34" spans="2:17" s="2" customFormat="1">
      <c r="C34" s="431">
        <v>3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Q34" s="24"/>
    </row>
    <row r="35" spans="2:17" s="2" customFormat="1"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"/>
      <c r="P35" s="8"/>
      <c r="Q35" s="24"/>
    </row>
    <row r="36" spans="2:17" ht="14.25">
      <c r="B36" s="19" t="s">
        <v>453</v>
      </c>
      <c r="C36" s="19"/>
      <c r="D36" s="70" t="s">
        <v>452</v>
      </c>
      <c r="E36" s="70"/>
      <c r="F36" s="70"/>
      <c r="K36" s="70"/>
      <c r="L36" s="70"/>
      <c r="N36" s="69"/>
      <c r="P36" s="69"/>
    </row>
    <row r="37" spans="2:17" ht="14.25">
      <c r="B37" s="19"/>
      <c r="C37" s="1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70"/>
      <c r="P37" s="69"/>
    </row>
    <row r="38" spans="2:17" ht="15">
      <c r="B38" s="18"/>
      <c r="C38" s="18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68"/>
      <c r="P38" s="20"/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2"/>
  <sheetViews>
    <sheetView topLeftCell="A22" workbookViewId="0">
      <selection activeCell="H28" sqref="H28"/>
    </sheetView>
  </sheetViews>
  <sheetFormatPr defaultRowHeight="15.75"/>
  <cols>
    <col min="1" max="1" width="3.140625" style="101" customWidth="1"/>
    <col min="2" max="2" width="62.7109375" style="101" customWidth="1"/>
    <col min="3" max="3" width="1.5703125" style="101" customWidth="1"/>
    <col min="4" max="5" width="18.7109375" style="122" customWidth="1"/>
    <col min="6" max="12" width="18.7109375" style="122" hidden="1" customWidth="1"/>
    <col min="13" max="13" width="19.7109375" style="122" hidden="1" customWidth="1"/>
    <col min="14" max="14" width="15.7109375" style="122" hidden="1" customWidth="1"/>
    <col min="15" max="15" width="3.28515625" style="123" hidden="1" customWidth="1"/>
    <col min="16" max="16" width="16.28515625" style="122" hidden="1" customWidth="1"/>
    <col min="17" max="17" width="2.85546875" style="101" customWidth="1"/>
    <col min="18" max="18" width="13.140625" style="100" customWidth="1"/>
    <col min="19" max="19" width="13.140625" style="100" bestFit="1" customWidth="1"/>
    <col min="20" max="20" width="13.85546875" style="101" bestFit="1" customWidth="1"/>
    <col min="21" max="21" width="9.85546875" style="101" bestFit="1" customWidth="1"/>
    <col min="22" max="22" width="9.140625" style="101"/>
    <col min="23" max="23" width="13.140625" style="101" bestFit="1" customWidth="1"/>
    <col min="24" max="16384" width="9.140625" style="101"/>
  </cols>
  <sheetData>
    <row r="1" spans="1:22">
      <c r="A1" s="29" t="s">
        <v>454</v>
      </c>
    </row>
    <row r="2" spans="1:22">
      <c r="A2" s="124" t="s">
        <v>25</v>
      </c>
    </row>
    <row r="3" spans="1:22" s="98" customFormat="1">
      <c r="A3" s="125" t="s">
        <v>1036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7"/>
      <c r="P3" s="126"/>
      <c r="R3" s="121"/>
      <c r="S3" s="121"/>
    </row>
    <row r="4" spans="1:22" s="98" customFormat="1">
      <c r="A4" s="102" t="s">
        <v>97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7"/>
      <c r="P4" s="126"/>
      <c r="R4" s="121"/>
      <c r="S4" s="121"/>
    </row>
    <row r="5" spans="1:22" s="98" customFormat="1"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7"/>
      <c r="P5" s="129"/>
      <c r="R5" s="121"/>
      <c r="S5" s="121"/>
    </row>
    <row r="6" spans="1:22" s="98" customFormat="1" ht="16.5" customHeight="1" thickBot="1">
      <c r="B6" s="128"/>
      <c r="C6" s="128"/>
      <c r="D6" s="130" t="s">
        <v>1035</v>
      </c>
      <c r="E6" s="130" t="s">
        <v>1017</v>
      </c>
      <c r="F6" s="130" t="s">
        <v>953</v>
      </c>
      <c r="G6" s="130" t="s">
        <v>943</v>
      </c>
      <c r="H6" s="130" t="s">
        <v>705</v>
      </c>
      <c r="I6" s="130" t="s">
        <v>660</v>
      </c>
      <c r="J6" s="130" t="s">
        <v>646</v>
      </c>
      <c r="K6" s="130" t="s">
        <v>634</v>
      </c>
      <c r="L6" s="130" t="s">
        <v>584</v>
      </c>
      <c r="M6" s="130" t="s">
        <v>568</v>
      </c>
      <c r="N6" s="130" t="s">
        <v>94</v>
      </c>
      <c r="O6" s="127"/>
      <c r="P6" s="130" t="s">
        <v>96</v>
      </c>
      <c r="R6" s="121"/>
      <c r="S6" s="121"/>
    </row>
    <row r="7" spans="1:22" s="98" customFormat="1" ht="16.5" thickTop="1">
      <c r="A7" s="103" t="s">
        <v>26</v>
      </c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7"/>
      <c r="P7" s="129"/>
      <c r="R7" s="121"/>
      <c r="S7" s="121"/>
    </row>
    <row r="8" spans="1:22" s="98" customFormat="1">
      <c r="B8" s="98" t="s">
        <v>27</v>
      </c>
      <c r="D8" s="131">
        <f>+'ardh-shpenz'!D23</f>
        <v>8421552.4499999993</v>
      </c>
      <c r="E8" s="131">
        <f>+'ardh-shpenz'!E23</f>
        <v>8481363</v>
      </c>
      <c r="F8" s="131">
        <f>+'ardh-shpenz'!F23</f>
        <v>2897669</v>
      </c>
      <c r="G8" s="131">
        <f>+'ardh-shpenz'!G23</f>
        <v>1736680</v>
      </c>
      <c r="H8" s="131">
        <f>+'ardh-shpenz'!H23</f>
        <v>3152192.1499999976</v>
      </c>
      <c r="I8" s="131">
        <f>+'ardh-shpenz'!I23</f>
        <v>3833879</v>
      </c>
      <c r="J8" s="131">
        <f>+'ardh-shpenz'!J23</f>
        <v>3057933</v>
      </c>
      <c r="K8" s="131">
        <f>+'ardh-shpenz'!K23</f>
        <v>3630767</v>
      </c>
      <c r="L8" s="131">
        <f>+'ardh-shpenz'!L23</f>
        <v>3114356</v>
      </c>
      <c r="M8" s="131">
        <f>+'ardh-shpenz'!M23</f>
        <v>-1803182</v>
      </c>
      <c r="N8" s="131">
        <f>+'ardh-shpenz'!N23</f>
        <v>2556581</v>
      </c>
      <c r="O8" s="127"/>
      <c r="P8" s="131">
        <f>+'ardh-shpenz'!P23</f>
        <v>2220606</v>
      </c>
      <c r="R8" s="121"/>
      <c r="S8" s="121"/>
    </row>
    <row r="9" spans="1:22" s="98" customFormat="1">
      <c r="B9" s="98" t="s">
        <v>28</v>
      </c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27"/>
      <c r="P9" s="126"/>
      <c r="R9" s="121"/>
      <c r="S9" s="121"/>
    </row>
    <row r="10" spans="1:22" s="98" customFormat="1">
      <c r="B10" s="98" t="s">
        <v>29</v>
      </c>
      <c r="D10" s="131">
        <f>-'ardh-shpenz'!D15</f>
        <v>7443636</v>
      </c>
      <c r="E10" s="131">
        <f>-'ardh-shpenz'!E15</f>
        <v>9080994</v>
      </c>
      <c r="F10" s="131">
        <f>-'ardh-shpenz'!F15</f>
        <v>8565571</v>
      </c>
      <c r="G10" s="131">
        <f>-'ardh-shpenz'!G15</f>
        <v>1827548</v>
      </c>
      <c r="H10" s="131">
        <f>-'ardh-shpenz'!H15</f>
        <v>2556689</v>
      </c>
      <c r="I10" s="131">
        <f>-'ardh-shpenz'!I15</f>
        <v>3140340</v>
      </c>
      <c r="J10" s="131">
        <f>-'ardh-shpenz'!J15</f>
        <v>2703978</v>
      </c>
      <c r="K10" s="131">
        <f>-'ardh-shpenz'!K15</f>
        <v>3766337</v>
      </c>
      <c r="L10" s="131">
        <f>-'ardh-shpenz'!L15</f>
        <v>6100456</v>
      </c>
      <c r="M10" s="131">
        <f>-'ardh-shpenz'!M15</f>
        <v>2969786</v>
      </c>
      <c r="N10" s="131">
        <f>-'ardh-shpenz'!N15</f>
        <v>1142187</v>
      </c>
      <c r="O10" s="127"/>
      <c r="P10" s="131">
        <f>-'ardh-shpenz'!P15</f>
        <v>569256</v>
      </c>
      <c r="R10" s="121"/>
      <c r="S10" s="121"/>
    </row>
    <row r="11" spans="1:22" s="98" customFormat="1">
      <c r="B11" s="98" t="s">
        <v>30</v>
      </c>
      <c r="D11" s="131">
        <f>+BK!E27-BK!D27+BK!D51-BK!E51</f>
        <v>0</v>
      </c>
      <c r="E11" s="131">
        <f>+BK!F27-BK!E27+BK!E51-BK!F51</f>
        <v>0</v>
      </c>
      <c r="F11" s="131">
        <f>+BK!G27-BK!F27+BK!F51-BK!G51</f>
        <v>0</v>
      </c>
      <c r="G11" s="131">
        <f>+BK!H27-BK!G27+BK!G51-BK!H51</f>
        <v>0</v>
      </c>
      <c r="H11" s="131">
        <f>+BK!I27-BK!H27+BK!H51-BK!I51</f>
        <v>0</v>
      </c>
      <c r="I11" s="131">
        <f>+BK!J27-BK!I27+BK!I51-BK!J51</f>
        <v>0</v>
      </c>
      <c r="J11" s="131">
        <f>+BK!K27-BK!J27+BK!J51-BK!K51</f>
        <v>0</v>
      </c>
      <c r="K11" s="131">
        <f>+BK!L27-BK!K27+BK!K51-BK!L51</f>
        <v>0</v>
      </c>
      <c r="L11" s="131">
        <f>+BK!M27-BK!L27+BK!L51-BK!M51</f>
        <v>0</v>
      </c>
      <c r="M11" s="131">
        <f>+BK!N27-BK!M27+BK!M51-BK!N51</f>
        <v>0</v>
      </c>
      <c r="O11" s="127"/>
      <c r="P11" s="131">
        <f>+BK!R27-BK!P27+BK!P51-BK!R51</f>
        <v>1647364</v>
      </c>
      <c r="R11" s="121"/>
      <c r="S11" s="121"/>
      <c r="V11" s="131"/>
    </row>
    <row r="12" spans="1:22" s="98" customFormat="1">
      <c r="B12" s="98" t="s">
        <v>31</v>
      </c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1">
        <f>+BK!P27-BK!N27+BK!N51-BK!P51</f>
        <v>7076661</v>
      </c>
      <c r="O12" s="127"/>
      <c r="P12" s="129"/>
      <c r="R12" s="126"/>
      <c r="S12" s="121"/>
    </row>
    <row r="13" spans="1:22" s="98" customFormat="1">
      <c r="B13" s="98" t="s">
        <v>32</v>
      </c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7"/>
      <c r="P13" s="129"/>
      <c r="R13" s="121"/>
      <c r="S13" s="121"/>
    </row>
    <row r="14" spans="1:22" s="98" customFormat="1">
      <c r="B14" s="128"/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7"/>
      <c r="P14" s="129"/>
      <c r="R14" s="121"/>
      <c r="S14" s="121"/>
    </row>
    <row r="15" spans="1:22" s="98" customFormat="1" ht="31.5">
      <c r="B15" s="132" t="s">
        <v>89</v>
      </c>
      <c r="C15" s="132"/>
      <c r="D15" s="126">
        <f>+BK!E12-BK!D12+BK!E13-BK!D13+BK!E25-BK!D25+BK!E26-BK!D26</f>
        <v>-7321307.8489999995</v>
      </c>
      <c r="E15" s="126">
        <f>+BK!F12-BK!E12+BK!F13-BK!E13+BK!F25-BK!E25+BK!F26-BK!E26</f>
        <v>7030948.7199999988</v>
      </c>
      <c r="F15" s="126">
        <f>+BK!G12-BK!F12+BK!G13-BK!F13+BK!G25-BK!F25+BK!G26-BK!F26</f>
        <v>-7491365</v>
      </c>
      <c r="G15" s="126">
        <f>+BK!H12-BK!G12+BK!H13-BK!G13+BK!H25-BK!G25+BK!H26-BK!G26</f>
        <v>5409788.1775000012</v>
      </c>
      <c r="H15" s="126">
        <f>+BK!I12-BK!H12+BK!I13-BK!H13+BK!I25-BK!H25+BK!I26-BK!H26</f>
        <v>2719176.8224999988</v>
      </c>
      <c r="I15" s="126">
        <f>+BK!J12-BK!I12+BK!J13-BK!I13+BK!J25-BK!I25+BK!J26-BK!I26</f>
        <v>1529457</v>
      </c>
      <c r="J15" s="126">
        <f>+BK!K12-BK!J12+BK!K13-BK!J13+BK!K25-BK!J25+BK!K26-BK!J26</f>
        <v>-2089664</v>
      </c>
      <c r="K15" s="126">
        <f>+BK!L12-BK!K12+BK!L13-BK!K13+BK!L25-BK!K25+BK!L26-BK!K26</f>
        <v>4776866</v>
      </c>
      <c r="L15" s="126">
        <f>+BK!M12-BK!L12+BK!M13-BK!L13+BK!M25-BK!L25+BK!M26-BK!L26</f>
        <v>-4047871</v>
      </c>
      <c r="M15" s="126">
        <f>+BK!N12-BK!M12+BK!N13-BK!M13+BK!N25-BK!M25+BK!N26-BK!M26</f>
        <v>-13282365</v>
      </c>
      <c r="N15" s="126">
        <f>+BK!P12-BK!N12+BK!P13-BK!N13+BK!P25-BK!N25+BK!P26-BK!N26</f>
        <v>491252</v>
      </c>
      <c r="O15" s="133"/>
      <c r="P15" s="126">
        <f>+BK!R12-BK!P12+BK!R13-BK!P13+BK!R25-BK!P25+BK!R26-BK!P26</f>
        <v>3386397</v>
      </c>
      <c r="R15" s="121"/>
      <c r="S15" s="121"/>
    </row>
    <row r="16" spans="1:22" s="98" customFormat="1"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34"/>
      <c r="P16" s="129"/>
      <c r="R16" s="121"/>
      <c r="S16" s="121"/>
    </row>
    <row r="17" spans="1:23" s="98" customFormat="1">
      <c r="B17" s="98" t="s">
        <v>33</v>
      </c>
      <c r="D17" s="131">
        <f>+BK!E18+BK!E19+BK!E20+BK!E21+BK!E22-BK!D22-BK!D21-BK!D20-BK!D19-BK!D18</f>
        <v>0</v>
      </c>
      <c r="E17" s="131">
        <f>+BK!F18+BK!F19+BK!F20+BK!F21+BK!F22-BK!E22-BK!E21-BK!E20-BK!E19-BK!E18</f>
        <v>0</v>
      </c>
      <c r="F17" s="131">
        <f>+BK!G18+BK!G19+BK!G20+BK!G21+BK!G22-BK!F22-BK!F21-BK!F20-BK!F19-BK!F18</f>
        <v>0</v>
      </c>
      <c r="G17" s="131">
        <f>+BK!H18+BK!H19+BK!H20+BK!H21+BK!H22-BK!G22-BK!G21-BK!G20-BK!G19-BK!G18</f>
        <v>0</v>
      </c>
      <c r="H17" s="131">
        <f>+BK!I18+BK!I19+BK!I20+BK!I21+BK!I22-BK!H22-BK!H21-BK!H20-BK!H19-BK!H18</f>
        <v>0</v>
      </c>
      <c r="I17" s="131">
        <f>+BK!J18+BK!J19+BK!J20+BK!J21+BK!J22-BK!I22-BK!I21-BK!I20-BK!I19-BK!I18</f>
        <v>0</v>
      </c>
      <c r="J17" s="131">
        <f>+BK!K18+BK!K19+BK!K20+BK!K21+BK!K22-BK!J22-BK!J21-BK!J20-BK!J19-BK!J18</f>
        <v>0</v>
      </c>
      <c r="K17" s="131">
        <f>+BK!L18+BK!L19+BK!L20+BK!L21+BK!L22-BK!K22-BK!K21-BK!K20-BK!K19-BK!K18</f>
        <v>0</v>
      </c>
      <c r="L17" s="131">
        <f>+BK!M18+BK!M19+BK!M20+BK!M21+BK!M22-BK!L22-BK!L21-BK!L20-BK!L19-BK!L18</f>
        <v>0</v>
      </c>
      <c r="M17" s="131">
        <f>+BK!N18+BK!N19+BK!N20+BK!N21+BK!N22-BK!M22-BK!M21-BK!M20-BK!M19-BK!M18</f>
        <v>0</v>
      </c>
      <c r="N17" s="131">
        <f>+BK!P18+BK!P19+BK!P20+BK!P21+BK!P22-BK!N22-BK!N21-BK!N20-BK!N19-BK!N18</f>
        <v>0</v>
      </c>
      <c r="O17" s="135"/>
      <c r="P17" s="131">
        <f>+BK!R18+BK!R19+BK!R20+BK!R21+BK!R22-BK!P22-BK!P21-BK!P20-BK!P19-BK!P18</f>
        <v>0</v>
      </c>
      <c r="R17" s="121"/>
      <c r="S17" s="121"/>
    </row>
    <row r="18" spans="1:23" s="98" customFormat="1">
      <c r="B18" s="98" t="s">
        <v>131</v>
      </c>
      <c r="D18" s="126">
        <f>BK!D43-BK!E43+BK!D45-BK!E45+BK!D46-BK!E46+BK!D47-BK!E47+BK!D48-BK!E48+BK!D49-BK!E49+BK!D50-BK!E50-D21+'ardh-shpenz'!D25</f>
        <v>-3833148.0175000001</v>
      </c>
      <c r="E18" s="126">
        <f>BK!E43-BK!F43+BK!E45-BK!F45+BK!E46-BK!F46+BK!E47-BK!F47+BK!E48-BK!F48+BK!E49-BK!F49+BK!E50-BK!F50-E21+'ardh-shpenz'!E25</f>
        <v>-25093499.099999998</v>
      </c>
      <c r="F18" s="126">
        <f>BK!F43-BK!G43+BK!F45-BK!G45+BK!F46-BK!G46+BK!F47-BK!G47+BK!F48-BK!G48+BK!F49-BK!G49+BK!F50-BK!G50-F21+'ardh-shpenz'!F25</f>
        <v>-1776687.7200000007</v>
      </c>
      <c r="G18" s="126">
        <f>BK!G43-BK!H43+BK!G45-BK!H45+BK!G46-BK!H46+BK!G47-BK!H47+BK!G48-BK!H48+BK!G49-BK!H49+BK!G50-BK!H50-G21+'ardh-shpenz'!G25</f>
        <v>-1552584.4499999974</v>
      </c>
      <c r="H18" s="126">
        <f>BK!H43-BK!I43+BK!H45-BK!I45+BK!H46-BK!I46+BK!H47-BK!I47+BK!H48-BK!I48+BK!H49-BK!I49+BK!H50-BK!I50-H21+'ardh-shpenz'!H25</f>
        <v>-5215223.6025</v>
      </c>
      <c r="I18" s="126">
        <f>BK!I43-BK!J43+BK!I45-BK!J45+BK!I46-BK!J46+BK!I47-BK!J47+BK!I48-BK!J48+BK!I49-BK!J49+BK!I50-BK!J50-I21+'ardh-shpenz'!I25</f>
        <v>-4279224.0000000009</v>
      </c>
      <c r="J18" s="126">
        <f>BK!J43-BK!K43+BK!J45-BK!K45+BK!J46-BK!K46+BK!J47-BK!K47+BK!J48-BK!K48+BK!J49-BK!K49+BK!J50-BK!K50-J21+'ardh-shpenz'!J25</f>
        <v>-281133</v>
      </c>
      <c r="K18" s="126">
        <f>BK!K43-BK!L43+BK!K45-BK!L45+BK!K46-BK!L46+BK!K47-BK!L47+BK!K48-BK!L48+BK!K49-BK!L49+BK!K50-BK!L50-K21+'ardh-shpenz'!K25</f>
        <v>-10516877</v>
      </c>
      <c r="L18" s="126">
        <f>BK!L43-BK!M43+BK!L45-BK!M45+BK!L46-BK!M46+BK!L47-BK!M47+BK!L48-BK!M48+BK!L49-BK!M49+BK!L50-BK!M50-L21+'ardh-shpenz'!L25</f>
        <v>-882550</v>
      </c>
      <c r="M18" s="126">
        <f>BK!M43-BK!N43+BK!M45-BK!N45+BK!M46-BK!N46+BK!M47-BK!N47+BK!M48-BK!N48+BK!M49-BK!N49+BK!M50-BK!N50-M21+'ardh-shpenz'!M25</f>
        <v>14938267</v>
      </c>
      <c r="N18" s="126">
        <f>BK!N43-BK!P43+BK!N45-BK!P45+BK!N46-BK!P46+BK!N47-BK!P47+BK!N48-BK!P48+BK!N49-BK!P49+BK!N50-BK!P50-N21+'ardh-shpenz'!N25</f>
        <v>-2823848</v>
      </c>
      <c r="O18" s="133"/>
      <c r="P18" s="126">
        <f>BK!P43-BK!R43+BK!P45-BK!R45+BK!P46-BK!R46+BK!P47-BK!R47+BK!P48-BK!R48+BK!P49-BK!R49+BK!P50-BK!R50-P21+'ardh-shpenz'!P25</f>
        <v>2225664</v>
      </c>
      <c r="R18" s="121"/>
      <c r="S18" s="121"/>
    </row>
    <row r="19" spans="1:23" s="98" customFormat="1" ht="21.75" customHeight="1">
      <c r="B19" s="125" t="s">
        <v>34</v>
      </c>
      <c r="C19" s="125"/>
      <c r="D19" s="136">
        <f>SUM(D8:D18)</f>
        <v>4710732.5834999997</v>
      </c>
      <c r="E19" s="136">
        <f>SUM(E8:E18)</f>
        <v>-500193.37999999896</v>
      </c>
      <c r="F19" s="136">
        <f>SUM(F8:F18)</f>
        <v>2195187.2799999993</v>
      </c>
      <c r="G19" s="136">
        <f>SUM(G8:G18)</f>
        <v>7421431.7275000047</v>
      </c>
      <c r="H19" s="136">
        <f>SUM(H8:H18)</f>
        <v>3212834.3699999964</v>
      </c>
      <c r="I19" s="136">
        <f t="shared" ref="I19:N19" si="0">SUM(I8:I18)</f>
        <v>4224451.9999999991</v>
      </c>
      <c r="J19" s="136">
        <f t="shared" si="0"/>
        <v>3391114</v>
      </c>
      <c r="K19" s="136">
        <f t="shared" si="0"/>
        <v>1657093</v>
      </c>
      <c r="L19" s="136">
        <f t="shared" si="0"/>
        <v>4284391</v>
      </c>
      <c r="M19" s="136">
        <f t="shared" si="0"/>
        <v>2822506</v>
      </c>
      <c r="N19" s="136">
        <f t="shared" si="0"/>
        <v>8442833</v>
      </c>
      <c r="O19" s="137"/>
      <c r="P19" s="136">
        <f>SUM(P8:P18)</f>
        <v>10049287</v>
      </c>
      <c r="R19" s="121"/>
      <c r="S19" s="121"/>
      <c r="W19" s="138"/>
    </row>
    <row r="20" spans="1:23" s="98" customFormat="1" ht="12.75" customHeight="1">
      <c r="B20" s="98" t="s">
        <v>16</v>
      </c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4"/>
      <c r="P20" s="129"/>
      <c r="R20" s="121"/>
      <c r="S20" s="121"/>
    </row>
    <row r="21" spans="1:23" s="98" customFormat="1" ht="20.25" customHeight="1">
      <c r="B21" s="98" t="s">
        <v>17</v>
      </c>
      <c r="D21" s="131">
        <v>0</v>
      </c>
      <c r="E21" s="131">
        <v>0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  <c r="K21" s="131">
        <v>-90504</v>
      </c>
      <c r="L21" s="131">
        <v>-266702</v>
      </c>
      <c r="M21" s="131">
        <v>-279130</v>
      </c>
      <c r="N21" s="131">
        <v>-176936</v>
      </c>
      <c r="O21" s="134"/>
      <c r="P21" s="131">
        <v>-1000000</v>
      </c>
      <c r="R21" s="121"/>
      <c r="S21" s="121"/>
    </row>
    <row r="22" spans="1:23" s="98" customFormat="1"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34"/>
      <c r="P22" s="129"/>
      <c r="R22" s="121"/>
      <c r="S22" s="121"/>
    </row>
    <row r="23" spans="1:23" s="98" customFormat="1">
      <c r="A23" s="139" t="s">
        <v>18</v>
      </c>
      <c r="D23" s="140">
        <f>SUM(D19:D22)</f>
        <v>4710732.5834999997</v>
      </c>
      <c r="E23" s="140">
        <f>SUM(E19:E22)</f>
        <v>-500193.37999999896</v>
      </c>
      <c r="F23" s="140">
        <f>SUM(F19:F22)</f>
        <v>2195187.2799999993</v>
      </c>
      <c r="G23" s="140">
        <f>SUM(G19:G22)</f>
        <v>7421431.7275000047</v>
      </c>
      <c r="H23" s="140">
        <f>SUM(H19:H22)</f>
        <v>3212834.3699999964</v>
      </c>
      <c r="I23" s="140">
        <f t="shared" ref="I23:N23" si="1">SUM(I19:I22)</f>
        <v>4224451.9999999991</v>
      </c>
      <c r="J23" s="140">
        <f t="shared" si="1"/>
        <v>3391114</v>
      </c>
      <c r="K23" s="140">
        <f t="shared" si="1"/>
        <v>1566589</v>
      </c>
      <c r="L23" s="140">
        <f t="shared" si="1"/>
        <v>4017689</v>
      </c>
      <c r="M23" s="140">
        <f t="shared" si="1"/>
        <v>2543376</v>
      </c>
      <c r="N23" s="140">
        <f t="shared" si="1"/>
        <v>8265897</v>
      </c>
      <c r="O23" s="134"/>
      <c r="P23" s="140">
        <f>SUM(P19:P22)</f>
        <v>9049287</v>
      </c>
      <c r="R23" s="121"/>
      <c r="S23" s="121"/>
    </row>
    <row r="24" spans="1:23" s="98" customFormat="1">
      <c r="A24" s="139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34"/>
      <c r="P24" s="126"/>
      <c r="R24" s="121"/>
      <c r="S24" s="121"/>
    </row>
    <row r="25" spans="1:23" s="98" customFormat="1">
      <c r="B25" s="98" t="s">
        <v>35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34"/>
      <c r="P25" s="126"/>
      <c r="R25" s="121"/>
      <c r="S25" s="121"/>
    </row>
    <row r="26" spans="1:23" s="98" customFormat="1">
      <c r="B26" s="98" t="s">
        <v>36</v>
      </c>
      <c r="D26" s="131">
        <f>-BK!D33+BK!E33+'ardh-shpenz'!D15</f>
        <v>-4726755</v>
      </c>
      <c r="E26" s="131">
        <f>-BK!E33+BK!F33+'ardh-shpenz'!E15</f>
        <v>-479868</v>
      </c>
      <c r="F26" s="131">
        <f>-BK!F33+BK!G33+'ardh-shpenz'!F15</f>
        <v>-548104</v>
      </c>
      <c r="G26" s="131">
        <f>-BK!G33+BK!H33+'ardh-shpenz'!G15</f>
        <v>-7888321</v>
      </c>
      <c r="H26" s="131">
        <f>-BK!H33+BK!I33+'ardh-shpenz'!H15</f>
        <v>-3842242</v>
      </c>
      <c r="I26" s="131">
        <f>-BK!I33+BK!J33+'ardh-shpenz'!I15</f>
        <v>-3513086</v>
      </c>
      <c r="J26" s="131">
        <f>-BK!J33+BK!K33+'ardh-shpenz'!J15</f>
        <v>-4101712</v>
      </c>
      <c r="K26" s="131">
        <f>-BK!K33+BK!L33+'ardh-shpenz'!K15</f>
        <v>-1247293</v>
      </c>
      <c r="L26" s="131">
        <f>-BK!L33+BK!M33+'ardh-shpenz'!L15</f>
        <v>-3738233</v>
      </c>
      <c r="M26" s="131">
        <f>-BK!M33+BK!N33+'ardh-shpenz'!M15</f>
        <v>-3638041</v>
      </c>
      <c r="N26" s="131">
        <f>-BK!N33+BK!P33+'ardh-shpenz'!N15</f>
        <v>-7025043</v>
      </c>
      <c r="O26" s="137"/>
      <c r="P26" s="131">
        <f>-BK!P33+BK!R33+'ardh-shpenz'!P15</f>
        <v>-3412230</v>
      </c>
      <c r="R26" s="121"/>
      <c r="S26" s="121"/>
    </row>
    <row r="27" spans="1:23" s="98" customFormat="1">
      <c r="B27" s="98" t="s">
        <v>37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34"/>
      <c r="P27" s="129"/>
      <c r="R27" s="121"/>
      <c r="S27" s="121"/>
    </row>
    <row r="28" spans="1:23" s="98" customFormat="1" ht="12.75" customHeight="1">
      <c r="B28" s="98" t="s">
        <v>19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34"/>
      <c r="P28" s="129"/>
      <c r="R28" s="121"/>
      <c r="S28" s="121"/>
    </row>
    <row r="29" spans="1:23" s="98" customFormat="1" ht="12.75" customHeight="1">
      <c r="B29" s="98" t="s">
        <v>20</v>
      </c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34"/>
      <c r="P29" s="129"/>
      <c r="R29" s="121"/>
      <c r="S29" s="121"/>
    </row>
    <row r="30" spans="1:23" s="98" customFormat="1">
      <c r="B30" s="128"/>
      <c r="C30" s="128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34"/>
      <c r="P30" s="129"/>
      <c r="R30" s="121"/>
      <c r="S30" s="121"/>
    </row>
    <row r="31" spans="1:23" s="98" customFormat="1">
      <c r="B31" s="99" t="s">
        <v>90</v>
      </c>
      <c r="C31" s="99"/>
      <c r="D31" s="140">
        <f>SUM(D25:D29)</f>
        <v>-4726755</v>
      </c>
      <c r="E31" s="140">
        <f>SUM(E25:E29)</f>
        <v>-479868</v>
      </c>
      <c r="F31" s="140">
        <f>SUM(F25:F29)</f>
        <v>-548104</v>
      </c>
      <c r="G31" s="140">
        <f>SUM(G25:G29)</f>
        <v>-7888321</v>
      </c>
      <c r="H31" s="140">
        <f>SUM(H25:H29)</f>
        <v>-3842242</v>
      </c>
      <c r="I31" s="140">
        <f t="shared" ref="I31:N31" si="2">SUM(I25:I29)</f>
        <v>-3513086</v>
      </c>
      <c r="J31" s="140">
        <f t="shared" si="2"/>
        <v>-4101712</v>
      </c>
      <c r="K31" s="140">
        <f t="shared" si="2"/>
        <v>-1247293</v>
      </c>
      <c r="L31" s="140">
        <f t="shared" si="2"/>
        <v>-3738233</v>
      </c>
      <c r="M31" s="140">
        <f t="shared" si="2"/>
        <v>-3638041</v>
      </c>
      <c r="N31" s="140">
        <f t="shared" si="2"/>
        <v>-7025043</v>
      </c>
      <c r="O31" s="134"/>
      <c r="P31" s="140">
        <f>SUM(P25:P29)</f>
        <v>-3412230</v>
      </c>
      <c r="R31" s="121"/>
      <c r="S31" s="121"/>
    </row>
    <row r="32" spans="1:23" s="98" customFormat="1">
      <c r="B32" s="128"/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34"/>
      <c r="P32" s="129"/>
      <c r="R32" s="121"/>
      <c r="S32" s="121"/>
    </row>
    <row r="33" spans="2:20" s="98" customFormat="1">
      <c r="B33" s="98" t="s">
        <v>92</v>
      </c>
      <c r="D33" s="126">
        <v>0</v>
      </c>
      <c r="E33" s="126">
        <v>0</v>
      </c>
      <c r="F33" s="126">
        <v>0</v>
      </c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>
        <v>0</v>
      </c>
      <c r="M33" s="126">
        <v>0</v>
      </c>
      <c r="N33" s="126">
        <v>0</v>
      </c>
      <c r="O33" s="134"/>
      <c r="P33" s="126">
        <v>0</v>
      </c>
      <c r="R33" s="121"/>
      <c r="S33" s="121"/>
    </row>
    <row r="34" spans="2:20" s="98" customFormat="1">
      <c r="B34" s="98" t="s">
        <v>21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34"/>
      <c r="P34" s="126"/>
      <c r="R34" s="121"/>
      <c r="S34" s="121"/>
    </row>
    <row r="35" spans="2:20" s="98" customFormat="1">
      <c r="B35" s="98" t="s">
        <v>38</v>
      </c>
      <c r="D35" s="131">
        <f>+BK!D57-BK!E57</f>
        <v>0</v>
      </c>
      <c r="E35" s="131">
        <f>+BK!E57-BK!F57</f>
        <v>0</v>
      </c>
      <c r="F35" s="131">
        <f>+BK!F57-BK!G57</f>
        <v>0</v>
      </c>
      <c r="G35" s="131">
        <f>+BK!G57-BK!H57</f>
        <v>0</v>
      </c>
      <c r="H35" s="131">
        <f>+BK!H57-BK!I57</f>
        <v>0</v>
      </c>
      <c r="I35" s="131">
        <f>+BK!I57-BK!J57</f>
        <v>0</v>
      </c>
      <c r="J35" s="131">
        <f>+BK!J57-BK!K57</f>
        <v>0</v>
      </c>
      <c r="K35" s="131">
        <f>+BK!K57-BK!L57</f>
        <v>0</v>
      </c>
      <c r="L35" s="131">
        <f>+BK!L57-BK!M57</f>
        <v>0</v>
      </c>
      <c r="M35" s="131">
        <f>+BK!M57-BK!N57</f>
        <v>0</v>
      </c>
      <c r="N35" s="131">
        <f>+BK!N57-BK!P57</f>
        <v>-2440282</v>
      </c>
      <c r="O35" s="134"/>
      <c r="P35" s="131">
        <f>+BK!P57-BK!R57</f>
        <v>-6761244</v>
      </c>
      <c r="R35" s="131"/>
      <c r="S35" s="121"/>
    </row>
    <row r="36" spans="2:20" s="98" customFormat="1">
      <c r="B36" s="98" t="s">
        <v>22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34"/>
      <c r="P36" s="129"/>
      <c r="R36" s="121"/>
      <c r="S36" s="121"/>
    </row>
    <row r="37" spans="2:20" s="98" customFormat="1" ht="15.75" customHeight="1">
      <c r="B37" s="98" t="s">
        <v>39</v>
      </c>
      <c r="D37" s="142">
        <f>+BK!D64+BK!D65+BK!D66+BK!D67+BK!D68+BK!D69-BK!E64-BK!E65-BK!E66-BK!E67-BK!E68-BK!E69+-BK!E70</f>
        <v>0</v>
      </c>
      <c r="E37" s="142">
        <f>+BK!E64+BK!E65+BK!E66+BK!E67+BK!E68+BK!E69-BK!F64-BK!F65-BK!F66-BK!F67-BK!F68-BK!F69+-BK!F70</f>
        <v>0</v>
      </c>
      <c r="F37" s="142">
        <f>+BK!F64+BK!F65+BK!F66+BK!F67+BK!F68+BK!F69-BK!G64-BK!G65-BK!G66-BK!G67-BK!G68-BK!G69+-BK!G70</f>
        <v>0</v>
      </c>
      <c r="G37" s="142">
        <f>+BK!G64+BK!G65+BK!G66+BK!G67+BK!G68+BK!G69-BK!H64-BK!H65-BK!H66-BK!H67-BK!H68-BK!H69+-BK!H70</f>
        <v>0</v>
      </c>
      <c r="H37" s="142">
        <f>+BK!H64+BK!H65+BK!H66+BK!H67+BK!H68+BK!H69-BK!I64-BK!I65-BK!I66-BK!I67-BK!I68-BK!I69+-BK!I70</f>
        <v>0</v>
      </c>
      <c r="I37" s="142">
        <f>+BK!I64+BK!I65+BK!I66+BK!I67+BK!I68+BK!I69-BK!J64-BK!J65-BK!J66-BK!J67-BK!J68-BK!J69+-BK!J70</f>
        <v>0</v>
      </c>
      <c r="J37" s="142">
        <f>+BK!J64+BK!J65+BK!J66+BK!J67+BK!J68+BK!J69-BK!K64-BK!K65-BK!K66-BK!K67-BK!K68-BK!K69+-BK!K70</f>
        <v>0</v>
      </c>
      <c r="K37" s="142">
        <f>+BK!K64+BK!K65+BK!K66+BK!K67+BK!K68+BK!K69-BK!L64-BK!L65-BK!L66-BK!L67-BK!L68-BK!L69+-BK!L70</f>
        <v>0</v>
      </c>
      <c r="L37" s="142">
        <f>+BK!L64+BK!L65+BK!L66+BK!L67+BK!L68+BK!L69-BK!M64-BK!M65-BK!M66-BK!M67-BK!M68-BK!M69+-BK!M70</f>
        <v>-136968</v>
      </c>
      <c r="M37" s="142">
        <f>+BK!M64+BK!M65+BK!M66+BK!M67+BK!M68+BK!M69-BK!N64-BK!N65-BK!N66-BK!N67-BK!N68-BK!N69+-BK!N70</f>
        <v>0</v>
      </c>
      <c r="N37" s="142">
        <f>+BK!N64+BK!N65+BK!N66+BK!N67+BK!N68+BK!N69-BK!P64-BK!P65-BK!P66-BK!P67-BK!P68-BK!P69+-BK!P70</f>
        <v>0</v>
      </c>
      <c r="O37" s="137"/>
      <c r="P37" s="131">
        <v>0</v>
      </c>
      <c r="R37" s="121"/>
      <c r="S37" s="121"/>
    </row>
    <row r="38" spans="2:20" s="98" customFormat="1">
      <c r="B38" s="128"/>
      <c r="C38" s="128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34"/>
      <c r="P38" s="129"/>
      <c r="R38" s="121"/>
      <c r="S38" s="121"/>
    </row>
    <row r="39" spans="2:20" s="98" customFormat="1">
      <c r="B39" s="99" t="s">
        <v>132</v>
      </c>
      <c r="C39" s="99"/>
      <c r="D39" s="140">
        <f>SUM(D33:D38)</f>
        <v>0</v>
      </c>
      <c r="E39" s="140">
        <f>SUM(E33:E38)</f>
        <v>0</v>
      </c>
      <c r="F39" s="140">
        <f>SUM(F33:F38)</f>
        <v>0</v>
      </c>
      <c r="G39" s="140">
        <f>SUM(G33:G38)</f>
        <v>0</v>
      </c>
      <c r="H39" s="140">
        <f>SUM(H33:H38)</f>
        <v>0</v>
      </c>
      <c r="I39" s="140">
        <f t="shared" ref="I39:N39" si="3">SUM(I33:I38)</f>
        <v>0</v>
      </c>
      <c r="J39" s="140">
        <f t="shared" si="3"/>
        <v>0</v>
      </c>
      <c r="K39" s="140">
        <f t="shared" si="3"/>
        <v>0</v>
      </c>
      <c r="L39" s="140">
        <f t="shared" si="3"/>
        <v>-136968</v>
      </c>
      <c r="M39" s="140">
        <f t="shared" si="3"/>
        <v>0</v>
      </c>
      <c r="N39" s="140">
        <f t="shared" si="3"/>
        <v>-2440282</v>
      </c>
      <c r="O39" s="134"/>
      <c r="P39" s="140">
        <f>SUM(P33:P38)</f>
        <v>-6761244</v>
      </c>
      <c r="R39" s="121"/>
      <c r="S39" s="121"/>
      <c r="T39" s="138"/>
    </row>
    <row r="40" spans="2:20" s="98" customFormat="1">
      <c r="B40" s="128"/>
      <c r="C40" s="128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34"/>
      <c r="P40" s="129"/>
      <c r="R40" s="121"/>
      <c r="S40" s="126"/>
    </row>
    <row r="41" spans="2:20" s="98" customFormat="1">
      <c r="B41" s="139" t="s">
        <v>23</v>
      </c>
      <c r="C41" s="139"/>
      <c r="D41" s="143">
        <f>+D39+D23+D31</f>
        <v>-16022.416500000283</v>
      </c>
      <c r="E41" s="143">
        <f>+E39+E23+E31</f>
        <v>-980061.37999999896</v>
      </c>
      <c r="F41" s="143">
        <f>+F39+F23+F31</f>
        <v>1647083.2799999993</v>
      </c>
      <c r="G41" s="143">
        <f>+G39+G23+G31</f>
        <v>-466889.27249999531</v>
      </c>
      <c r="H41" s="143">
        <f>+H39+H23+H31</f>
        <v>-629407.63000000361</v>
      </c>
      <c r="I41" s="143">
        <f t="shared" ref="I41:N41" si="4">+I39+I23+I31</f>
        <v>711365.99999999907</v>
      </c>
      <c r="J41" s="143">
        <f t="shared" si="4"/>
        <v>-710598</v>
      </c>
      <c r="K41" s="143">
        <f t="shared" si="4"/>
        <v>319296</v>
      </c>
      <c r="L41" s="143">
        <f t="shared" si="4"/>
        <v>142488</v>
      </c>
      <c r="M41" s="143">
        <f t="shared" si="4"/>
        <v>-1094665</v>
      </c>
      <c r="N41" s="143">
        <f t="shared" si="4"/>
        <v>-1199428</v>
      </c>
      <c r="O41" s="134"/>
      <c r="P41" s="143">
        <f>+P39+P23+P31</f>
        <v>-1124187</v>
      </c>
      <c r="R41" s="121"/>
      <c r="S41" s="126"/>
    </row>
    <row r="42" spans="2:20" s="98" customFormat="1">
      <c r="B42" s="139"/>
      <c r="C42" s="139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4"/>
      <c r="P42" s="131"/>
      <c r="R42" s="121"/>
      <c r="S42" s="121"/>
    </row>
    <row r="43" spans="2:20" s="98" customFormat="1">
      <c r="B43" s="139" t="s">
        <v>91</v>
      </c>
      <c r="C43" s="139"/>
      <c r="D43" s="144">
        <f t="shared" ref="D43:M43" si="5">+E44</f>
        <v>1052253.9975000005</v>
      </c>
      <c r="E43" s="144">
        <f t="shared" si="5"/>
        <v>2032315.3774999995</v>
      </c>
      <c r="F43" s="144">
        <f t="shared" si="5"/>
        <v>385232.09750000015</v>
      </c>
      <c r="G43" s="144">
        <f t="shared" si="5"/>
        <v>852121.36999999546</v>
      </c>
      <c r="H43" s="144">
        <f t="shared" si="5"/>
        <v>1481528.9999999991</v>
      </c>
      <c r="I43" s="144">
        <f t="shared" si="5"/>
        <v>770163</v>
      </c>
      <c r="J43" s="144">
        <f t="shared" si="5"/>
        <v>1480761</v>
      </c>
      <c r="K43" s="144">
        <f t="shared" si="5"/>
        <v>1161465</v>
      </c>
      <c r="L43" s="144">
        <f t="shared" si="5"/>
        <v>1018978</v>
      </c>
      <c r="M43" s="144">
        <f t="shared" si="5"/>
        <v>2113643</v>
      </c>
      <c r="N43" s="144">
        <f>+P44</f>
        <v>3313071</v>
      </c>
      <c r="O43" s="145"/>
      <c r="P43" s="144">
        <f>+BK!R8</f>
        <v>4437258</v>
      </c>
      <c r="R43" s="121"/>
      <c r="S43" s="121"/>
    </row>
    <row r="44" spans="2:20" s="98" customFormat="1">
      <c r="B44" s="139" t="s">
        <v>24</v>
      </c>
      <c r="C44" s="139"/>
      <c r="D44" s="146">
        <f>+D43+D41</f>
        <v>1036231.5810000002</v>
      </c>
      <c r="E44" s="146">
        <f>+E43+E41</f>
        <v>1052253.9975000005</v>
      </c>
      <c r="F44" s="146">
        <f t="shared" ref="F44:K44" si="6">+F43+F41</f>
        <v>2032315.3774999995</v>
      </c>
      <c r="G44" s="146">
        <f t="shared" si="6"/>
        <v>385232.09750000015</v>
      </c>
      <c r="H44" s="146">
        <f t="shared" si="6"/>
        <v>852121.36999999546</v>
      </c>
      <c r="I44" s="146">
        <f t="shared" si="6"/>
        <v>1481528.9999999991</v>
      </c>
      <c r="J44" s="146">
        <f t="shared" si="6"/>
        <v>770163</v>
      </c>
      <c r="K44" s="146">
        <f t="shared" si="6"/>
        <v>1480761</v>
      </c>
      <c r="L44" s="146">
        <f>+L43+L41-1</f>
        <v>1161465</v>
      </c>
      <c r="M44" s="146">
        <f>+M43+M41</f>
        <v>1018978</v>
      </c>
      <c r="N44" s="146">
        <f>+BK!N8</f>
        <v>2113643</v>
      </c>
      <c r="O44" s="147"/>
      <c r="P44" s="146">
        <f>+BK!P8</f>
        <v>3313071</v>
      </c>
      <c r="R44" s="121"/>
      <c r="S44" s="121"/>
    </row>
    <row r="45" spans="2:20" s="98" customFormat="1"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7"/>
      <c r="P45" s="126"/>
      <c r="R45" s="121"/>
      <c r="S45" s="121"/>
    </row>
    <row r="46" spans="2:20" s="98" customFormat="1"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33"/>
      <c r="P46" s="126"/>
      <c r="R46" s="121"/>
      <c r="S46" s="121"/>
    </row>
    <row r="48" spans="2:20">
      <c r="C48" s="29">
        <v>4</v>
      </c>
    </row>
    <row r="49" spans="2:16">
      <c r="B49" s="116"/>
      <c r="C49" s="116"/>
    </row>
    <row r="50" spans="2:16">
      <c r="B50" s="112" t="s">
        <v>453</v>
      </c>
      <c r="C50" s="112"/>
      <c r="D50" s="70" t="s">
        <v>452</v>
      </c>
      <c r="E50" s="70"/>
      <c r="F50" s="70"/>
      <c r="G50" s="70"/>
      <c r="H50" s="70"/>
      <c r="I50" s="70"/>
      <c r="J50" s="70"/>
      <c r="K50" s="70"/>
      <c r="L50" s="118"/>
      <c r="M50" s="118"/>
      <c r="N50" s="118"/>
      <c r="O50" s="119" t="s">
        <v>452</v>
      </c>
      <c r="P50" s="118"/>
    </row>
    <row r="51" spans="2:16">
      <c r="B51" s="112"/>
      <c r="C51" s="112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9"/>
      <c r="P51" s="118"/>
    </row>
    <row r="52" spans="2:16">
      <c r="B52" s="99"/>
      <c r="C52" s="99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20"/>
      <c r="P52" s="108"/>
    </row>
  </sheetData>
  <phoneticPr fontId="3" type="noConversion"/>
  <pageMargins left="0.59" right="0.59" top="0.81" bottom="0.67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workbookViewId="0">
      <selection activeCell="H28" sqref="H28"/>
    </sheetView>
  </sheetViews>
  <sheetFormatPr defaultRowHeight="12.75"/>
  <cols>
    <col min="1" max="1" width="4.28515625" style="73" customWidth="1"/>
    <col min="2" max="2" width="35.28515625" style="73" customWidth="1"/>
    <col min="3" max="3" width="9.85546875" style="73" bestFit="1" customWidth="1"/>
    <col min="4" max="4" width="11.7109375" style="73" customWidth="1"/>
    <col min="5" max="5" width="9.7109375" style="73" customWidth="1"/>
    <col min="6" max="6" width="12.5703125" style="73" customWidth="1"/>
    <col min="7" max="7" width="13.140625" style="73" customWidth="1"/>
    <col min="8" max="8" width="10.42578125" style="73" bestFit="1" customWidth="1"/>
    <col min="9" max="9" width="9.85546875" style="73" bestFit="1" customWidth="1"/>
    <col min="10" max="10" width="11.140625" style="73" customWidth="1"/>
    <col min="11" max="11" width="12" style="73" bestFit="1" customWidth="1"/>
    <col min="12" max="16384" width="9.140625" style="73"/>
  </cols>
  <sheetData>
    <row r="1" spans="1:11" ht="15.75">
      <c r="A1" s="29" t="s">
        <v>454</v>
      </c>
    </row>
    <row r="2" spans="1:11" ht="16.5">
      <c r="A2" s="11" t="s">
        <v>1049</v>
      </c>
    </row>
    <row r="3" spans="1:11" ht="16.5">
      <c r="A3" s="11" t="s">
        <v>97</v>
      </c>
    </row>
    <row r="5" spans="1:11" ht="13.5" thickBot="1">
      <c r="B5" s="573"/>
      <c r="C5" s="574" t="s">
        <v>458</v>
      </c>
      <c r="D5" s="574"/>
      <c r="E5" s="574"/>
      <c r="F5" s="574"/>
      <c r="G5" s="574"/>
      <c r="H5" s="574"/>
      <c r="I5" s="574"/>
      <c r="J5" s="72"/>
      <c r="K5" s="150"/>
    </row>
    <row r="6" spans="1:11" ht="63" customHeight="1" thickBot="1">
      <c r="B6" s="573"/>
      <c r="C6" s="368" t="s">
        <v>93</v>
      </c>
      <c r="D6" s="368" t="s">
        <v>459</v>
      </c>
      <c r="E6" s="368" t="s">
        <v>460</v>
      </c>
      <c r="F6" s="368" t="s">
        <v>461</v>
      </c>
      <c r="G6" s="368" t="s">
        <v>462</v>
      </c>
      <c r="H6" s="368" t="s">
        <v>463</v>
      </c>
      <c r="I6" s="368" t="s">
        <v>2</v>
      </c>
      <c r="J6" s="369" t="s">
        <v>464</v>
      </c>
      <c r="K6" s="370" t="s">
        <v>2</v>
      </c>
    </row>
    <row r="7" spans="1:11" ht="26.25" customHeight="1" thickBot="1">
      <c r="A7" s="73" t="s">
        <v>478</v>
      </c>
      <c r="B7" s="367" t="s">
        <v>1050</v>
      </c>
      <c r="C7" s="374">
        <v>10000000</v>
      </c>
      <c r="D7" s="157"/>
      <c r="E7" s="157"/>
      <c r="F7" s="157">
        <v>628340</v>
      </c>
      <c r="G7" s="157"/>
      <c r="H7" s="157">
        <v>15879567</v>
      </c>
      <c r="I7" s="157">
        <f>+C7+H7+F7</f>
        <v>26507907</v>
      </c>
      <c r="J7" s="158"/>
      <c r="K7" s="159">
        <f>+I7</f>
        <v>26507907</v>
      </c>
    </row>
    <row r="8" spans="1:11">
      <c r="A8" s="73" t="s">
        <v>168</v>
      </c>
      <c r="B8" s="76" t="s">
        <v>465</v>
      </c>
      <c r="C8" s="371"/>
      <c r="D8" s="371"/>
      <c r="E8" s="371"/>
      <c r="F8" s="371"/>
      <c r="G8" s="371"/>
      <c r="H8" s="371"/>
      <c r="I8" s="371"/>
      <c r="J8" s="372"/>
      <c r="K8" s="373"/>
    </row>
    <row r="9" spans="1:11">
      <c r="A9" s="73" t="s">
        <v>170</v>
      </c>
      <c r="B9" s="76" t="s">
        <v>466</v>
      </c>
      <c r="C9" s="75"/>
      <c r="D9" s="75"/>
      <c r="E9" s="75"/>
      <c r="F9" s="75"/>
      <c r="G9" s="75"/>
      <c r="H9" s="75"/>
      <c r="I9" s="75"/>
      <c r="J9" s="149"/>
      <c r="K9" s="151"/>
    </row>
    <row r="10" spans="1:11" ht="25.5">
      <c r="A10" s="73">
        <v>1</v>
      </c>
      <c r="B10" s="76" t="s">
        <v>467</v>
      </c>
      <c r="C10" s="75"/>
      <c r="D10" s="75"/>
      <c r="E10" s="75"/>
      <c r="F10" s="75"/>
      <c r="G10" s="75"/>
      <c r="H10" s="75"/>
      <c r="I10" s="75"/>
      <c r="J10" s="149"/>
      <c r="K10" s="151"/>
    </row>
    <row r="11" spans="1:11" ht="38.25">
      <c r="A11" s="73">
        <v>2</v>
      </c>
      <c r="B11" s="76" t="s">
        <v>468</v>
      </c>
      <c r="C11" s="75"/>
      <c r="D11" s="75"/>
      <c r="E11" s="75"/>
      <c r="F11" s="75"/>
      <c r="G11" s="75"/>
      <c r="H11" s="75"/>
      <c r="I11" s="75"/>
      <c r="J11" s="149"/>
      <c r="K11" s="151"/>
    </row>
    <row r="12" spans="1:11">
      <c r="A12" s="73">
        <v>3</v>
      </c>
      <c r="B12" s="76" t="s">
        <v>469</v>
      </c>
      <c r="C12" s="75"/>
      <c r="D12" s="75"/>
      <c r="E12" s="75"/>
      <c r="F12" s="75"/>
      <c r="G12" s="75"/>
      <c r="H12" s="75">
        <f>+BK!E70</f>
        <v>7209158.5499999998</v>
      </c>
      <c r="I12" s="75">
        <f>+C12+H12+F12</f>
        <v>7209158.5499999998</v>
      </c>
      <c r="J12" s="149"/>
      <c r="K12" s="151">
        <f>+H12</f>
        <v>7209158.5499999998</v>
      </c>
    </row>
    <row r="13" spans="1:11">
      <c r="A13" s="73">
        <v>4</v>
      </c>
      <c r="B13" s="76" t="s">
        <v>470</v>
      </c>
      <c r="C13" s="75"/>
      <c r="D13" s="75"/>
      <c r="E13" s="75"/>
      <c r="F13" s="75"/>
      <c r="G13" s="75"/>
      <c r="H13" s="75"/>
      <c r="I13" s="75"/>
      <c r="J13" s="149"/>
      <c r="K13" s="151">
        <f>+H13</f>
        <v>0</v>
      </c>
    </row>
    <row r="14" spans="1:11" ht="25.5">
      <c r="A14" s="73">
        <v>5</v>
      </c>
      <c r="B14" s="76" t="s">
        <v>471</v>
      </c>
      <c r="C14" s="75"/>
      <c r="D14" s="75"/>
      <c r="E14" s="75"/>
      <c r="F14" s="75"/>
      <c r="G14" s="75"/>
      <c r="H14" s="75"/>
      <c r="I14" s="75"/>
      <c r="J14" s="149"/>
      <c r="K14" s="151"/>
    </row>
    <row r="15" spans="1:11" ht="13.5" thickBot="1">
      <c r="A15" s="73">
        <v>6</v>
      </c>
      <c r="B15" s="76" t="s">
        <v>472</v>
      </c>
      <c r="C15" s="153"/>
      <c r="D15" s="153"/>
      <c r="E15" s="153"/>
      <c r="F15" s="153"/>
      <c r="G15" s="153"/>
      <c r="H15" s="153"/>
      <c r="I15" s="153"/>
      <c r="J15" s="154"/>
      <c r="K15" s="155">
        <f>SUM(C15:H15)</f>
        <v>0</v>
      </c>
    </row>
    <row r="16" spans="1:11" ht="13.5" thickBot="1">
      <c r="A16" s="73" t="s">
        <v>146</v>
      </c>
      <c r="B16" s="367" t="s">
        <v>1018</v>
      </c>
      <c r="C16" s="374">
        <f>SUM(C7:C15)</f>
        <v>10000000</v>
      </c>
      <c r="D16" s="157"/>
      <c r="E16" s="157"/>
      <c r="F16" s="157">
        <f>SUM(F7:F15)</f>
        <v>628340</v>
      </c>
      <c r="G16" s="157"/>
      <c r="H16" s="157">
        <f>SUM(H7:H15)</f>
        <v>23088725.550000001</v>
      </c>
      <c r="I16" s="157">
        <f>+C16+H16+F16</f>
        <v>33717065.549999997</v>
      </c>
      <c r="J16" s="158"/>
      <c r="K16" s="159">
        <f>+I16</f>
        <v>33717065.549999997</v>
      </c>
    </row>
    <row r="17" spans="1:11" ht="25.5">
      <c r="A17" s="73">
        <v>1</v>
      </c>
      <c r="B17" s="76" t="s">
        <v>473</v>
      </c>
      <c r="C17" s="371"/>
      <c r="D17" s="371"/>
      <c r="E17" s="371"/>
      <c r="F17" s="371"/>
      <c r="G17" s="371"/>
      <c r="H17" s="371"/>
      <c r="I17" s="371"/>
      <c r="J17" s="372"/>
      <c r="K17" s="373"/>
    </row>
    <row r="18" spans="1:11" ht="38.25">
      <c r="A18" s="73">
        <v>2</v>
      </c>
      <c r="B18" s="76" t="s">
        <v>474</v>
      </c>
      <c r="C18" s="75"/>
      <c r="D18" s="75"/>
      <c r="E18" s="75"/>
      <c r="F18" s="75"/>
      <c r="G18" s="75"/>
      <c r="H18" s="75"/>
      <c r="I18" s="75"/>
      <c r="J18" s="149"/>
      <c r="K18" s="151"/>
    </row>
    <row r="19" spans="1:11" ht="15.75" customHeight="1">
      <c r="A19" s="73">
        <v>3</v>
      </c>
      <c r="B19" s="74" t="s">
        <v>475</v>
      </c>
      <c r="C19" s="75"/>
      <c r="D19" s="75"/>
      <c r="E19" s="75"/>
      <c r="F19" s="75"/>
      <c r="G19" s="75"/>
      <c r="H19" s="75">
        <f>+BK!D70</f>
        <v>7154039.7825000025</v>
      </c>
      <c r="I19" s="75">
        <f>+H19</f>
        <v>7154039.7825000025</v>
      </c>
      <c r="J19" s="149"/>
      <c r="K19" s="151">
        <f>+I19</f>
        <v>7154039.7825000025</v>
      </c>
    </row>
    <row r="20" spans="1:11">
      <c r="A20" s="73">
        <v>4</v>
      </c>
      <c r="B20" s="76" t="s">
        <v>470</v>
      </c>
      <c r="C20" s="75"/>
      <c r="D20" s="75"/>
      <c r="E20" s="75"/>
      <c r="F20" s="75"/>
      <c r="G20" s="75"/>
      <c r="H20" s="75"/>
      <c r="I20" s="75">
        <f>+H20</f>
        <v>0</v>
      </c>
      <c r="J20" s="149"/>
      <c r="K20" s="151">
        <f>+I20</f>
        <v>0</v>
      </c>
    </row>
    <row r="21" spans="1:11">
      <c r="A21" s="73">
        <v>5</v>
      </c>
      <c r="B21" s="76" t="s">
        <v>476</v>
      </c>
      <c r="C21" s="75"/>
      <c r="D21" s="75"/>
      <c r="E21" s="75"/>
      <c r="F21" s="75"/>
      <c r="G21" s="75"/>
      <c r="H21" s="75">
        <v>0</v>
      </c>
      <c r="I21" s="75">
        <f>+C21+F21+H21</f>
        <v>0</v>
      </c>
      <c r="J21" s="149"/>
      <c r="K21" s="151">
        <f>+I21</f>
        <v>0</v>
      </c>
    </row>
    <row r="22" spans="1:11" ht="13.5" thickBot="1">
      <c r="A22" s="73">
        <v>6</v>
      </c>
      <c r="B22" s="152" t="s">
        <v>477</v>
      </c>
      <c r="C22" s="153"/>
      <c r="D22" s="153"/>
      <c r="E22" s="153"/>
      <c r="F22" s="153"/>
      <c r="G22" s="153"/>
      <c r="H22" s="153"/>
      <c r="I22" s="75">
        <f>+H22</f>
        <v>0</v>
      </c>
      <c r="J22" s="154"/>
      <c r="K22" s="151">
        <f>+I22</f>
        <v>0</v>
      </c>
    </row>
    <row r="23" spans="1:11" ht="13.5" thickBot="1">
      <c r="A23" s="73" t="s">
        <v>156</v>
      </c>
      <c r="B23" s="156" t="s">
        <v>1051</v>
      </c>
      <c r="C23" s="157">
        <f>SUM(C16:C22)</f>
        <v>10000000</v>
      </c>
      <c r="D23" s="157">
        <f>SUM(D16:D22)</f>
        <v>0</v>
      </c>
      <c r="E23" s="157">
        <f>SUM(E16:E22)</f>
        <v>0</v>
      </c>
      <c r="F23" s="157">
        <f>SUM(F16:F22)</f>
        <v>628340</v>
      </c>
      <c r="G23" s="157"/>
      <c r="H23" s="157">
        <f>SUM(H16:H22)</f>
        <v>30242765.332500003</v>
      </c>
      <c r="I23" s="157">
        <f>SUM(I16:I22)</f>
        <v>40871105.332499996</v>
      </c>
      <c r="J23" s="158"/>
      <c r="K23" s="159">
        <f>SUM(K16:K22)</f>
        <v>40871105.332499996</v>
      </c>
    </row>
    <row r="25" spans="1:11">
      <c r="F25" s="432">
        <v>5</v>
      </c>
      <c r="K25" s="277"/>
    </row>
    <row r="26" spans="1:11">
      <c r="K26" s="375"/>
    </row>
    <row r="28" spans="1:11">
      <c r="K28" s="277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95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topLeftCell="C1" workbookViewId="0">
      <selection activeCell="H28" sqref="H28"/>
    </sheetView>
  </sheetViews>
  <sheetFormatPr defaultRowHeight="12.75"/>
  <cols>
    <col min="1" max="1" width="12.140625" style="73" hidden="1" customWidth="1"/>
    <col min="2" max="2" width="9.42578125" style="73" hidden="1" customWidth="1"/>
    <col min="3" max="3" width="30.7109375" style="73" customWidth="1"/>
    <col min="4" max="4" width="21.28515625" style="73" customWidth="1"/>
    <col min="5" max="5" width="3.5703125" style="73" customWidth="1"/>
    <col min="6" max="6" width="9.7109375" style="73" customWidth="1"/>
    <col min="7" max="7" width="8.42578125" style="73" customWidth="1"/>
    <col min="8" max="8" width="12.140625" style="73" customWidth="1"/>
    <col min="9" max="9" width="13.5703125" style="73" customWidth="1"/>
    <col min="10" max="10" width="15.7109375" style="73" customWidth="1"/>
    <col min="11" max="11" width="9.140625" style="73"/>
    <col min="12" max="12" width="12.28515625" style="73" customWidth="1"/>
    <col min="13" max="17" width="0" style="73" hidden="1" customWidth="1"/>
    <col min="18" max="18" width="9.5703125" style="73" hidden="1" customWidth="1"/>
    <col min="19" max="20" width="0" style="73" hidden="1" customWidth="1"/>
    <col min="21" max="21" width="11.7109375" style="73" bestFit="1" customWidth="1"/>
    <col min="22" max="22" width="9.5703125" style="73" bestFit="1" customWidth="1"/>
    <col min="23" max="16384" width="9.140625" style="73"/>
  </cols>
  <sheetData>
    <row r="1" spans="1:22">
      <c r="C1" s="3" t="s">
        <v>454</v>
      </c>
    </row>
    <row r="2" spans="1:22" ht="13.5">
      <c r="C2" s="165" t="s">
        <v>542</v>
      </c>
    </row>
    <row r="3" spans="1:22">
      <c r="C3" s="166" t="s">
        <v>1052</v>
      </c>
    </row>
    <row r="4" spans="1:22">
      <c r="A4" s="167"/>
      <c r="B4" s="167"/>
      <c r="C4" s="168" t="s">
        <v>97</v>
      </c>
      <c r="D4" s="167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</row>
    <row r="5" spans="1:22">
      <c r="A5" s="167"/>
      <c r="B5" s="167"/>
      <c r="C5" s="167"/>
      <c r="D5" s="167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1:22" ht="13.5" thickBot="1">
      <c r="A6" s="167"/>
      <c r="B6" s="167"/>
      <c r="C6" s="167"/>
      <c r="D6" s="167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</row>
    <row r="7" spans="1:22" ht="12.75" customHeight="1">
      <c r="A7" s="577"/>
      <c r="B7" s="577"/>
      <c r="C7" s="171" t="s">
        <v>479</v>
      </c>
      <c r="D7" s="172"/>
      <c r="E7" s="173"/>
      <c r="F7" s="174" t="s">
        <v>480</v>
      </c>
      <c r="G7" s="175" t="s">
        <v>481</v>
      </c>
      <c r="H7" s="176" t="s">
        <v>351</v>
      </c>
      <c r="I7" s="175" t="s">
        <v>482</v>
      </c>
      <c r="J7" s="177" t="s">
        <v>573</v>
      </c>
      <c r="K7" s="164" t="s">
        <v>483</v>
      </c>
      <c r="L7" s="178" t="s">
        <v>484</v>
      </c>
      <c r="M7" s="179"/>
      <c r="N7" s="180"/>
      <c r="O7" s="575" t="s">
        <v>485</v>
      </c>
    </row>
    <row r="8" spans="1:22" ht="13.5" thickBot="1">
      <c r="A8" s="170"/>
      <c r="B8" s="170"/>
      <c r="C8" s="181"/>
      <c r="D8" s="182"/>
      <c r="E8" s="173"/>
      <c r="F8" s="183"/>
      <c r="G8" s="184"/>
      <c r="H8" s="184"/>
      <c r="I8" s="184"/>
      <c r="J8" s="276" t="s">
        <v>574</v>
      </c>
      <c r="K8" s="185"/>
      <c r="L8" s="185"/>
      <c r="M8" s="179"/>
      <c r="N8" s="180"/>
      <c r="O8" s="576"/>
    </row>
    <row r="9" spans="1:22">
      <c r="A9" s="170"/>
      <c r="B9" s="170"/>
      <c r="C9" s="170"/>
      <c r="D9" s="170"/>
      <c r="E9" s="173"/>
      <c r="F9" s="186"/>
      <c r="G9" s="186"/>
      <c r="H9" s="187"/>
      <c r="I9" s="186"/>
      <c r="J9" s="187"/>
      <c r="K9" s="187"/>
      <c r="L9" s="179"/>
      <c r="M9" s="179"/>
      <c r="N9" s="180"/>
      <c r="O9" s="188"/>
    </row>
    <row r="10" spans="1:22">
      <c r="A10" s="170"/>
      <c r="B10" s="170"/>
      <c r="C10" s="189"/>
      <c r="D10" s="190"/>
      <c r="E10" s="173"/>
      <c r="F10" s="191"/>
      <c r="G10" s="192"/>
      <c r="H10" s="193"/>
      <c r="I10" s="192"/>
      <c r="J10" s="194"/>
      <c r="K10" s="194"/>
      <c r="L10" s="195"/>
      <c r="M10" s="179"/>
      <c r="N10" s="180"/>
      <c r="O10" s="196"/>
    </row>
    <row r="11" spans="1:22">
      <c r="A11" s="170"/>
      <c r="B11" s="170"/>
      <c r="C11" s="197"/>
      <c r="D11" s="198"/>
      <c r="E11" s="173"/>
      <c r="F11" s="199"/>
      <c r="G11" s="200"/>
      <c r="H11" s="201" t="s">
        <v>570</v>
      </c>
      <c r="I11" s="200"/>
      <c r="J11" s="202"/>
      <c r="K11" s="202"/>
      <c r="L11" s="203"/>
      <c r="M11" s="179"/>
      <c r="N11" s="180"/>
      <c r="O11" s="204"/>
    </row>
    <row r="12" spans="1:22" ht="13.5" thickBot="1">
      <c r="A12" s="170"/>
      <c r="B12" s="170"/>
      <c r="C12" s="197"/>
      <c r="D12" s="198"/>
      <c r="E12" s="205"/>
      <c r="F12" s="206"/>
      <c r="G12" s="207"/>
      <c r="H12" s="208"/>
      <c r="I12" s="207"/>
      <c r="J12" s="209"/>
      <c r="K12" s="209"/>
      <c r="L12" s="210"/>
      <c r="M12" s="179"/>
      <c r="N12" s="180"/>
      <c r="O12" s="211"/>
    </row>
    <row r="13" spans="1:22" ht="13.5">
      <c r="A13" s="212" t="s">
        <v>486</v>
      </c>
      <c r="B13" s="212" t="s">
        <v>487</v>
      </c>
      <c r="C13" s="213" t="s">
        <v>1053</v>
      </c>
      <c r="D13" s="214" t="s">
        <v>488</v>
      </c>
      <c r="E13" s="215" t="s">
        <v>489</v>
      </c>
      <c r="F13" s="281"/>
      <c r="G13" s="282"/>
      <c r="H13" s="283"/>
      <c r="I13" s="284">
        <v>4885000</v>
      </c>
      <c r="J13" s="284">
        <v>67146390</v>
      </c>
      <c r="K13" s="289"/>
      <c r="L13" s="216">
        <f>SUM(F13:K13)</f>
        <v>72031390</v>
      </c>
      <c r="M13" s="217"/>
      <c r="N13" s="218"/>
      <c r="O13" s="216"/>
    </row>
    <row r="14" spans="1:22" ht="13.5">
      <c r="A14" s="212" t="s">
        <v>486</v>
      </c>
      <c r="B14" s="219" t="s">
        <v>490</v>
      </c>
      <c r="C14" s="220" t="s">
        <v>1053</v>
      </c>
      <c r="D14" s="221" t="s">
        <v>491</v>
      </c>
      <c r="E14" s="215" t="s">
        <v>489</v>
      </c>
      <c r="F14" s="285"/>
      <c r="G14" s="279"/>
      <c r="H14" s="280"/>
      <c r="I14" s="279">
        <v>4885000</v>
      </c>
      <c r="J14" s="279">
        <v>41153250</v>
      </c>
      <c r="K14" s="290"/>
      <c r="L14" s="222">
        <f>SUM(F14:K14)</f>
        <v>46038250</v>
      </c>
      <c r="M14" s="217"/>
      <c r="N14" s="218"/>
      <c r="O14" s="222"/>
      <c r="V14" s="226"/>
    </row>
    <row r="15" spans="1:22" ht="14.25" thickBot="1">
      <c r="A15" s="212" t="s">
        <v>486</v>
      </c>
      <c r="B15" s="219" t="s">
        <v>492</v>
      </c>
      <c r="C15" s="223" t="s">
        <v>1053</v>
      </c>
      <c r="D15" s="224" t="s">
        <v>493</v>
      </c>
      <c r="E15" s="215" t="s">
        <v>489</v>
      </c>
      <c r="F15" s="286"/>
      <c r="G15" s="287"/>
      <c r="H15" s="288"/>
      <c r="I15" s="288"/>
      <c r="J15" s="288"/>
      <c r="K15" s="291"/>
      <c r="L15" s="292"/>
      <c r="M15" s="217"/>
      <c r="N15" s="218"/>
      <c r="O15" s="225"/>
      <c r="R15" s="226"/>
    </row>
    <row r="16" spans="1:22" ht="14.25" thickBot="1">
      <c r="A16" s="212"/>
      <c r="B16" s="219"/>
      <c r="C16" s="227"/>
      <c r="D16" s="228"/>
      <c r="E16" s="215"/>
      <c r="F16" s="229"/>
      <c r="G16" s="230"/>
      <c r="H16" s="231"/>
      <c r="I16" s="230"/>
      <c r="J16" s="232"/>
      <c r="K16" s="233"/>
      <c r="L16" s="234"/>
      <c r="M16" s="235"/>
      <c r="N16" s="218"/>
      <c r="O16" s="234"/>
    </row>
    <row r="17" spans="1:22" ht="13.5">
      <c r="A17" s="212" t="s">
        <v>494</v>
      </c>
      <c r="B17" s="212" t="s">
        <v>487</v>
      </c>
      <c r="C17" s="236" t="s">
        <v>1054</v>
      </c>
      <c r="D17" s="237" t="s">
        <v>495</v>
      </c>
      <c r="E17" s="215" t="s">
        <v>489</v>
      </c>
      <c r="F17" s="238"/>
      <c r="G17" s="239"/>
      <c r="H17" s="240">
        <v>0</v>
      </c>
      <c r="I17" s="239">
        <v>0</v>
      </c>
      <c r="J17" s="241">
        <v>4726755</v>
      </c>
      <c r="K17" s="242"/>
      <c r="L17" s="243">
        <f>SUM(F17:K17)</f>
        <v>4726755</v>
      </c>
      <c r="M17" s="235"/>
      <c r="N17" s="218"/>
      <c r="O17" s="216"/>
    </row>
    <row r="18" spans="1:22" ht="13.5">
      <c r="A18" s="212" t="s">
        <v>496</v>
      </c>
      <c r="B18" s="212" t="s">
        <v>487</v>
      </c>
      <c r="C18" s="236" t="s">
        <v>1055</v>
      </c>
      <c r="D18" s="237" t="s">
        <v>495</v>
      </c>
      <c r="E18" s="215" t="s">
        <v>497</v>
      </c>
      <c r="F18" s="238"/>
      <c r="G18" s="239"/>
      <c r="H18" s="240"/>
      <c r="I18" s="239"/>
      <c r="J18" s="241"/>
      <c r="K18" s="244"/>
      <c r="L18" s="243">
        <f>SUM(F18:K18)</f>
        <v>0</v>
      </c>
      <c r="M18" s="235"/>
      <c r="N18" s="218"/>
      <c r="O18" s="243"/>
    </row>
    <row r="19" spans="1:22" ht="13.5">
      <c r="A19" s="212" t="s">
        <v>498</v>
      </c>
      <c r="B19" s="212" t="s">
        <v>499</v>
      </c>
      <c r="C19" s="236" t="s">
        <v>500</v>
      </c>
      <c r="D19" s="237"/>
      <c r="E19" s="215" t="s">
        <v>501</v>
      </c>
      <c r="F19" s="238"/>
      <c r="G19" s="239"/>
      <c r="H19" s="240"/>
      <c r="I19" s="239"/>
      <c r="J19" s="241"/>
      <c r="K19" s="242"/>
      <c r="L19" s="243">
        <f>SUM(F19:K19)</f>
        <v>0</v>
      </c>
      <c r="M19" s="235"/>
      <c r="N19" s="218"/>
      <c r="O19" s="243"/>
    </row>
    <row r="20" spans="1:22" ht="13.5">
      <c r="A20" s="212"/>
      <c r="B20" s="212"/>
      <c r="C20" s="236"/>
      <c r="D20" s="237"/>
      <c r="E20" s="215"/>
      <c r="F20" s="238"/>
      <c r="G20" s="239"/>
      <c r="H20" s="240"/>
      <c r="I20" s="239"/>
      <c r="J20" s="241"/>
      <c r="K20" s="242"/>
      <c r="L20" s="243">
        <v>0</v>
      </c>
      <c r="M20" s="235"/>
      <c r="N20" s="218"/>
      <c r="O20" s="243"/>
    </row>
    <row r="21" spans="1:22" ht="13.5">
      <c r="A21" s="212" t="s">
        <v>492</v>
      </c>
      <c r="B21" s="212"/>
      <c r="C21" s="236" t="s">
        <v>502</v>
      </c>
      <c r="D21" s="237"/>
      <c r="E21" s="215" t="s">
        <v>489</v>
      </c>
      <c r="F21" s="238"/>
      <c r="G21" s="239"/>
      <c r="H21" s="240"/>
      <c r="I21" s="239"/>
      <c r="J21" s="241"/>
      <c r="K21" s="242"/>
      <c r="L21" s="243">
        <f>SUM(F21:K21)</f>
        <v>0</v>
      </c>
      <c r="M21" s="235"/>
      <c r="N21" s="218"/>
      <c r="O21" s="243"/>
    </row>
    <row r="22" spans="1:22" ht="13.5">
      <c r="A22" s="212" t="s">
        <v>503</v>
      </c>
      <c r="B22" s="212"/>
      <c r="C22" s="236" t="s">
        <v>504</v>
      </c>
      <c r="D22" s="237"/>
      <c r="E22" s="215" t="s">
        <v>489</v>
      </c>
      <c r="F22" s="238"/>
      <c r="G22" s="239"/>
      <c r="H22" s="239"/>
      <c r="I22" s="239">
        <v>0</v>
      </c>
      <c r="J22" s="241">
        <v>7443636</v>
      </c>
      <c r="K22" s="242"/>
      <c r="L22" s="243">
        <f>SUM(F22:K22)</f>
        <v>7443636</v>
      </c>
      <c r="M22" s="235"/>
      <c r="N22" s="218"/>
      <c r="O22" s="222"/>
      <c r="U22" s="375"/>
    </row>
    <row r="23" spans="1:22" ht="13.5">
      <c r="A23" s="212"/>
      <c r="B23" s="212"/>
      <c r="C23" s="236"/>
      <c r="D23" s="237"/>
      <c r="E23" s="215"/>
      <c r="F23" s="238"/>
      <c r="G23" s="239"/>
      <c r="H23" s="240"/>
      <c r="I23" s="239"/>
      <c r="J23" s="241"/>
      <c r="K23" s="242"/>
      <c r="L23" s="243">
        <v>0</v>
      </c>
      <c r="M23" s="235"/>
      <c r="N23" s="218"/>
      <c r="O23" s="243"/>
    </row>
    <row r="24" spans="1:22" ht="13.5">
      <c r="A24" s="212" t="s">
        <v>505</v>
      </c>
      <c r="B24" s="219" t="s">
        <v>490</v>
      </c>
      <c r="C24" s="236" t="s">
        <v>506</v>
      </c>
      <c r="D24" s="237"/>
      <c r="E24" s="215" t="s">
        <v>497</v>
      </c>
      <c r="F24" s="238"/>
      <c r="G24" s="239"/>
      <c r="H24" s="240"/>
      <c r="I24" s="239"/>
      <c r="J24" s="241"/>
      <c r="K24" s="242"/>
      <c r="L24" s="243">
        <f>SUM(F24:K24)</f>
        <v>0</v>
      </c>
      <c r="M24" s="235"/>
      <c r="N24" s="218"/>
      <c r="O24" s="243"/>
    </row>
    <row r="25" spans="1:22" ht="13.5">
      <c r="A25" s="212" t="s">
        <v>505</v>
      </c>
      <c r="B25" s="219" t="s">
        <v>492</v>
      </c>
      <c r="C25" s="236" t="s">
        <v>507</v>
      </c>
      <c r="D25" s="237"/>
      <c r="E25" s="215" t="s">
        <v>497</v>
      </c>
      <c r="F25" s="238"/>
      <c r="G25" s="239"/>
      <c r="H25" s="240"/>
      <c r="I25" s="239"/>
      <c r="J25" s="241"/>
      <c r="K25" s="242"/>
      <c r="L25" s="243">
        <f>SUM(F25:K25)</f>
        <v>0</v>
      </c>
      <c r="M25" s="235"/>
      <c r="N25" s="218"/>
      <c r="O25" s="243"/>
    </row>
    <row r="26" spans="1:22" ht="13.5">
      <c r="A26" s="212" t="s">
        <v>498</v>
      </c>
      <c r="B26" s="212" t="s">
        <v>508</v>
      </c>
      <c r="C26" s="236" t="s">
        <v>509</v>
      </c>
      <c r="D26" s="237"/>
      <c r="E26" s="215" t="s">
        <v>501</v>
      </c>
      <c r="F26" s="238"/>
      <c r="G26" s="239"/>
      <c r="H26" s="240"/>
      <c r="I26" s="239"/>
      <c r="J26" s="241"/>
      <c r="K26" s="242"/>
      <c r="L26" s="243">
        <f>SUM(F26:K26)</f>
        <v>0</v>
      </c>
      <c r="M26" s="235"/>
      <c r="N26" s="218"/>
      <c r="O26" s="243"/>
    </row>
    <row r="27" spans="1:22" ht="14.25" thickBot="1">
      <c r="A27" s="212"/>
      <c r="B27" s="212"/>
      <c r="C27" s="245"/>
      <c r="D27" s="246"/>
      <c r="E27" s="215"/>
      <c r="F27" s="247"/>
      <c r="G27" s="248"/>
      <c r="H27" s="249"/>
      <c r="I27" s="248"/>
      <c r="J27" s="250"/>
      <c r="K27" s="251"/>
      <c r="L27" s="252"/>
      <c r="M27" s="235"/>
      <c r="N27" s="218"/>
      <c r="O27" s="252"/>
    </row>
    <row r="28" spans="1:22" ht="13.5">
      <c r="A28" s="212" t="s">
        <v>510</v>
      </c>
      <c r="B28" s="212" t="s">
        <v>511</v>
      </c>
      <c r="C28" s="253" t="s">
        <v>1056</v>
      </c>
      <c r="D28" s="254" t="s">
        <v>488</v>
      </c>
      <c r="E28" s="255"/>
      <c r="F28" s="256">
        <f t="shared" ref="F28:K28" si="0">F13+F17+F18+F19</f>
        <v>0</v>
      </c>
      <c r="G28" s="257">
        <f t="shared" si="0"/>
        <v>0</v>
      </c>
      <c r="H28" s="257">
        <f>H13+H17+H18+H19</f>
        <v>0</v>
      </c>
      <c r="I28" s="257">
        <f t="shared" si="0"/>
        <v>4885000</v>
      </c>
      <c r="J28" s="258">
        <f t="shared" si="0"/>
        <v>71873145</v>
      </c>
      <c r="K28" s="259">
        <f t="shared" si="0"/>
        <v>0</v>
      </c>
      <c r="L28" s="216">
        <f>SUM(F28:K28)</f>
        <v>76758145</v>
      </c>
      <c r="M28" s="217"/>
      <c r="N28" s="218"/>
      <c r="O28" s="216"/>
      <c r="V28" s="226"/>
    </row>
    <row r="29" spans="1:22" ht="13.5">
      <c r="A29" s="212" t="s">
        <v>510</v>
      </c>
      <c r="B29" s="212" t="s">
        <v>512</v>
      </c>
      <c r="C29" s="260" t="s">
        <v>1056</v>
      </c>
      <c r="D29" s="221" t="s">
        <v>491</v>
      </c>
      <c r="E29" s="255"/>
      <c r="F29" s="261">
        <f t="shared" ref="F29:K29" si="1">F14+F22+F24+F26</f>
        <v>0</v>
      </c>
      <c r="G29" s="262">
        <f t="shared" si="1"/>
        <v>0</v>
      </c>
      <c r="H29" s="262">
        <f>H14+H22+H24+H26</f>
        <v>0</v>
      </c>
      <c r="I29" s="262">
        <f t="shared" si="1"/>
        <v>4885000</v>
      </c>
      <c r="J29" s="263">
        <f>J14+J22+J24+J26</f>
        <v>48596886</v>
      </c>
      <c r="K29" s="264">
        <f t="shared" si="1"/>
        <v>0</v>
      </c>
      <c r="L29" s="222">
        <f>SUM(F29:K29)</f>
        <v>53481886</v>
      </c>
      <c r="M29" s="217"/>
      <c r="N29" s="218"/>
      <c r="O29" s="222"/>
    </row>
    <row r="30" spans="1:22" ht="13.5" thickBot="1">
      <c r="A30" s="265" t="s">
        <v>510</v>
      </c>
      <c r="B30" s="212" t="s">
        <v>513</v>
      </c>
      <c r="C30" s="266" t="s">
        <v>1056</v>
      </c>
      <c r="D30" s="267" t="s">
        <v>514</v>
      </c>
      <c r="E30" s="268"/>
      <c r="F30" s="269">
        <f t="shared" ref="F30:K30" si="2">F28-F29</f>
        <v>0</v>
      </c>
      <c r="G30" s="270">
        <f t="shared" si="2"/>
        <v>0</v>
      </c>
      <c r="H30" s="270">
        <f t="shared" si="2"/>
        <v>0</v>
      </c>
      <c r="I30" s="270">
        <f t="shared" si="2"/>
        <v>0</v>
      </c>
      <c r="J30" s="271">
        <f t="shared" si="2"/>
        <v>23276259</v>
      </c>
      <c r="K30" s="272">
        <f t="shared" si="2"/>
        <v>0</v>
      </c>
      <c r="L30" s="225">
        <f>L28-L29</f>
        <v>23276259</v>
      </c>
      <c r="M30" s="217"/>
      <c r="N30" s="218"/>
      <c r="O30" s="225"/>
    </row>
    <row r="31" spans="1:22">
      <c r="A31" s="273"/>
      <c r="B31" s="273"/>
      <c r="C31" s="273"/>
      <c r="D31" s="273"/>
      <c r="E31" s="218"/>
      <c r="F31" s="218"/>
      <c r="G31" s="218"/>
      <c r="H31" s="218"/>
      <c r="I31" s="218"/>
      <c r="J31" s="218"/>
      <c r="K31" s="218"/>
      <c r="L31" s="218"/>
      <c r="M31" s="218"/>
      <c r="N31" s="169"/>
      <c r="O31" s="169"/>
    </row>
    <row r="32" spans="1:22">
      <c r="A32" s="273"/>
      <c r="B32" s="273"/>
      <c r="C32" s="273"/>
      <c r="D32" s="273"/>
      <c r="E32" s="218"/>
      <c r="F32" s="218"/>
      <c r="G32" s="218"/>
      <c r="H32" s="218"/>
      <c r="I32" s="218"/>
      <c r="J32" s="218"/>
      <c r="K32" s="218"/>
      <c r="L32" s="274"/>
      <c r="M32" s="274"/>
      <c r="N32" s="169"/>
      <c r="O32" s="169"/>
    </row>
    <row r="33" spans="1:15">
      <c r="A33" s="273"/>
      <c r="B33" s="273"/>
      <c r="C33" s="273"/>
      <c r="D33" s="273"/>
      <c r="E33" s="218"/>
      <c r="F33" s="218"/>
      <c r="G33" s="433">
        <v>6</v>
      </c>
      <c r="H33" s="218"/>
      <c r="I33" s="218"/>
      <c r="J33" s="218"/>
      <c r="K33" s="218"/>
      <c r="L33" s="274"/>
      <c r="M33" s="274"/>
      <c r="N33" s="169"/>
      <c r="O33" s="169"/>
    </row>
    <row r="34" spans="1:15">
      <c r="A34" s="167"/>
      <c r="B34" s="167"/>
      <c r="C34" s="167"/>
      <c r="D34" s="167"/>
      <c r="E34" s="169"/>
      <c r="F34" s="169"/>
      <c r="G34" s="169"/>
      <c r="H34" s="169"/>
      <c r="I34" s="169"/>
      <c r="J34" s="275"/>
      <c r="K34" s="169"/>
      <c r="L34" s="169"/>
      <c r="M34" s="169"/>
      <c r="N34" s="169"/>
      <c r="O34" s="169"/>
    </row>
    <row r="35" spans="1:15">
      <c r="A35" s="167"/>
      <c r="B35" s="167"/>
      <c r="C35" s="167"/>
      <c r="D35" s="167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</row>
  </sheetData>
  <mergeCells count="2">
    <mergeCell ref="O7:O8"/>
    <mergeCell ref="A7:B7"/>
  </mergeCells>
  <phoneticPr fontId="3" type="noConversion"/>
  <pageMargins left="0.19685039370078741" right="0.19685039370078741" top="0.98425196850393704" bottom="0.98425196850393704" header="0.51181102362204722" footer="0.51181102362204722"/>
  <pageSetup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4"/>
  <sheetViews>
    <sheetView topLeftCell="A16" workbookViewId="0">
      <selection activeCell="H28" sqref="H28"/>
    </sheetView>
  </sheetViews>
  <sheetFormatPr defaultRowHeight="12.75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5">
      <c r="B1" s="295" t="s">
        <v>597</v>
      </c>
    </row>
    <row r="2" spans="1:9">
      <c r="B2" s="296" t="s">
        <v>598</v>
      </c>
    </row>
    <row r="3" spans="1:9">
      <c r="B3" s="296"/>
    </row>
    <row r="4" spans="1:9" ht="15.75">
      <c r="B4" s="578" t="s">
        <v>1057</v>
      </c>
      <c r="C4" s="578"/>
      <c r="D4" s="578"/>
      <c r="E4" s="578"/>
      <c r="F4" s="578"/>
      <c r="G4" s="578"/>
    </row>
    <row r="5" spans="1:9" ht="13.5" thickBot="1"/>
    <row r="6" spans="1:9">
      <c r="A6" s="579" t="s">
        <v>167</v>
      </c>
      <c r="B6" s="581" t="s">
        <v>586</v>
      </c>
      <c r="C6" s="583" t="s">
        <v>587</v>
      </c>
      <c r="D6" s="378" t="s">
        <v>588</v>
      </c>
      <c r="E6" s="583" t="s">
        <v>589</v>
      </c>
      <c r="F6" s="583" t="s">
        <v>590</v>
      </c>
      <c r="G6" s="379" t="s">
        <v>588</v>
      </c>
    </row>
    <row r="7" spans="1:9" ht="13.5" thickBot="1">
      <c r="A7" s="580"/>
      <c r="B7" s="582"/>
      <c r="C7" s="584"/>
      <c r="D7" s="380">
        <v>43101</v>
      </c>
      <c r="E7" s="584"/>
      <c r="F7" s="584"/>
      <c r="G7" s="381">
        <v>43465</v>
      </c>
      <c r="H7" s="297"/>
      <c r="I7" s="297"/>
    </row>
    <row r="8" spans="1:9">
      <c r="A8" s="376">
        <v>1</v>
      </c>
      <c r="B8" s="299" t="s">
        <v>480</v>
      </c>
      <c r="C8" s="376"/>
      <c r="D8" s="377"/>
      <c r="E8" s="377"/>
      <c r="F8" s="377"/>
      <c r="G8" s="377">
        <f t="shared" ref="G8:G16" si="0">D8+E8-F8</f>
        <v>0</v>
      </c>
      <c r="H8" s="297"/>
      <c r="I8" s="297"/>
    </row>
    <row r="9" spans="1:9">
      <c r="A9" s="298">
        <v>2</v>
      </c>
      <c r="B9" s="299" t="s">
        <v>591</v>
      </c>
      <c r="C9" s="298"/>
      <c r="D9" s="300"/>
      <c r="E9" s="300"/>
      <c r="F9" s="300"/>
      <c r="G9" s="300">
        <f t="shared" si="0"/>
        <v>0</v>
      </c>
      <c r="H9" s="301"/>
      <c r="I9" s="302"/>
    </row>
    <row r="10" spans="1:9">
      <c r="A10" s="298">
        <v>3</v>
      </c>
      <c r="B10" s="303" t="s">
        <v>592</v>
      </c>
      <c r="C10" s="298"/>
      <c r="D10" s="300">
        <f>+'Aq&amp;AM'!H13</f>
        <v>0</v>
      </c>
      <c r="E10" s="300">
        <f>+'Aq&amp;AM'!H17</f>
        <v>0</v>
      </c>
      <c r="F10" s="300">
        <v>0</v>
      </c>
      <c r="G10" s="300">
        <f t="shared" si="0"/>
        <v>0</v>
      </c>
      <c r="H10" s="301"/>
      <c r="I10" s="302"/>
    </row>
    <row r="11" spans="1:9">
      <c r="A11" s="298">
        <v>4</v>
      </c>
      <c r="B11" s="303" t="s">
        <v>593</v>
      </c>
      <c r="C11" s="298"/>
      <c r="D11" s="300">
        <f>+'Aq&amp;AM'!I13</f>
        <v>4885000</v>
      </c>
      <c r="E11" s="300">
        <f>+'Aq&amp;AM'!I17</f>
        <v>0</v>
      </c>
      <c r="F11" s="300">
        <f>+'Aq&amp;AM'!I18</f>
        <v>0</v>
      </c>
      <c r="G11" s="300">
        <f t="shared" si="0"/>
        <v>4885000</v>
      </c>
      <c r="H11" s="301"/>
      <c r="I11" s="302"/>
    </row>
    <row r="12" spans="1:9">
      <c r="A12" s="298">
        <v>5</v>
      </c>
      <c r="B12" s="303" t="s">
        <v>599</v>
      </c>
      <c r="C12" s="298"/>
      <c r="D12" s="300">
        <f>+'Aq&amp;AM'!J13</f>
        <v>67146390</v>
      </c>
      <c r="E12" s="321">
        <f>+'Aq&amp;AM'!J17</f>
        <v>4726755</v>
      </c>
      <c r="F12" s="300">
        <v>0</v>
      </c>
      <c r="G12" s="300">
        <f t="shared" si="0"/>
        <v>71873145</v>
      </c>
      <c r="H12" s="301"/>
      <c r="I12" s="302"/>
    </row>
    <row r="13" spans="1:9">
      <c r="A13" s="298">
        <v>6</v>
      </c>
      <c r="B13" s="303"/>
      <c r="C13" s="298"/>
      <c r="D13" s="300"/>
      <c r="E13" s="300"/>
      <c r="F13" s="300"/>
      <c r="G13" s="300">
        <f t="shared" si="0"/>
        <v>0</v>
      </c>
      <c r="H13" s="301"/>
      <c r="I13" s="302"/>
    </row>
    <row r="14" spans="1:9">
      <c r="A14" s="298">
        <v>7</v>
      </c>
      <c r="B14" s="304"/>
      <c r="C14" s="298"/>
      <c r="D14" s="300"/>
      <c r="E14" s="300"/>
      <c r="F14" s="300"/>
      <c r="G14" s="300">
        <f t="shared" si="0"/>
        <v>0</v>
      </c>
      <c r="H14" s="297"/>
      <c r="I14" s="297"/>
    </row>
    <row r="15" spans="1:9">
      <c r="A15" s="298">
        <v>8</v>
      </c>
      <c r="B15" s="304"/>
      <c r="C15" s="298"/>
      <c r="D15" s="300"/>
      <c r="E15" s="300"/>
      <c r="F15" s="300"/>
      <c r="G15" s="300">
        <f t="shared" si="0"/>
        <v>0</v>
      </c>
      <c r="H15" s="297"/>
      <c r="I15" s="297"/>
    </row>
    <row r="16" spans="1:9" ht="13.5" thickBot="1">
      <c r="A16" s="298">
        <v>9</v>
      </c>
      <c r="B16" s="306"/>
      <c r="C16" s="305"/>
      <c r="D16" s="307"/>
      <c r="E16" s="307"/>
      <c r="F16" s="307"/>
      <c r="G16" s="307">
        <f t="shared" si="0"/>
        <v>0</v>
      </c>
      <c r="H16" s="297"/>
      <c r="I16" s="297"/>
    </row>
    <row r="17" spans="1:9" ht="13.5" thickBot="1">
      <c r="A17" s="308"/>
      <c r="B17" s="309" t="s">
        <v>594</v>
      </c>
      <c r="C17" s="310"/>
      <c r="D17" s="311">
        <f>SUM(D8:D16)</f>
        <v>72031390</v>
      </c>
      <c r="E17" s="311">
        <f>SUM(E8:E16)</f>
        <v>4726755</v>
      </c>
      <c r="F17" s="311">
        <f>SUM(F8:F16)</f>
        <v>0</v>
      </c>
      <c r="G17" s="312">
        <f>SUM(G8:G16)</f>
        <v>76758145</v>
      </c>
      <c r="I17" s="313"/>
    </row>
    <row r="20" spans="1:9" ht="15.75">
      <c r="B20" s="578" t="s">
        <v>1058</v>
      </c>
      <c r="C20" s="578"/>
      <c r="D20" s="578"/>
      <c r="E20" s="578"/>
      <c r="F20" s="578"/>
      <c r="G20" s="578"/>
      <c r="I20" s="313"/>
    </row>
    <row r="21" spans="1:9" ht="13.5" thickBot="1"/>
    <row r="22" spans="1:9">
      <c r="A22" s="579" t="s">
        <v>167</v>
      </c>
      <c r="B22" s="581" t="s">
        <v>586</v>
      </c>
      <c r="C22" s="583" t="s">
        <v>587</v>
      </c>
      <c r="D22" s="378" t="s">
        <v>588</v>
      </c>
      <c r="E22" s="583" t="s">
        <v>589</v>
      </c>
      <c r="F22" s="583" t="s">
        <v>590</v>
      </c>
      <c r="G22" s="379" t="s">
        <v>588</v>
      </c>
    </row>
    <row r="23" spans="1:9" ht="13.5" thickBot="1">
      <c r="A23" s="580"/>
      <c r="B23" s="582"/>
      <c r="C23" s="584"/>
      <c r="D23" s="380">
        <f>+D7</f>
        <v>43101</v>
      </c>
      <c r="E23" s="584"/>
      <c r="F23" s="584"/>
      <c r="G23" s="381">
        <f>+G7</f>
        <v>43465</v>
      </c>
    </row>
    <row r="24" spans="1:9">
      <c r="A24" s="486">
        <v>1</v>
      </c>
      <c r="B24" s="318" t="s">
        <v>480</v>
      </c>
      <c r="C24" s="376"/>
      <c r="D24" s="377"/>
      <c r="E24" s="377"/>
      <c r="F24" s="377"/>
      <c r="G24" s="487">
        <f>D24+E24</f>
        <v>0</v>
      </c>
    </row>
    <row r="25" spans="1:9">
      <c r="A25" s="482">
        <v>2</v>
      </c>
      <c r="B25" s="318" t="s">
        <v>591</v>
      </c>
      <c r="C25" s="298"/>
      <c r="D25" s="300"/>
      <c r="E25" s="300"/>
      <c r="F25" s="300"/>
      <c r="G25" s="483">
        <f>D25+E25</f>
        <v>0</v>
      </c>
    </row>
    <row r="26" spans="1:9">
      <c r="A26" s="482">
        <v>3</v>
      </c>
      <c r="B26" s="303" t="s">
        <v>595</v>
      </c>
      <c r="C26" s="298"/>
      <c r="D26" s="300">
        <f>+'Aq&amp;AM'!H14</f>
        <v>0</v>
      </c>
      <c r="E26" s="322">
        <f>+'Aq&amp;AM'!H22</f>
        <v>0</v>
      </c>
      <c r="F26" s="300">
        <v>0</v>
      </c>
      <c r="G26" s="483">
        <f>D26+E26-F26</f>
        <v>0</v>
      </c>
    </row>
    <row r="27" spans="1:9">
      <c r="A27" s="482">
        <v>4</v>
      </c>
      <c r="B27" s="303" t="s">
        <v>593</v>
      </c>
      <c r="C27" s="298"/>
      <c r="D27" s="300">
        <f>+'Aq&amp;AM'!I14</f>
        <v>4885000</v>
      </c>
      <c r="E27" s="323">
        <f>+'Aq&amp;AM'!I22</f>
        <v>0</v>
      </c>
      <c r="F27" s="300">
        <v>0</v>
      </c>
      <c r="G27" s="483">
        <f>D27+E27</f>
        <v>4885000</v>
      </c>
    </row>
    <row r="28" spans="1:9">
      <c r="A28" s="482">
        <v>5</v>
      </c>
      <c r="B28" s="303" t="s">
        <v>599</v>
      </c>
      <c r="C28" s="298"/>
      <c r="D28" s="300">
        <f>+'Aq&amp;AM'!J14</f>
        <v>41153250</v>
      </c>
      <c r="E28" s="322">
        <f>+'Aq&amp;AM'!J22</f>
        <v>7443636</v>
      </c>
      <c r="F28" s="300">
        <v>0</v>
      </c>
      <c r="G28" s="483">
        <f>D28+E28-F28</f>
        <v>48596886</v>
      </c>
    </row>
    <row r="29" spans="1:9">
      <c r="A29" s="482">
        <v>1</v>
      </c>
      <c r="B29" s="303"/>
      <c r="C29" s="298"/>
      <c r="D29" s="300"/>
      <c r="E29" s="300"/>
      <c r="F29" s="300"/>
      <c r="G29" s="483"/>
    </row>
    <row r="30" spans="1:9">
      <c r="A30" s="482">
        <v>2</v>
      </c>
      <c r="B30" s="304"/>
      <c r="C30" s="298"/>
      <c r="D30" s="300"/>
      <c r="E30" s="300"/>
      <c r="F30" s="300"/>
      <c r="G30" s="483">
        <f>D30+E30-F30</f>
        <v>0</v>
      </c>
    </row>
    <row r="31" spans="1:9">
      <c r="A31" s="482">
        <v>3</v>
      </c>
      <c r="B31" s="304"/>
      <c r="C31" s="298"/>
      <c r="D31" s="300"/>
      <c r="E31" s="300"/>
      <c r="F31" s="300"/>
      <c r="G31" s="483">
        <f>D31+E31-F31</f>
        <v>0</v>
      </c>
    </row>
    <row r="32" spans="1:9" ht="13.5" thickBot="1">
      <c r="A32" s="484">
        <v>4</v>
      </c>
      <c r="B32" s="306"/>
      <c r="C32" s="305"/>
      <c r="D32" s="307"/>
      <c r="E32" s="307"/>
      <c r="F32" s="307"/>
      <c r="G32" s="485">
        <f>D32+E32-F32</f>
        <v>0</v>
      </c>
    </row>
    <row r="33" spans="1:14" ht="13.5" thickBot="1">
      <c r="A33" s="308"/>
      <c r="B33" s="309" t="s">
        <v>594</v>
      </c>
      <c r="C33" s="310"/>
      <c r="D33" s="311">
        <f>SUM(D24:D32)</f>
        <v>46038250</v>
      </c>
      <c r="E33" s="311">
        <f>SUM(E24:E32)</f>
        <v>7443636</v>
      </c>
      <c r="F33" s="311">
        <f>SUM(F24:F32)</f>
        <v>0</v>
      </c>
      <c r="G33" s="312">
        <f>SUM(G24:G32)</f>
        <v>53481886</v>
      </c>
      <c r="H33" s="314"/>
      <c r="I33" s="313"/>
      <c r="J33" s="313"/>
    </row>
    <row r="34" spans="1:14">
      <c r="G34" s="314"/>
    </row>
    <row r="36" spans="1:14" ht="15.75">
      <c r="B36" s="578" t="s">
        <v>1059</v>
      </c>
      <c r="C36" s="578"/>
      <c r="D36" s="578"/>
      <c r="E36" s="578"/>
      <c r="F36" s="578"/>
      <c r="G36" s="578"/>
    </row>
    <row r="37" spans="1:14" ht="13.5" thickBot="1"/>
    <row r="38" spans="1:14">
      <c r="A38" s="579" t="s">
        <v>167</v>
      </c>
      <c r="B38" s="581" t="s">
        <v>586</v>
      </c>
      <c r="C38" s="583" t="s">
        <v>587</v>
      </c>
      <c r="D38" s="378" t="s">
        <v>588</v>
      </c>
      <c r="E38" s="583" t="s">
        <v>589</v>
      </c>
      <c r="F38" s="583" t="s">
        <v>590</v>
      </c>
      <c r="G38" s="379" t="s">
        <v>588</v>
      </c>
    </row>
    <row r="39" spans="1:14" ht="13.5" thickBot="1">
      <c r="A39" s="580"/>
      <c r="B39" s="582"/>
      <c r="C39" s="584"/>
      <c r="D39" s="380">
        <f>+D7</f>
        <v>43101</v>
      </c>
      <c r="E39" s="584"/>
      <c r="F39" s="584"/>
      <c r="G39" s="381">
        <f>+G7</f>
        <v>43465</v>
      </c>
    </row>
    <row r="40" spans="1:14">
      <c r="A40" s="376">
        <v>1</v>
      </c>
      <c r="B40" s="299" t="s">
        <v>480</v>
      </c>
      <c r="C40" s="376"/>
      <c r="D40" s="377"/>
      <c r="E40" s="377"/>
      <c r="F40" s="377"/>
      <c r="G40" s="377">
        <f t="shared" ref="G40:G48" si="1">D40+E40-F40</f>
        <v>0</v>
      </c>
    </row>
    <row r="41" spans="1:14">
      <c r="A41" s="298">
        <v>2</v>
      </c>
      <c r="B41" s="303" t="s">
        <v>591</v>
      </c>
      <c r="C41" s="298"/>
      <c r="D41" s="300"/>
      <c r="E41" s="300"/>
      <c r="F41" s="300"/>
      <c r="G41" s="300">
        <f t="shared" si="1"/>
        <v>0</v>
      </c>
      <c r="M41" s="297"/>
      <c r="N41" s="297"/>
    </row>
    <row r="42" spans="1:14">
      <c r="A42" s="298">
        <v>3</v>
      </c>
      <c r="B42" s="303" t="s">
        <v>595</v>
      </c>
      <c r="C42" s="298"/>
      <c r="D42" s="323">
        <f>+D10-D26</f>
        <v>0</v>
      </c>
      <c r="E42" s="322">
        <f>+E10-E26</f>
        <v>0</v>
      </c>
      <c r="F42" s="323">
        <f>+F10-F26</f>
        <v>0</v>
      </c>
      <c r="G42" s="300">
        <f t="shared" si="1"/>
        <v>0</v>
      </c>
      <c r="M42" s="297"/>
      <c r="N42" s="297"/>
    </row>
    <row r="43" spans="1:14">
      <c r="A43" s="298">
        <v>4</v>
      </c>
      <c r="B43" s="303" t="s">
        <v>593</v>
      </c>
      <c r="C43" s="298"/>
      <c r="D43" s="323">
        <f t="shared" ref="D43:F44" si="2">+D11-D27</f>
        <v>0</v>
      </c>
      <c r="E43" s="322">
        <f t="shared" si="2"/>
        <v>0</v>
      </c>
      <c r="F43" s="323">
        <f t="shared" si="2"/>
        <v>0</v>
      </c>
      <c r="G43" s="300">
        <f t="shared" si="1"/>
        <v>0</v>
      </c>
      <c r="M43" s="297"/>
      <c r="N43" s="297"/>
    </row>
    <row r="44" spans="1:14">
      <c r="A44" s="298">
        <v>5</v>
      </c>
      <c r="B44" s="303" t="s">
        <v>599</v>
      </c>
      <c r="C44" s="298"/>
      <c r="D44" s="323">
        <f t="shared" si="2"/>
        <v>25993140</v>
      </c>
      <c r="E44" s="322">
        <f t="shared" si="2"/>
        <v>-2716881</v>
      </c>
      <c r="F44" s="323">
        <f t="shared" si="2"/>
        <v>0</v>
      </c>
      <c r="G44" s="300">
        <f t="shared" si="1"/>
        <v>23276259</v>
      </c>
      <c r="M44" s="297"/>
      <c r="N44" s="297"/>
    </row>
    <row r="45" spans="1:14">
      <c r="A45" s="298">
        <v>1</v>
      </c>
      <c r="B45" s="303"/>
      <c r="C45" s="298"/>
      <c r="D45" s="300"/>
      <c r="E45" s="300"/>
      <c r="F45" s="300"/>
      <c r="G45" s="300">
        <f t="shared" si="1"/>
        <v>0</v>
      </c>
      <c r="M45" s="297"/>
      <c r="N45" s="297"/>
    </row>
    <row r="46" spans="1:14">
      <c r="A46" s="298">
        <v>2</v>
      </c>
      <c r="B46" s="303"/>
      <c r="C46" s="298"/>
      <c r="D46" s="300"/>
      <c r="E46" s="300"/>
      <c r="F46" s="300"/>
      <c r="G46" s="300">
        <f t="shared" si="1"/>
        <v>0</v>
      </c>
      <c r="M46" s="297"/>
      <c r="N46" s="297"/>
    </row>
    <row r="47" spans="1:14">
      <c r="A47" s="298">
        <v>3</v>
      </c>
      <c r="B47" s="304"/>
      <c r="C47" s="298"/>
      <c r="D47" s="300"/>
      <c r="E47" s="300"/>
      <c r="F47" s="300"/>
      <c r="G47" s="300">
        <f t="shared" si="1"/>
        <v>0</v>
      </c>
      <c r="M47" s="297"/>
      <c r="N47" s="297"/>
    </row>
    <row r="48" spans="1:14" ht="13.5" thickBot="1">
      <c r="A48" s="305">
        <v>4</v>
      </c>
      <c r="B48" s="306"/>
      <c r="C48" s="305"/>
      <c r="D48" s="307"/>
      <c r="E48" s="307"/>
      <c r="F48" s="307"/>
      <c r="G48" s="307">
        <f t="shared" si="1"/>
        <v>0</v>
      </c>
      <c r="M48" s="297"/>
      <c r="N48" s="297"/>
    </row>
    <row r="49" spans="1:14" ht="13.5" thickBot="1">
      <c r="A49" s="308"/>
      <c r="B49" s="309" t="s">
        <v>594</v>
      </c>
      <c r="C49" s="310"/>
      <c r="D49" s="311">
        <f>SUM(D40:D48)</f>
        <v>25993140</v>
      </c>
      <c r="E49" s="311">
        <f>SUM(E40:E48)</f>
        <v>-2716881</v>
      </c>
      <c r="F49" s="311">
        <f>SUM(F40:F48)</f>
        <v>0</v>
      </c>
      <c r="G49" s="312">
        <f>SUM(G40:G48)</f>
        <v>23276259</v>
      </c>
      <c r="I49" s="314"/>
      <c r="J49" s="313"/>
      <c r="M49" s="315"/>
      <c r="N49" s="297"/>
    </row>
    <row r="50" spans="1:14" s="297" customFormat="1">
      <c r="F50" s="302"/>
      <c r="G50" s="316"/>
      <c r="J50" s="302"/>
    </row>
    <row r="51" spans="1:14">
      <c r="D51" s="313"/>
      <c r="G51" s="313"/>
      <c r="I51" s="314"/>
      <c r="M51" s="297"/>
      <c r="N51" s="297"/>
    </row>
    <row r="52" spans="1:14">
      <c r="C52" s="317">
        <v>7</v>
      </c>
      <c r="D52" s="313"/>
      <c r="G52" s="313"/>
      <c r="I52" s="313"/>
      <c r="M52" s="297"/>
      <c r="N52" s="297"/>
    </row>
    <row r="53" spans="1:14" ht="15.75">
      <c r="E53" s="585" t="s">
        <v>596</v>
      </c>
      <c r="F53" s="585"/>
      <c r="G53" s="585"/>
      <c r="M53" s="297"/>
      <c r="N53" s="297"/>
    </row>
    <row r="54" spans="1:14">
      <c r="E54" s="586" t="s">
        <v>655</v>
      </c>
      <c r="F54" s="586"/>
      <c r="G54" s="586"/>
    </row>
  </sheetData>
  <mergeCells count="20">
    <mergeCell ref="E53:G53"/>
    <mergeCell ref="E54:G54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ageMargins left="0.7" right="0.7" top="0.43" bottom="0.75" header="0.24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workbookViewId="0">
      <selection activeCell="H28" sqref="H28"/>
    </sheetView>
  </sheetViews>
  <sheetFormatPr defaultRowHeight="12.75"/>
  <cols>
    <col min="1" max="1" width="7.42578125" customWidth="1"/>
    <col min="2" max="2" width="40.85546875" customWidth="1"/>
    <col min="3" max="3" width="17.28515625" customWidth="1"/>
    <col min="4" max="4" width="14.7109375" customWidth="1"/>
    <col min="5" max="5" width="15.28515625" customWidth="1"/>
    <col min="6" max="6" width="17.28515625" customWidth="1"/>
  </cols>
  <sheetData>
    <row r="1" spans="1:6" ht="18">
      <c r="B1" s="327" t="s">
        <v>610</v>
      </c>
    </row>
    <row r="3" spans="1:6" ht="18">
      <c r="B3" s="328" t="s">
        <v>603</v>
      </c>
    </row>
    <row r="5" spans="1:6" ht="15">
      <c r="A5" s="329" t="s">
        <v>167</v>
      </c>
      <c r="B5" s="330"/>
      <c r="C5" s="330"/>
      <c r="D5" s="330"/>
      <c r="E5" s="330"/>
      <c r="F5" s="327"/>
    </row>
    <row r="6" spans="1:6" ht="15">
      <c r="A6" s="331" t="s">
        <v>604</v>
      </c>
      <c r="B6" s="331" t="s">
        <v>605</v>
      </c>
      <c r="C6" s="331" t="s">
        <v>606</v>
      </c>
      <c r="D6" s="331" t="s">
        <v>607</v>
      </c>
      <c r="E6" s="331" t="s">
        <v>608</v>
      </c>
      <c r="F6" s="332"/>
    </row>
    <row r="7" spans="1:6" ht="15.95" customHeight="1">
      <c r="A7" s="333">
        <v>1</v>
      </c>
      <c r="B7" s="334" t="s">
        <v>622</v>
      </c>
      <c r="C7" s="334" t="s">
        <v>623</v>
      </c>
      <c r="D7" s="334" t="s">
        <v>624</v>
      </c>
      <c r="E7" s="361">
        <v>870000</v>
      </c>
    </row>
    <row r="8" spans="1:6" ht="15.95" customHeight="1">
      <c r="A8" s="335">
        <v>2</v>
      </c>
      <c r="B8" s="336" t="s">
        <v>625</v>
      </c>
      <c r="C8" s="336" t="s">
        <v>623</v>
      </c>
      <c r="D8" s="336" t="s">
        <v>624</v>
      </c>
      <c r="E8" s="362">
        <v>955000</v>
      </c>
    </row>
    <row r="9" spans="1:6" ht="15.95" customHeight="1">
      <c r="A9" s="335">
        <v>3</v>
      </c>
      <c r="B9" s="336" t="s">
        <v>625</v>
      </c>
      <c r="C9" s="336" t="s">
        <v>623</v>
      </c>
      <c r="D9" s="336" t="s">
        <v>624</v>
      </c>
      <c r="E9" s="362">
        <v>955000</v>
      </c>
    </row>
    <row r="10" spans="1:6" ht="15.95" customHeight="1">
      <c r="A10" s="335">
        <v>4</v>
      </c>
      <c r="B10" s="336" t="s">
        <v>625</v>
      </c>
      <c r="C10" s="336" t="s">
        <v>623</v>
      </c>
      <c r="D10" s="336" t="s">
        <v>624</v>
      </c>
      <c r="E10" s="362">
        <v>955000</v>
      </c>
    </row>
    <row r="11" spans="1:6" ht="15.95" customHeight="1">
      <c r="A11" s="335">
        <v>5</v>
      </c>
      <c r="B11" s="336" t="s">
        <v>625</v>
      </c>
      <c r="C11" s="336" t="s">
        <v>623</v>
      </c>
      <c r="D11" s="336" t="s">
        <v>624</v>
      </c>
      <c r="E11" s="362">
        <v>1150000</v>
      </c>
    </row>
    <row r="12" spans="1:6" ht="15.95" customHeight="1" thickBot="1">
      <c r="A12" s="335"/>
      <c r="B12" s="336"/>
      <c r="C12" s="336"/>
      <c r="D12" s="336"/>
      <c r="E12" s="362"/>
    </row>
    <row r="13" spans="1:6" ht="15.95" customHeight="1" thickBot="1">
      <c r="A13" s="359"/>
      <c r="B13" s="360"/>
      <c r="C13" s="360"/>
      <c r="D13" s="360"/>
      <c r="E13" s="363">
        <f>SUM(E7:E12)</f>
        <v>4885000</v>
      </c>
    </row>
    <row r="15" spans="1:6" ht="15.75">
      <c r="B15" s="326" t="s">
        <v>609</v>
      </c>
      <c r="C15" s="327"/>
      <c r="D15" s="327"/>
    </row>
    <row r="17" spans="2:3" ht="15">
      <c r="B17" s="337"/>
      <c r="C17" s="327"/>
    </row>
    <row r="22" spans="2:3">
      <c r="C22" s="325">
        <v>8</v>
      </c>
    </row>
  </sheetData>
  <pageMargins left="0.39370078740157483" right="0.70866141732283472" top="0.74803149606299213" bottom="0.74803149606299213" header="0.31496062992125984" footer="0.31496062992125984"/>
  <pageSetup scale="9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45"/>
  <sheetViews>
    <sheetView topLeftCell="A40" workbookViewId="0">
      <selection activeCell="H28" sqref="H28"/>
    </sheetView>
  </sheetViews>
  <sheetFormatPr defaultRowHeight="12.75"/>
  <cols>
    <col min="1" max="1" width="7.7109375" style="22" customWidth="1"/>
    <col min="2" max="2" width="21.28515625" style="22" customWidth="1"/>
    <col min="3" max="3" width="9.85546875" style="22" customWidth="1"/>
    <col min="4" max="4" width="9.5703125" style="22" customWidth="1"/>
    <col min="5" max="5" width="14" style="22" customWidth="1"/>
    <col min="6" max="6" width="17.28515625" style="22" customWidth="1"/>
    <col min="7" max="8" width="9.140625" style="22"/>
    <col min="9" max="9" width="16.140625" style="22" customWidth="1"/>
    <col min="10" max="10" width="11.140625" style="22" bestFit="1" customWidth="1"/>
    <col min="11" max="16384" width="9.140625" style="22"/>
  </cols>
  <sheetData>
    <row r="1" spans="1:6" ht="15.75">
      <c r="A1" s="118" t="s">
        <v>756</v>
      </c>
    </row>
    <row r="2" spans="1:6" ht="15.75">
      <c r="A2" s="118" t="s">
        <v>757</v>
      </c>
    </row>
    <row r="3" spans="1:6" ht="16.5" thickBot="1">
      <c r="A3" s="118">
        <v>2018</v>
      </c>
    </row>
    <row r="4" spans="1:6" ht="13.5" thickBot="1">
      <c r="A4" s="545" t="s">
        <v>758</v>
      </c>
      <c r="B4" s="538" t="s">
        <v>759</v>
      </c>
      <c r="C4" s="538" t="s">
        <v>760</v>
      </c>
      <c r="D4" s="538" t="s">
        <v>761</v>
      </c>
      <c r="E4" s="538" t="s">
        <v>762</v>
      </c>
      <c r="F4" s="546" t="s">
        <v>763</v>
      </c>
    </row>
    <row r="5" spans="1:6">
      <c r="A5" s="509">
        <v>1</v>
      </c>
      <c r="B5" s="509" t="s">
        <v>764</v>
      </c>
      <c r="C5" s="509" t="s">
        <v>765</v>
      </c>
      <c r="D5" s="509">
        <v>9</v>
      </c>
      <c r="E5" s="510">
        <v>189000</v>
      </c>
      <c r="F5" s="511">
        <f>SUM(D5*E5)</f>
        <v>1701000</v>
      </c>
    </row>
    <row r="6" spans="1:6">
      <c r="A6" s="497">
        <v>2</v>
      </c>
      <c r="B6" s="497" t="s">
        <v>764</v>
      </c>
      <c r="C6" s="497" t="s">
        <v>765</v>
      </c>
      <c r="D6" s="497">
        <v>2</v>
      </c>
      <c r="E6" s="505">
        <f>SUM(F6/D6)</f>
        <v>120000</v>
      </c>
      <c r="F6" s="512">
        <v>240000</v>
      </c>
    </row>
    <row r="7" spans="1:6">
      <c r="A7" s="497">
        <v>3</v>
      </c>
      <c r="B7" s="497" t="s">
        <v>766</v>
      </c>
      <c r="C7" s="497" t="s">
        <v>765</v>
      </c>
      <c r="D7" s="497">
        <v>5</v>
      </c>
      <c r="E7" s="505">
        <v>213000</v>
      </c>
      <c r="F7" s="512">
        <f>SUM(D7*E7)</f>
        <v>1065000</v>
      </c>
    </row>
    <row r="8" spans="1:6">
      <c r="A8" s="497">
        <v>4</v>
      </c>
      <c r="B8" s="497" t="s">
        <v>766</v>
      </c>
      <c r="C8" s="497" t="s">
        <v>765</v>
      </c>
      <c r="D8" s="497">
        <v>3</v>
      </c>
      <c r="E8" s="505">
        <f>SUM(F8/D8)</f>
        <v>38000</v>
      </c>
      <c r="F8" s="512">
        <v>114000</v>
      </c>
    </row>
    <row r="9" spans="1:6">
      <c r="A9" s="497">
        <v>5</v>
      </c>
      <c r="B9" s="497" t="s">
        <v>767</v>
      </c>
      <c r="C9" s="497" t="s">
        <v>765</v>
      </c>
      <c r="D9" s="497">
        <v>3</v>
      </c>
      <c r="E9" s="505">
        <v>166667</v>
      </c>
      <c r="F9" s="512">
        <f t="shared" ref="F9:F14" si="0">SUM(D9*E9)</f>
        <v>500001</v>
      </c>
    </row>
    <row r="10" spans="1:6">
      <c r="A10" s="497">
        <v>6</v>
      </c>
      <c r="B10" s="497" t="s">
        <v>768</v>
      </c>
      <c r="C10" s="497" t="s">
        <v>765</v>
      </c>
      <c r="D10" s="497">
        <v>6</v>
      </c>
      <c r="E10" s="505">
        <v>10500</v>
      </c>
      <c r="F10" s="512">
        <f t="shared" si="0"/>
        <v>63000</v>
      </c>
    </row>
    <row r="11" spans="1:6">
      <c r="A11" s="497">
        <v>7</v>
      </c>
      <c r="B11" s="497" t="s">
        <v>769</v>
      </c>
      <c r="C11" s="497" t="s">
        <v>765</v>
      </c>
      <c r="D11" s="497">
        <v>6</v>
      </c>
      <c r="E11" s="505">
        <v>31500</v>
      </c>
      <c r="F11" s="512">
        <f t="shared" si="0"/>
        <v>189000</v>
      </c>
    </row>
    <row r="12" spans="1:6">
      <c r="A12" s="497">
        <v>8</v>
      </c>
      <c r="B12" s="497" t="s">
        <v>769</v>
      </c>
      <c r="C12" s="497" t="s">
        <v>765</v>
      </c>
      <c r="D12" s="497">
        <v>6</v>
      </c>
      <c r="E12" s="505">
        <v>25000</v>
      </c>
      <c r="F12" s="512">
        <f t="shared" si="0"/>
        <v>150000</v>
      </c>
    </row>
    <row r="13" spans="1:6">
      <c r="A13" s="497">
        <v>9</v>
      </c>
      <c r="B13" s="497" t="s">
        <v>770</v>
      </c>
      <c r="C13" s="497" t="s">
        <v>765</v>
      </c>
      <c r="D13" s="497">
        <v>1</v>
      </c>
      <c r="E13" s="505">
        <v>98000</v>
      </c>
      <c r="F13" s="512">
        <f t="shared" si="0"/>
        <v>98000</v>
      </c>
    </row>
    <row r="14" spans="1:6">
      <c r="A14" s="497">
        <v>10</v>
      </c>
      <c r="B14" s="497" t="s">
        <v>770</v>
      </c>
      <c r="C14" s="497" t="s">
        <v>765</v>
      </c>
      <c r="D14" s="497">
        <v>1</v>
      </c>
      <c r="E14" s="505">
        <v>135000</v>
      </c>
      <c r="F14" s="512">
        <f t="shared" si="0"/>
        <v>135000</v>
      </c>
    </row>
    <row r="15" spans="1:6">
      <c r="A15" s="497">
        <v>11</v>
      </c>
      <c r="B15" s="497" t="s">
        <v>771</v>
      </c>
      <c r="C15" s="497" t="s">
        <v>765</v>
      </c>
      <c r="D15" s="497">
        <v>6</v>
      </c>
      <c r="E15" s="505">
        <f>SUM(F15/D15)</f>
        <v>33000</v>
      </c>
      <c r="F15" s="512">
        <v>198000</v>
      </c>
    </row>
    <row r="16" spans="1:6">
      <c r="A16" s="497">
        <v>12</v>
      </c>
      <c r="B16" s="497" t="s">
        <v>772</v>
      </c>
      <c r="C16" s="497" t="s">
        <v>765</v>
      </c>
      <c r="D16" s="497">
        <v>1</v>
      </c>
      <c r="E16" s="505">
        <v>72000</v>
      </c>
      <c r="F16" s="512">
        <f t="shared" ref="F16:F34" si="1">SUM(D16*E16)</f>
        <v>72000</v>
      </c>
    </row>
    <row r="17" spans="1:6">
      <c r="A17" s="497">
        <v>13</v>
      </c>
      <c r="B17" s="497" t="s">
        <v>773</v>
      </c>
      <c r="C17" s="497" t="s">
        <v>765</v>
      </c>
      <c r="D17" s="497">
        <v>1</v>
      </c>
      <c r="E17" s="505">
        <v>1100000</v>
      </c>
      <c r="F17" s="512">
        <f t="shared" si="1"/>
        <v>1100000</v>
      </c>
    </row>
    <row r="18" spans="1:6">
      <c r="A18" s="497">
        <v>14</v>
      </c>
      <c r="B18" s="497" t="s">
        <v>774</v>
      </c>
      <c r="C18" s="497" t="s">
        <v>765</v>
      </c>
      <c r="D18" s="497">
        <v>1</v>
      </c>
      <c r="E18" s="505">
        <v>720000</v>
      </c>
      <c r="F18" s="512">
        <f t="shared" si="1"/>
        <v>720000</v>
      </c>
    </row>
    <row r="19" spans="1:6">
      <c r="A19" s="497">
        <v>15</v>
      </c>
      <c r="B19" s="497" t="s">
        <v>775</v>
      </c>
      <c r="C19" s="497" t="s">
        <v>765</v>
      </c>
      <c r="D19" s="497">
        <v>2</v>
      </c>
      <c r="E19" s="505">
        <v>750000</v>
      </c>
      <c r="F19" s="512">
        <f t="shared" si="1"/>
        <v>1500000</v>
      </c>
    </row>
    <row r="20" spans="1:6">
      <c r="A20" s="497">
        <v>16</v>
      </c>
      <c r="B20" s="497" t="s">
        <v>776</v>
      </c>
      <c r="C20" s="497" t="s">
        <v>765</v>
      </c>
      <c r="D20" s="497">
        <v>1</v>
      </c>
      <c r="E20" s="505">
        <v>114800</v>
      </c>
      <c r="F20" s="512">
        <f t="shared" si="1"/>
        <v>114800</v>
      </c>
    </row>
    <row r="21" spans="1:6">
      <c r="A21" s="497">
        <v>17</v>
      </c>
      <c r="B21" s="497" t="s">
        <v>777</v>
      </c>
      <c r="C21" s="497" t="s">
        <v>765</v>
      </c>
      <c r="D21" s="497">
        <v>1</v>
      </c>
      <c r="E21" s="505">
        <v>224000</v>
      </c>
      <c r="F21" s="512">
        <f t="shared" si="1"/>
        <v>224000</v>
      </c>
    </row>
    <row r="22" spans="1:6">
      <c r="A22" s="497">
        <v>18</v>
      </c>
      <c r="B22" s="497" t="s">
        <v>778</v>
      </c>
      <c r="C22" s="497" t="s">
        <v>765</v>
      </c>
      <c r="D22" s="497">
        <v>8</v>
      </c>
      <c r="E22" s="505">
        <v>4200</v>
      </c>
      <c r="F22" s="512">
        <f t="shared" si="1"/>
        <v>33600</v>
      </c>
    </row>
    <row r="23" spans="1:6">
      <c r="A23" s="497">
        <v>19</v>
      </c>
      <c r="B23" s="497" t="s">
        <v>779</v>
      </c>
      <c r="C23" s="497" t="s">
        <v>765</v>
      </c>
      <c r="D23" s="497">
        <v>1</v>
      </c>
      <c r="E23" s="505">
        <v>25000</v>
      </c>
      <c r="F23" s="512">
        <f t="shared" si="1"/>
        <v>25000</v>
      </c>
    </row>
    <row r="24" spans="1:6">
      <c r="A24" s="497">
        <v>20</v>
      </c>
      <c r="B24" s="497" t="s">
        <v>780</v>
      </c>
      <c r="C24" s="497" t="s">
        <v>765</v>
      </c>
      <c r="D24" s="497">
        <v>2</v>
      </c>
      <c r="E24" s="505">
        <v>91000</v>
      </c>
      <c r="F24" s="512">
        <f t="shared" si="1"/>
        <v>182000</v>
      </c>
    </row>
    <row r="25" spans="1:6">
      <c r="A25" s="497">
        <v>21</v>
      </c>
      <c r="B25" s="497" t="s">
        <v>781</v>
      </c>
      <c r="C25" s="497" t="s">
        <v>765</v>
      </c>
      <c r="D25" s="497">
        <v>3</v>
      </c>
      <c r="E25" s="505">
        <v>24500</v>
      </c>
      <c r="F25" s="512">
        <f t="shared" si="1"/>
        <v>73500</v>
      </c>
    </row>
    <row r="26" spans="1:6">
      <c r="A26" s="497">
        <v>22</v>
      </c>
      <c r="B26" s="497" t="s">
        <v>782</v>
      </c>
      <c r="C26" s="497" t="s">
        <v>765</v>
      </c>
      <c r="D26" s="497">
        <v>1</v>
      </c>
      <c r="E26" s="505">
        <v>34500</v>
      </c>
      <c r="F26" s="512">
        <f t="shared" si="1"/>
        <v>34500</v>
      </c>
    </row>
    <row r="27" spans="1:6">
      <c r="A27" s="497">
        <v>23</v>
      </c>
      <c r="B27" s="497" t="s">
        <v>783</v>
      </c>
      <c r="C27" s="497" t="s">
        <v>765</v>
      </c>
      <c r="D27" s="497">
        <v>4</v>
      </c>
      <c r="E27" s="505">
        <v>36500</v>
      </c>
      <c r="F27" s="512">
        <f t="shared" si="1"/>
        <v>146000</v>
      </c>
    </row>
    <row r="28" spans="1:6">
      <c r="A28" s="497">
        <v>24</v>
      </c>
      <c r="B28" s="497" t="s">
        <v>784</v>
      </c>
      <c r="C28" s="497" t="s">
        <v>765</v>
      </c>
      <c r="D28" s="497">
        <v>1</v>
      </c>
      <c r="E28" s="505">
        <v>22500</v>
      </c>
      <c r="F28" s="512">
        <f t="shared" si="1"/>
        <v>22500</v>
      </c>
    </row>
    <row r="29" spans="1:6">
      <c r="A29" s="497">
        <v>25</v>
      </c>
      <c r="B29" s="497" t="s">
        <v>784</v>
      </c>
      <c r="C29" s="497" t="s">
        <v>765</v>
      </c>
      <c r="D29" s="497">
        <v>2</v>
      </c>
      <c r="E29" s="505">
        <v>32000</v>
      </c>
      <c r="F29" s="512">
        <f t="shared" si="1"/>
        <v>64000</v>
      </c>
    </row>
    <row r="30" spans="1:6">
      <c r="A30" s="497">
        <v>26</v>
      </c>
      <c r="B30" s="497" t="s">
        <v>785</v>
      </c>
      <c r="C30" s="497" t="s">
        <v>765</v>
      </c>
      <c r="D30" s="497">
        <v>3</v>
      </c>
      <c r="E30" s="505">
        <v>7500</v>
      </c>
      <c r="F30" s="512">
        <f t="shared" si="1"/>
        <v>22500</v>
      </c>
    </row>
    <row r="31" spans="1:6">
      <c r="A31" s="497">
        <v>27</v>
      </c>
      <c r="B31" s="497" t="s">
        <v>786</v>
      </c>
      <c r="C31" s="497" t="s">
        <v>765</v>
      </c>
      <c r="D31" s="497">
        <v>1</v>
      </c>
      <c r="E31" s="505">
        <v>14300</v>
      </c>
      <c r="F31" s="512">
        <f t="shared" si="1"/>
        <v>14300</v>
      </c>
    </row>
    <row r="32" spans="1:6">
      <c r="A32" s="497">
        <v>28</v>
      </c>
      <c r="B32" s="497" t="s">
        <v>787</v>
      </c>
      <c r="C32" s="497" t="s">
        <v>765</v>
      </c>
      <c r="D32" s="497">
        <v>3</v>
      </c>
      <c r="E32" s="505">
        <v>10500</v>
      </c>
      <c r="F32" s="512">
        <f t="shared" si="1"/>
        <v>31500</v>
      </c>
    </row>
    <row r="33" spans="1:6">
      <c r="A33" s="497">
        <v>29</v>
      </c>
      <c r="B33" s="497" t="s">
        <v>788</v>
      </c>
      <c r="C33" s="497" t="s">
        <v>765</v>
      </c>
      <c r="D33" s="497">
        <v>1</v>
      </c>
      <c r="E33" s="505">
        <v>45000</v>
      </c>
      <c r="F33" s="512">
        <f t="shared" si="1"/>
        <v>45000</v>
      </c>
    </row>
    <row r="34" spans="1:6">
      <c r="A34" s="497">
        <v>30</v>
      </c>
      <c r="B34" s="497" t="s">
        <v>789</v>
      </c>
      <c r="C34" s="497" t="s">
        <v>765</v>
      </c>
      <c r="D34" s="497">
        <v>18</v>
      </c>
      <c r="E34" s="505">
        <v>11500</v>
      </c>
      <c r="F34" s="512">
        <f t="shared" si="1"/>
        <v>207000</v>
      </c>
    </row>
    <row r="35" spans="1:6">
      <c r="A35" s="497">
        <v>31</v>
      </c>
      <c r="B35" s="497" t="s">
        <v>789</v>
      </c>
      <c r="C35" s="497" t="s">
        <v>765</v>
      </c>
      <c r="D35" s="497">
        <v>3</v>
      </c>
      <c r="E35" s="505">
        <v>8200</v>
      </c>
      <c r="F35" s="512">
        <f>SUM(D35*E35)</f>
        <v>24600</v>
      </c>
    </row>
    <row r="36" spans="1:6">
      <c r="A36" s="497">
        <v>32</v>
      </c>
      <c r="B36" s="497" t="s">
        <v>790</v>
      </c>
      <c r="C36" s="497" t="s">
        <v>765</v>
      </c>
      <c r="D36" s="497">
        <v>2</v>
      </c>
      <c r="E36" s="505">
        <v>1583.33</v>
      </c>
      <c r="F36" s="512">
        <f>SUM(D36*E36)</f>
        <v>3166.66</v>
      </c>
    </row>
    <row r="37" spans="1:6">
      <c r="A37" s="497">
        <v>33</v>
      </c>
      <c r="B37" s="497" t="s">
        <v>791</v>
      </c>
      <c r="C37" s="497" t="s">
        <v>765</v>
      </c>
      <c r="D37" s="497">
        <v>10</v>
      </c>
      <c r="E37" s="505">
        <v>3250</v>
      </c>
      <c r="F37" s="512">
        <f t="shared" ref="F37:F49" si="2">SUM(D37*E37)</f>
        <v>32500</v>
      </c>
    </row>
    <row r="38" spans="1:6">
      <c r="A38" s="497">
        <v>34</v>
      </c>
      <c r="B38" s="497" t="s">
        <v>792</v>
      </c>
      <c r="C38" s="497" t="s">
        <v>765</v>
      </c>
      <c r="D38" s="497">
        <v>1</v>
      </c>
      <c r="E38" s="505">
        <v>67666</v>
      </c>
      <c r="F38" s="512">
        <f t="shared" si="2"/>
        <v>67666</v>
      </c>
    </row>
    <row r="39" spans="1:6">
      <c r="A39" s="497">
        <v>35</v>
      </c>
      <c r="B39" s="497" t="s">
        <v>793</v>
      </c>
      <c r="C39" s="497" t="s">
        <v>765</v>
      </c>
      <c r="D39" s="497">
        <v>1</v>
      </c>
      <c r="E39" s="505">
        <v>23333</v>
      </c>
      <c r="F39" s="512">
        <f t="shared" si="2"/>
        <v>23333</v>
      </c>
    </row>
    <row r="40" spans="1:6">
      <c r="A40" s="497">
        <v>36</v>
      </c>
      <c r="B40" s="497" t="s">
        <v>794</v>
      </c>
      <c r="C40" s="497" t="s">
        <v>765</v>
      </c>
      <c r="D40" s="497">
        <v>1</v>
      </c>
      <c r="E40" s="505">
        <v>375</v>
      </c>
      <c r="F40" s="512">
        <f t="shared" si="2"/>
        <v>375</v>
      </c>
    </row>
    <row r="41" spans="1:6">
      <c r="A41" s="497">
        <v>37</v>
      </c>
      <c r="B41" s="497" t="s">
        <v>795</v>
      </c>
      <c r="C41" s="497" t="s">
        <v>765</v>
      </c>
      <c r="D41" s="497">
        <v>4</v>
      </c>
      <c r="E41" s="505">
        <v>250</v>
      </c>
      <c r="F41" s="512">
        <f t="shared" si="2"/>
        <v>1000</v>
      </c>
    </row>
    <row r="42" spans="1:6">
      <c r="A42" s="497">
        <v>38</v>
      </c>
      <c r="B42" s="497" t="s">
        <v>796</v>
      </c>
      <c r="C42" s="497" t="s">
        <v>765</v>
      </c>
      <c r="D42" s="497">
        <v>2</v>
      </c>
      <c r="E42" s="505">
        <v>135700</v>
      </c>
      <c r="F42" s="512">
        <f t="shared" si="2"/>
        <v>271400</v>
      </c>
    </row>
    <row r="43" spans="1:6">
      <c r="A43" s="497">
        <v>39</v>
      </c>
      <c r="B43" s="497" t="s">
        <v>797</v>
      </c>
      <c r="C43" s="497" t="s">
        <v>765</v>
      </c>
      <c r="D43" s="497">
        <v>1</v>
      </c>
      <c r="E43" s="505">
        <v>195500</v>
      </c>
      <c r="F43" s="512">
        <f t="shared" si="2"/>
        <v>195500</v>
      </c>
    </row>
    <row r="44" spans="1:6">
      <c r="A44" s="497">
        <v>40</v>
      </c>
      <c r="B44" s="497" t="s">
        <v>798</v>
      </c>
      <c r="C44" s="497" t="s">
        <v>765</v>
      </c>
      <c r="D44" s="497">
        <v>1</v>
      </c>
      <c r="E44" s="505">
        <v>5750</v>
      </c>
      <c r="F44" s="512">
        <f t="shared" si="2"/>
        <v>5750</v>
      </c>
    </row>
    <row r="45" spans="1:6">
      <c r="A45" s="497">
        <v>41</v>
      </c>
      <c r="B45" s="497" t="s">
        <v>796</v>
      </c>
      <c r="C45" s="497" t="s">
        <v>765</v>
      </c>
      <c r="D45" s="497">
        <v>1</v>
      </c>
      <c r="E45" s="505">
        <v>120175</v>
      </c>
      <c r="F45" s="512">
        <f t="shared" si="2"/>
        <v>120175</v>
      </c>
    </row>
    <row r="46" spans="1:6">
      <c r="A46" s="497">
        <v>42</v>
      </c>
      <c r="B46" s="497" t="s">
        <v>793</v>
      </c>
      <c r="C46" s="497" t="s">
        <v>765</v>
      </c>
      <c r="D46" s="497">
        <v>1</v>
      </c>
      <c r="E46" s="505">
        <v>23000</v>
      </c>
      <c r="F46" s="512">
        <f t="shared" si="2"/>
        <v>23000</v>
      </c>
    </row>
    <row r="47" spans="1:6">
      <c r="A47" s="497">
        <v>43</v>
      </c>
      <c r="B47" s="497" t="s">
        <v>793</v>
      </c>
      <c r="C47" s="497" t="s">
        <v>765</v>
      </c>
      <c r="D47" s="497">
        <v>1</v>
      </c>
      <c r="E47" s="505">
        <v>20400</v>
      </c>
      <c r="F47" s="512">
        <f t="shared" si="2"/>
        <v>20400</v>
      </c>
    </row>
    <row r="48" spans="1:6">
      <c r="A48" s="497">
        <v>44</v>
      </c>
      <c r="B48" s="497" t="s">
        <v>799</v>
      </c>
      <c r="C48" s="497" t="s">
        <v>765</v>
      </c>
      <c r="D48" s="497">
        <v>1</v>
      </c>
      <c r="E48" s="505">
        <v>18700</v>
      </c>
      <c r="F48" s="512">
        <f t="shared" si="2"/>
        <v>18700</v>
      </c>
    </row>
    <row r="49" spans="1:6">
      <c r="A49" s="497">
        <v>45</v>
      </c>
      <c r="B49" s="497" t="s">
        <v>800</v>
      </c>
      <c r="C49" s="497" t="s">
        <v>765</v>
      </c>
      <c r="D49" s="497">
        <v>1</v>
      </c>
      <c r="E49" s="505">
        <v>10500</v>
      </c>
      <c r="F49" s="512">
        <f t="shared" si="2"/>
        <v>10500</v>
      </c>
    </row>
    <row r="50" spans="1:6">
      <c r="A50" s="497">
        <v>46</v>
      </c>
      <c r="B50" s="497" t="s">
        <v>801</v>
      </c>
      <c r="C50" s="497" t="s">
        <v>765</v>
      </c>
      <c r="D50" s="497">
        <v>8</v>
      </c>
      <c r="E50" s="505">
        <v>14833</v>
      </c>
      <c r="F50" s="512">
        <v>118667</v>
      </c>
    </row>
    <row r="51" spans="1:6">
      <c r="A51" s="497">
        <v>47</v>
      </c>
      <c r="B51" s="497" t="s">
        <v>802</v>
      </c>
      <c r="C51" s="497" t="s">
        <v>765</v>
      </c>
      <c r="D51" s="497">
        <v>2</v>
      </c>
      <c r="E51" s="505">
        <v>308000</v>
      </c>
      <c r="F51" s="512">
        <f>+D51*E51</f>
        <v>616000</v>
      </c>
    </row>
    <row r="52" spans="1:6">
      <c r="A52" s="497">
        <v>48</v>
      </c>
      <c r="B52" s="497" t="s">
        <v>803</v>
      </c>
      <c r="C52" s="497" t="s">
        <v>765</v>
      </c>
      <c r="D52" s="497">
        <v>4</v>
      </c>
      <c r="E52" s="505">
        <v>62000</v>
      </c>
      <c r="F52" s="512">
        <f t="shared" ref="F52:F66" si="3">+D52*E52</f>
        <v>248000</v>
      </c>
    </row>
    <row r="53" spans="1:6">
      <c r="A53" s="497">
        <v>49</v>
      </c>
      <c r="B53" s="497" t="s">
        <v>804</v>
      </c>
      <c r="C53" s="497" t="s">
        <v>765</v>
      </c>
      <c r="D53" s="497">
        <v>2</v>
      </c>
      <c r="E53" s="505">
        <v>57590</v>
      </c>
      <c r="F53" s="512">
        <f t="shared" si="3"/>
        <v>115180</v>
      </c>
    </row>
    <row r="54" spans="1:6">
      <c r="A54" s="497">
        <v>50</v>
      </c>
      <c r="B54" s="497" t="s">
        <v>805</v>
      </c>
      <c r="C54" s="497" t="s">
        <v>765</v>
      </c>
      <c r="D54" s="497">
        <v>2</v>
      </c>
      <c r="E54" s="505">
        <v>10880</v>
      </c>
      <c r="F54" s="512">
        <f t="shared" si="3"/>
        <v>21760</v>
      </c>
    </row>
    <row r="55" spans="1:6">
      <c r="A55" s="497">
        <v>51</v>
      </c>
      <c r="B55" s="497" t="s">
        <v>806</v>
      </c>
      <c r="C55" s="497" t="s">
        <v>765</v>
      </c>
      <c r="D55" s="497">
        <v>1</v>
      </c>
      <c r="E55" s="505">
        <v>53330</v>
      </c>
      <c r="F55" s="512">
        <f t="shared" si="3"/>
        <v>53330</v>
      </c>
    </row>
    <row r="56" spans="1:6">
      <c r="A56" s="497">
        <v>52</v>
      </c>
      <c r="B56" s="497" t="s">
        <v>807</v>
      </c>
      <c r="C56" s="497" t="s">
        <v>765</v>
      </c>
      <c r="D56" s="497">
        <v>2</v>
      </c>
      <c r="E56" s="505">
        <v>55000</v>
      </c>
      <c r="F56" s="512">
        <f t="shared" si="3"/>
        <v>110000</v>
      </c>
    </row>
    <row r="57" spans="1:6">
      <c r="A57" s="497">
        <v>53</v>
      </c>
      <c r="B57" s="497" t="s">
        <v>797</v>
      </c>
      <c r="C57" s="497" t="s">
        <v>765</v>
      </c>
      <c r="D57" s="497">
        <v>2</v>
      </c>
      <c r="E57" s="505">
        <v>104167</v>
      </c>
      <c r="F57" s="512">
        <f t="shared" si="3"/>
        <v>208334</v>
      </c>
    </row>
    <row r="58" spans="1:6">
      <c r="A58" s="497">
        <v>54</v>
      </c>
      <c r="B58" s="497" t="s">
        <v>806</v>
      </c>
      <c r="C58" s="497" t="s">
        <v>765</v>
      </c>
      <c r="D58" s="497">
        <v>1</v>
      </c>
      <c r="E58" s="505">
        <v>57117</v>
      </c>
      <c r="F58" s="512">
        <f t="shared" si="3"/>
        <v>57117</v>
      </c>
    </row>
    <row r="59" spans="1:6">
      <c r="A59" s="497">
        <v>55</v>
      </c>
      <c r="B59" s="497" t="s">
        <v>790</v>
      </c>
      <c r="C59" s="497" t="s">
        <v>765</v>
      </c>
      <c r="D59" s="497">
        <v>1</v>
      </c>
      <c r="E59" s="505">
        <v>2500</v>
      </c>
      <c r="F59" s="512">
        <f t="shared" si="3"/>
        <v>2500</v>
      </c>
    </row>
    <row r="60" spans="1:6">
      <c r="A60" s="497">
        <v>56</v>
      </c>
      <c r="B60" s="497" t="s">
        <v>808</v>
      </c>
      <c r="C60" s="497" t="s">
        <v>765</v>
      </c>
      <c r="D60" s="497">
        <v>1</v>
      </c>
      <c r="E60" s="505">
        <v>21667</v>
      </c>
      <c r="F60" s="512">
        <f t="shared" si="3"/>
        <v>21667</v>
      </c>
    </row>
    <row r="61" spans="1:6">
      <c r="A61" s="497">
        <v>57</v>
      </c>
      <c r="B61" s="497" t="s">
        <v>809</v>
      </c>
      <c r="C61" s="497" t="s">
        <v>765</v>
      </c>
      <c r="D61" s="497">
        <v>1</v>
      </c>
      <c r="E61" s="505">
        <v>82000</v>
      </c>
      <c r="F61" s="512">
        <f t="shared" si="3"/>
        <v>82000</v>
      </c>
    </row>
    <row r="62" spans="1:6">
      <c r="A62" s="497">
        <v>58</v>
      </c>
      <c r="B62" s="497" t="s">
        <v>810</v>
      </c>
      <c r="C62" s="497" t="s">
        <v>765</v>
      </c>
      <c r="D62" s="497">
        <v>1</v>
      </c>
      <c r="E62" s="505">
        <v>13325</v>
      </c>
      <c r="F62" s="512">
        <f t="shared" si="3"/>
        <v>13325</v>
      </c>
    </row>
    <row r="63" spans="1:6">
      <c r="A63" s="497">
        <v>59</v>
      </c>
      <c r="B63" s="497" t="s">
        <v>811</v>
      </c>
      <c r="C63" s="497" t="s">
        <v>765</v>
      </c>
      <c r="D63" s="497">
        <v>1</v>
      </c>
      <c r="E63" s="505">
        <v>20872</v>
      </c>
      <c r="F63" s="512">
        <f t="shared" si="3"/>
        <v>20872</v>
      </c>
    </row>
    <row r="64" spans="1:6">
      <c r="A64" s="497">
        <v>60</v>
      </c>
      <c r="B64" s="497" t="s">
        <v>812</v>
      </c>
      <c r="C64" s="497" t="s">
        <v>765</v>
      </c>
      <c r="D64" s="497">
        <v>1</v>
      </c>
      <c r="E64" s="505">
        <v>9375</v>
      </c>
      <c r="F64" s="512">
        <f t="shared" si="3"/>
        <v>9375</v>
      </c>
    </row>
    <row r="65" spans="1:6">
      <c r="A65" s="497">
        <v>61</v>
      </c>
      <c r="B65" s="497" t="s">
        <v>797</v>
      </c>
      <c r="C65" s="497" t="s">
        <v>765</v>
      </c>
      <c r="D65" s="497">
        <v>1</v>
      </c>
      <c r="E65" s="505">
        <v>143500</v>
      </c>
      <c r="F65" s="512">
        <f t="shared" si="3"/>
        <v>143500</v>
      </c>
    </row>
    <row r="66" spans="1:6">
      <c r="A66" s="497">
        <v>62</v>
      </c>
      <c r="B66" s="497" t="s">
        <v>813</v>
      </c>
      <c r="C66" s="497" t="s">
        <v>765</v>
      </c>
      <c r="D66" s="497">
        <v>1</v>
      </c>
      <c r="E66" s="505">
        <v>43733</v>
      </c>
      <c r="F66" s="512">
        <f t="shared" si="3"/>
        <v>43733</v>
      </c>
    </row>
    <row r="67" spans="1:6">
      <c r="A67" s="497">
        <v>63</v>
      </c>
      <c r="B67" s="497" t="s">
        <v>809</v>
      </c>
      <c r="C67" s="497" t="s">
        <v>765</v>
      </c>
      <c r="D67" s="497">
        <v>7</v>
      </c>
      <c r="E67" s="505">
        <v>86292</v>
      </c>
      <c r="F67" s="512">
        <v>604042</v>
      </c>
    </row>
    <row r="68" spans="1:6">
      <c r="A68" s="497">
        <v>64</v>
      </c>
      <c r="B68" s="497" t="s">
        <v>814</v>
      </c>
      <c r="C68" s="497" t="s">
        <v>765</v>
      </c>
      <c r="D68" s="497">
        <v>2</v>
      </c>
      <c r="E68" s="505">
        <v>51000</v>
      </c>
      <c r="F68" s="512">
        <v>102000</v>
      </c>
    </row>
    <row r="69" spans="1:6">
      <c r="A69" s="497">
        <v>65</v>
      </c>
      <c r="B69" s="497" t="s">
        <v>815</v>
      </c>
      <c r="C69" s="497" t="s">
        <v>765</v>
      </c>
      <c r="D69" s="497">
        <v>5</v>
      </c>
      <c r="E69" s="505">
        <v>63667</v>
      </c>
      <c r="F69" s="512">
        <v>318335</v>
      </c>
    </row>
    <row r="70" spans="1:6">
      <c r="A70" s="497">
        <v>66</v>
      </c>
      <c r="B70" s="497" t="s">
        <v>816</v>
      </c>
      <c r="C70" s="497" t="s">
        <v>765</v>
      </c>
      <c r="D70" s="497">
        <v>3</v>
      </c>
      <c r="E70" s="505">
        <v>18500</v>
      </c>
      <c r="F70" s="512">
        <v>55500</v>
      </c>
    </row>
    <row r="71" spans="1:6">
      <c r="A71" s="497">
        <v>67</v>
      </c>
      <c r="B71" s="497" t="s">
        <v>817</v>
      </c>
      <c r="C71" s="497" t="s">
        <v>765</v>
      </c>
      <c r="D71" s="497">
        <v>2</v>
      </c>
      <c r="E71" s="505">
        <v>51000</v>
      </c>
      <c r="F71" s="512">
        <v>102000</v>
      </c>
    </row>
    <row r="72" spans="1:6">
      <c r="A72" s="497">
        <v>68</v>
      </c>
      <c r="B72" s="497" t="s">
        <v>818</v>
      </c>
      <c r="C72" s="497" t="s">
        <v>765</v>
      </c>
      <c r="D72" s="497">
        <v>5</v>
      </c>
      <c r="E72" s="505">
        <v>7500</v>
      </c>
      <c r="F72" s="512">
        <v>37500</v>
      </c>
    </row>
    <row r="73" spans="1:6">
      <c r="A73" s="497">
        <v>69</v>
      </c>
      <c r="B73" s="497" t="s">
        <v>819</v>
      </c>
      <c r="C73" s="497" t="s">
        <v>765</v>
      </c>
      <c r="D73" s="497">
        <v>2</v>
      </c>
      <c r="E73" s="505">
        <v>75000</v>
      </c>
      <c r="F73" s="512">
        <v>150000</v>
      </c>
    </row>
    <row r="74" spans="1:6">
      <c r="A74" s="497">
        <v>70</v>
      </c>
      <c r="B74" s="497" t="s">
        <v>820</v>
      </c>
      <c r="C74" s="497" t="s">
        <v>765</v>
      </c>
      <c r="D74" s="497">
        <v>2</v>
      </c>
      <c r="E74" s="505">
        <v>42000</v>
      </c>
      <c r="F74" s="512">
        <v>84000</v>
      </c>
    </row>
    <row r="75" spans="1:6">
      <c r="A75" s="497">
        <v>71</v>
      </c>
      <c r="B75" s="497" t="s">
        <v>793</v>
      </c>
      <c r="C75" s="497" t="s">
        <v>765</v>
      </c>
      <c r="D75" s="497">
        <v>9</v>
      </c>
      <c r="E75" s="505">
        <v>10889</v>
      </c>
      <c r="F75" s="512">
        <v>98000</v>
      </c>
    </row>
    <row r="76" spans="1:6">
      <c r="A76" s="497">
        <v>72</v>
      </c>
      <c r="B76" s="497" t="s">
        <v>821</v>
      </c>
      <c r="C76" s="497" t="s">
        <v>765</v>
      </c>
      <c r="D76" s="497">
        <v>1</v>
      </c>
      <c r="E76" s="505">
        <v>11000</v>
      </c>
      <c r="F76" s="512">
        <v>11000</v>
      </c>
    </row>
    <row r="77" spans="1:6">
      <c r="A77" s="497">
        <v>73</v>
      </c>
      <c r="B77" s="497" t="s">
        <v>822</v>
      </c>
      <c r="C77" s="497" t="s">
        <v>765</v>
      </c>
      <c r="D77" s="497">
        <v>4</v>
      </c>
      <c r="E77" s="505">
        <v>20000</v>
      </c>
      <c r="F77" s="512">
        <v>80000</v>
      </c>
    </row>
    <row r="78" spans="1:6">
      <c r="A78" s="497">
        <v>74</v>
      </c>
      <c r="B78" s="497" t="s">
        <v>821</v>
      </c>
      <c r="C78" s="497" t="s">
        <v>765</v>
      </c>
      <c r="D78" s="497">
        <v>1</v>
      </c>
      <c r="E78" s="505">
        <v>1444</v>
      </c>
      <c r="F78" s="512">
        <v>1444</v>
      </c>
    </row>
    <row r="79" spans="1:6">
      <c r="A79" s="497">
        <v>75</v>
      </c>
      <c r="B79" s="497" t="s">
        <v>823</v>
      </c>
      <c r="C79" s="497" t="s">
        <v>765</v>
      </c>
      <c r="D79" s="497">
        <v>337</v>
      </c>
      <c r="E79" s="505">
        <f>+F79/D79</f>
        <v>740</v>
      </c>
      <c r="F79" s="512">
        <v>249380</v>
      </c>
    </row>
    <row r="80" spans="1:6">
      <c r="A80" s="497">
        <v>76</v>
      </c>
      <c r="B80" s="497" t="s">
        <v>824</v>
      </c>
      <c r="C80" s="497" t="s">
        <v>765</v>
      </c>
      <c r="D80" s="498">
        <v>11</v>
      </c>
      <c r="E80" s="505">
        <f>+F80/D80</f>
        <v>59272.727272727272</v>
      </c>
      <c r="F80" s="512">
        <f>200000+228000+224000</f>
        <v>652000</v>
      </c>
    </row>
    <row r="81" spans="1:8">
      <c r="A81" s="497">
        <v>77</v>
      </c>
      <c r="B81" s="497" t="s">
        <v>825</v>
      </c>
      <c r="C81" s="497" t="s">
        <v>765</v>
      </c>
      <c r="D81" s="498">
        <v>3</v>
      </c>
      <c r="E81" s="505">
        <v>2000</v>
      </c>
      <c r="F81" s="512">
        <f>+D81*E81</f>
        <v>6000</v>
      </c>
    </row>
    <row r="82" spans="1:8">
      <c r="A82" s="497">
        <v>78</v>
      </c>
      <c r="B82" s="497" t="s">
        <v>823</v>
      </c>
      <c r="C82" s="497" t="s">
        <v>765</v>
      </c>
      <c r="D82" s="498">
        <v>80</v>
      </c>
      <c r="E82" s="505">
        <f>+F82/D82</f>
        <v>11155.625</v>
      </c>
      <c r="F82" s="512">
        <v>892450</v>
      </c>
    </row>
    <row r="83" spans="1:8">
      <c r="A83" s="497">
        <v>79</v>
      </c>
      <c r="B83" s="497" t="s">
        <v>826</v>
      </c>
      <c r="C83" s="497" t="s">
        <v>765</v>
      </c>
      <c r="D83" s="498">
        <v>2</v>
      </c>
      <c r="E83" s="505">
        <v>1227950</v>
      </c>
      <c r="F83" s="512">
        <f>+E83*D83</f>
        <v>2455900</v>
      </c>
    </row>
    <row r="84" spans="1:8">
      <c r="A84" s="497">
        <v>80</v>
      </c>
      <c r="B84" s="497" t="s">
        <v>767</v>
      </c>
      <c r="C84" s="497" t="s">
        <v>765</v>
      </c>
      <c r="D84" s="498">
        <v>7</v>
      </c>
      <c r="E84" s="505">
        <f>+F84/D84</f>
        <v>16666.714285714286</v>
      </c>
      <c r="F84" s="512">
        <v>116667</v>
      </c>
    </row>
    <row r="85" spans="1:8">
      <c r="A85" s="497">
        <v>81</v>
      </c>
      <c r="B85" s="497" t="s">
        <v>827</v>
      </c>
      <c r="C85" s="497" t="s">
        <v>765</v>
      </c>
      <c r="D85" s="498">
        <v>1</v>
      </c>
      <c r="E85" s="505">
        <v>66667</v>
      </c>
      <c r="F85" s="512">
        <v>66667</v>
      </c>
    </row>
    <row r="86" spans="1:8">
      <c r="A86" s="497">
        <v>82</v>
      </c>
      <c r="B86" s="497" t="s">
        <v>828</v>
      </c>
      <c r="C86" s="497" t="s">
        <v>765</v>
      </c>
      <c r="D86" s="498">
        <v>1</v>
      </c>
      <c r="E86" s="505">
        <v>16667</v>
      </c>
      <c r="F86" s="512">
        <v>16667</v>
      </c>
    </row>
    <row r="87" spans="1:8">
      <c r="A87" s="497">
        <v>83</v>
      </c>
      <c r="B87" s="497" t="s">
        <v>829</v>
      </c>
      <c r="C87" s="497" t="s">
        <v>765</v>
      </c>
      <c r="D87" s="498">
        <v>1</v>
      </c>
      <c r="E87" s="505">
        <v>25407</v>
      </c>
      <c r="F87" s="512">
        <f>+E87*D87</f>
        <v>25407</v>
      </c>
    </row>
    <row r="88" spans="1:8">
      <c r="A88" s="497">
        <v>84</v>
      </c>
      <c r="B88" s="497" t="s">
        <v>830</v>
      </c>
      <c r="C88" s="497" t="s">
        <v>765</v>
      </c>
      <c r="D88" s="498">
        <v>2</v>
      </c>
      <c r="E88" s="505">
        <v>115167</v>
      </c>
      <c r="F88" s="512">
        <v>115167</v>
      </c>
    </row>
    <row r="89" spans="1:8">
      <c r="A89" s="497">
        <v>85</v>
      </c>
      <c r="B89" s="497" t="s">
        <v>831</v>
      </c>
      <c r="C89" s="497" t="s">
        <v>765</v>
      </c>
      <c r="D89" s="498">
        <v>1</v>
      </c>
      <c r="E89" s="505">
        <v>36458</v>
      </c>
      <c r="F89" s="512">
        <v>36458</v>
      </c>
    </row>
    <row r="90" spans="1:8">
      <c r="A90" s="497">
        <v>86</v>
      </c>
      <c r="B90" s="497" t="s">
        <v>832</v>
      </c>
      <c r="C90" s="497" t="s">
        <v>765</v>
      </c>
      <c r="D90" s="498">
        <v>1</v>
      </c>
      <c r="E90" s="505">
        <v>1000000</v>
      </c>
      <c r="F90" s="512">
        <f>+D90*E90</f>
        <v>1000000</v>
      </c>
    </row>
    <row r="91" spans="1:8">
      <c r="A91" s="497">
        <v>87</v>
      </c>
      <c r="B91" s="497" t="s">
        <v>833</v>
      </c>
      <c r="C91" s="497" t="s">
        <v>765</v>
      </c>
      <c r="D91" s="498">
        <v>8</v>
      </c>
      <c r="E91" s="505">
        <v>106437.5</v>
      </c>
      <c r="F91" s="512">
        <f t="shared" ref="F91:F111" si="4">+D91*E91</f>
        <v>851500</v>
      </c>
      <c r="H91" s="40"/>
    </row>
    <row r="92" spans="1:8">
      <c r="A92" s="497">
        <v>88</v>
      </c>
      <c r="B92" s="497" t="s">
        <v>827</v>
      </c>
      <c r="C92" s="497" t="s">
        <v>765</v>
      </c>
      <c r="D92" s="498">
        <v>1</v>
      </c>
      <c r="E92" s="505">
        <v>40000</v>
      </c>
      <c r="F92" s="512">
        <f t="shared" si="4"/>
        <v>40000</v>
      </c>
    </row>
    <row r="93" spans="1:8">
      <c r="A93" s="497">
        <v>89</v>
      </c>
      <c r="B93" s="497" t="s">
        <v>834</v>
      </c>
      <c r="C93" s="497" t="s">
        <v>765</v>
      </c>
      <c r="D93" s="498">
        <v>6</v>
      </c>
      <c r="E93" s="505">
        <v>16667</v>
      </c>
      <c r="F93" s="512">
        <v>99998</v>
      </c>
      <c r="G93" s="513"/>
    </row>
    <row r="94" spans="1:8">
      <c r="A94" s="497">
        <v>90</v>
      </c>
      <c r="B94" s="497" t="s">
        <v>835</v>
      </c>
      <c r="C94" s="497" t="s">
        <v>765</v>
      </c>
      <c r="D94" s="498">
        <v>1</v>
      </c>
      <c r="E94" s="505">
        <v>30000</v>
      </c>
      <c r="F94" s="512">
        <f t="shared" si="4"/>
        <v>30000</v>
      </c>
    </row>
    <row r="95" spans="1:8">
      <c r="A95" s="497">
        <v>91</v>
      </c>
      <c r="B95" s="497" t="s">
        <v>835</v>
      </c>
      <c r="C95" s="497" t="s">
        <v>765</v>
      </c>
      <c r="D95" s="498">
        <v>7</v>
      </c>
      <c r="E95" s="505">
        <v>11667</v>
      </c>
      <c r="F95" s="512">
        <f t="shared" si="4"/>
        <v>81669</v>
      </c>
    </row>
    <row r="96" spans="1:8">
      <c r="A96" s="497">
        <v>92</v>
      </c>
      <c r="B96" s="497" t="s">
        <v>836</v>
      </c>
      <c r="C96" s="497" t="s">
        <v>765</v>
      </c>
      <c r="D96" s="498">
        <v>4</v>
      </c>
      <c r="E96" s="505">
        <v>48591</v>
      </c>
      <c r="F96" s="512">
        <f t="shared" si="4"/>
        <v>194364</v>
      </c>
    </row>
    <row r="97" spans="1:6">
      <c r="A97" s="497">
        <v>93</v>
      </c>
      <c r="B97" s="497" t="s">
        <v>837</v>
      </c>
      <c r="C97" s="497" t="s">
        <v>765</v>
      </c>
      <c r="D97" s="498">
        <v>5</v>
      </c>
      <c r="E97" s="505">
        <v>67250</v>
      </c>
      <c r="F97" s="512">
        <f t="shared" si="4"/>
        <v>336250</v>
      </c>
    </row>
    <row r="98" spans="1:6">
      <c r="A98" s="497">
        <v>94</v>
      </c>
      <c r="B98" s="497" t="s">
        <v>838</v>
      </c>
      <c r="C98" s="497" t="s">
        <v>765</v>
      </c>
      <c r="D98" s="498">
        <v>1</v>
      </c>
      <c r="E98" s="505">
        <v>17826</v>
      </c>
      <c r="F98" s="512">
        <f t="shared" si="4"/>
        <v>17826</v>
      </c>
    </row>
    <row r="99" spans="1:6">
      <c r="A99" s="497">
        <v>95</v>
      </c>
      <c r="B99" s="497" t="s">
        <v>766</v>
      </c>
      <c r="C99" s="497" t="s">
        <v>765</v>
      </c>
      <c r="D99" s="498">
        <v>1</v>
      </c>
      <c r="E99" s="505">
        <v>30500</v>
      </c>
      <c r="F99" s="512">
        <f t="shared" si="4"/>
        <v>30500</v>
      </c>
    </row>
    <row r="100" spans="1:6">
      <c r="A100" s="497">
        <v>96</v>
      </c>
      <c r="B100" s="497" t="s">
        <v>766</v>
      </c>
      <c r="C100" s="497" t="s">
        <v>765</v>
      </c>
      <c r="D100" s="498">
        <v>2</v>
      </c>
      <c r="E100" s="505">
        <v>26750</v>
      </c>
      <c r="F100" s="512">
        <f t="shared" si="4"/>
        <v>53500</v>
      </c>
    </row>
    <row r="101" spans="1:6">
      <c r="A101" s="497">
        <v>97</v>
      </c>
      <c r="B101" s="497" t="s">
        <v>788</v>
      </c>
      <c r="C101" s="497" t="s">
        <v>765</v>
      </c>
      <c r="D101" s="498">
        <v>3</v>
      </c>
      <c r="E101" s="505">
        <v>26667</v>
      </c>
      <c r="F101" s="512">
        <f t="shared" si="4"/>
        <v>80001</v>
      </c>
    </row>
    <row r="102" spans="1:6">
      <c r="A102" s="497">
        <v>98</v>
      </c>
      <c r="B102" s="497" t="s">
        <v>788</v>
      </c>
      <c r="C102" s="497" t="s">
        <v>765</v>
      </c>
      <c r="D102" s="498">
        <v>1</v>
      </c>
      <c r="E102" s="505">
        <v>27088</v>
      </c>
      <c r="F102" s="512">
        <v>27082</v>
      </c>
    </row>
    <row r="103" spans="1:6">
      <c r="A103" s="497">
        <v>99</v>
      </c>
      <c r="B103" s="497" t="s">
        <v>839</v>
      </c>
      <c r="C103" s="497" t="s">
        <v>765</v>
      </c>
      <c r="D103" s="498">
        <v>3</v>
      </c>
      <c r="E103" s="505">
        <v>121625</v>
      </c>
      <c r="F103" s="512">
        <f t="shared" si="4"/>
        <v>364875</v>
      </c>
    </row>
    <row r="104" spans="1:6">
      <c r="A104" s="497">
        <v>100</v>
      </c>
      <c r="B104" s="497" t="s">
        <v>839</v>
      </c>
      <c r="C104" s="497" t="s">
        <v>765</v>
      </c>
      <c r="D104" s="498">
        <v>1</v>
      </c>
      <c r="E104" s="505">
        <v>92667</v>
      </c>
      <c r="F104" s="512">
        <f t="shared" si="4"/>
        <v>92667</v>
      </c>
    </row>
    <row r="105" spans="1:6">
      <c r="A105" s="497">
        <v>101</v>
      </c>
      <c r="B105" s="497" t="s">
        <v>837</v>
      </c>
      <c r="C105" s="497" t="s">
        <v>765</v>
      </c>
      <c r="D105" s="498">
        <v>1</v>
      </c>
      <c r="E105" s="505">
        <v>143250</v>
      </c>
      <c r="F105" s="512">
        <f t="shared" si="4"/>
        <v>143250</v>
      </c>
    </row>
    <row r="106" spans="1:6">
      <c r="A106" s="497">
        <v>102</v>
      </c>
      <c r="B106" s="497" t="s">
        <v>837</v>
      </c>
      <c r="C106" s="497" t="s">
        <v>765</v>
      </c>
      <c r="D106" s="498">
        <v>1</v>
      </c>
      <c r="E106" s="505">
        <v>137417</v>
      </c>
      <c r="F106" s="512">
        <f t="shared" si="4"/>
        <v>137417</v>
      </c>
    </row>
    <row r="107" spans="1:6">
      <c r="A107" s="497">
        <v>103</v>
      </c>
      <c r="B107" s="497" t="s">
        <v>797</v>
      </c>
      <c r="C107" s="497" t="s">
        <v>765</v>
      </c>
      <c r="D107" s="498">
        <v>1</v>
      </c>
      <c r="E107" s="505">
        <v>59917</v>
      </c>
      <c r="F107" s="512">
        <f t="shared" si="4"/>
        <v>59917</v>
      </c>
    </row>
    <row r="108" spans="1:6">
      <c r="A108" s="497">
        <v>104</v>
      </c>
      <c r="B108" s="497" t="s">
        <v>797</v>
      </c>
      <c r="C108" s="497" t="s">
        <v>765</v>
      </c>
      <c r="D108" s="498">
        <v>1</v>
      </c>
      <c r="E108" s="505">
        <v>52083</v>
      </c>
      <c r="F108" s="512">
        <f t="shared" si="4"/>
        <v>52083</v>
      </c>
    </row>
    <row r="109" spans="1:6">
      <c r="A109" s="497">
        <v>105</v>
      </c>
      <c r="B109" s="497" t="s">
        <v>799</v>
      </c>
      <c r="C109" s="497" t="s">
        <v>765</v>
      </c>
      <c r="D109" s="498">
        <v>1</v>
      </c>
      <c r="E109" s="505">
        <v>7333</v>
      </c>
      <c r="F109" s="512">
        <f t="shared" si="4"/>
        <v>7333</v>
      </c>
    </row>
    <row r="110" spans="1:6">
      <c r="A110" s="497">
        <v>106</v>
      </c>
      <c r="B110" s="497" t="s">
        <v>840</v>
      </c>
      <c r="C110" s="497" t="s">
        <v>765</v>
      </c>
      <c r="D110" s="498">
        <v>1</v>
      </c>
      <c r="E110" s="505">
        <v>43750</v>
      </c>
      <c r="F110" s="512">
        <f t="shared" si="4"/>
        <v>43750</v>
      </c>
    </row>
    <row r="111" spans="1:6">
      <c r="A111" s="497">
        <v>107</v>
      </c>
      <c r="B111" s="497" t="s">
        <v>766</v>
      </c>
      <c r="C111" s="497" t="s">
        <v>765</v>
      </c>
      <c r="D111" s="498">
        <v>1</v>
      </c>
      <c r="E111" s="505">
        <v>62417</v>
      </c>
      <c r="F111" s="512">
        <f t="shared" si="4"/>
        <v>62417</v>
      </c>
    </row>
    <row r="112" spans="1:6">
      <c r="A112" s="497">
        <v>108</v>
      </c>
      <c r="B112" s="497" t="s">
        <v>797</v>
      </c>
      <c r="C112" s="497" t="s">
        <v>765</v>
      </c>
      <c r="D112" s="498">
        <v>1</v>
      </c>
      <c r="E112" s="505">
        <v>149317</v>
      </c>
      <c r="F112" s="512">
        <f>+E112*D112</f>
        <v>149317</v>
      </c>
    </row>
    <row r="113" spans="1:6">
      <c r="A113" s="497">
        <v>109</v>
      </c>
      <c r="B113" s="497" t="s">
        <v>841</v>
      </c>
      <c r="C113" s="497" t="s">
        <v>765</v>
      </c>
      <c r="D113" s="498">
        <v>1</v>
      </c>
      <c r="E113" s="505">
        <v>20077</v>
      </c>
      <c r="F113" s="512">
        <v>20077</v>
      </c>
    </row>
    <row r="114" spans="1:6">
      <c r="A114" s="497">
        <v>110</v>
      </c>
      <c r="B114" s="497" t="s">
        <v>842</v>
      </c>
      <c r="C114" s="497" t="s">
        <v>765</v>
      </c>
      <c r="D114" s="498">
        <v>1</v>
      </c>
      <c r="E114" s="505">
        <v>12591</v>
      </c>
      <c r="F114" s="512">
        <v>12591</v>
      </c>
    </row>
    <row r="115" spans="1:6">
      <c r="A115" s="497">
        <v>111</v>
      </c>
      <c r="B115" s="497" t="s">
        <v>843</v>
      </c>
      <c r="C115" s="497" t="s">
        <v>765</v>
      </c>
      <c r="D115" s="498">
        <v>2</v>
      </c>
      <c r="E115" s="505">
        <v>120000</v>
      </c>
      <c r="F115" s="512">
        <f>+E115*D115</f>
        <v>240000</v>
      </c>
    </row>
    <row r="116" spans="1:6">
      <c r="A116" s="497">
        <v>112</v>
      </c>
      <c r="B116" s="497" t="s">
        <v>844</v>
      </c>
      <c r="C116" s="497" t="s">
        <v>765</v>
      </c>
      <c r="D116" s="498">
        <v>6</v>
      </c>
      <c r="E116" s="505">
        <f>+F116/D116</f>
        <v>13700</v>
      </c>
      <c r="F116" s="512">
        <v>82200</v>
      </c>
    </row>
    <row r="117" spans="1:6">
      <c r="A117" s="497">
        <v>113</v>
      </c>
      <c r="B117" s="497" t="s">
        <v>845</v>
      </c>
      <c r="C117" s="497" t="s">
        <v>765</v>
      </c>
      <c r="D117" s="498">
        <v>6</v>
      </c>
      <c r="E117" s="505">
        <f>+F117/D117</f>
        <v>12820</v>
      </c>
      <c r="F117" s="512">
        <v>76920</v>
      </c>
    </row>
    <row r="118" spans="1:6">
      <c r="A118" s="497">
        <v>114</v>
      </c>
      <c r="B118" s="497" t="s">
        <v>766</v>
      </c>
      <c r="C118" s="497" t="s">
        <v>765</v>
      </c>
      <c r="D118" s="498">
        <v>1</v>
      </c>
      <c r="E118" s="505">
        <v>46500</v>
      </c>
      <c r="F118" s="512">
        <f>+E118*D118</f>
        <v>46500</v>
      </c>
    </row>
    <row r="119" spans="1:6">
      <c r="A119" s="497">
        <v>115</v>
      </c>
      <c r="B119" s="497" t="s">
        <v>846</v>
      </c>
      <c r="C119" s="497" t="s">
        <v>765</v>
      </c>
      <c r="D119" s="498">
        <v>1</v>
      </c>
      <c r="E119" s="505">
        <v>14000</v>
      </c>
      <c r="F119" s="512">
        <v>14000</v>
      </c>
    </row>
    <row r="120" spans="1:6">
      <c r="A120" s="497">
        <v>116</v>
      </c>
      <c r="B120" s="497" t="s">
        <v>847</v>
      </c>
      <c r="C120" s="497" t="s">
        <v>765</v>
      </c>
      <c r="D120" s="498">
        <v>2</v>
      </c>
      <c r="E120" s="505">
        <v>36000</v>
      </c>
      <c r="F120" s="512">
        <f>+E120*D120</f>
        <v>72000</v>
      </c>
    </row>
    <row r="121" spans="1:6">
      <c r="A121" s="497">
        <v>117</v>
      </c>
      <c r="B121" s="497" t="s">
        <v>848</v>
      </c>
      <c r="C121" s="497" t="s">
        <v>765</v>
      </c>
      <c r="D121" s="498">
        <v>1</v>
      </c>
      <c r="E121" s="505">
        <v>39900</v>
      </c>
      <c r="F121" s="512">
        <f>+D121*E121</f>
        <v>39900</v>
      </c>
    </row>
    <row r="122" spans="1:6">
      <c r="A122" s="497">
        <v>118</v>
      </c>
      <c r="B122" s="497" t="s">
        <v>849</v>
      </c>
      <c r="C122" s="497" t="s">
        <v>765</v>
      </c>
      <c r="D122" s="498">
        <v>1</v>
      </c>
      <c r="E122" s="505">
        <v>48800</v>
      </c>
      <c r="F122" s="512">
        <f>+E122*D122</f>
        <v>48800</v>
      </c>
    </row>
    <row r="123" spans="1:6">
      <c r="A123" s="497">
        <v>119</v>
      </c>
      <c r="B123" s="497" t="s">
        <v>850</v>
      </c>
      <c r="C123" s="497" t="s">
        <v>765</v>
      </c>
      <c r="D123" s="498">
        <v>1</v>
      </c>
      <c r="E123" s="505">
        <v>19475</v>
      </c>
      <c r="F123" s="512">
        <f>+E123*D123</f>
        <v>19475</v>
      </c>
    </row>
    <row r="124" spans="1:6">
      <c r="A124" s="497">
        <v>120</v>
      </c>
      <c r="B124" s="497" t="s">
        <v>851</v>
      </c>
      <c r="C124" s="497" t="s">
        <v>765</v>
      </c>
      <c r="D124" s="498">
        <v>1</v>
      </c>
      <c r="E124" s="505">
        <v>12000</v>
      </c>
      <c r="F124" s="512">
        <v>12000</v>
      </c>
    </row>
    <row r="125" spans="1:6">
      <c r="A125" s="497">
        <v>121</v>
      </c>
      <c r="B125" s="497" t="s">
        <v>852</v>
      </c>
      <c r="C125" s="497" t="s">
        <v>765</v>
      </c>
      <c r="D125" s="498">
        <v>1</v>
      </c>
      <c r="E125" s="505">
        <v>32533</v>
      </c>
      <c r="F125" s="512">
        <f>+E125*D125</f>
        <v>32533</v>
      </c>
    </row>
    <row r="126" spans="1:6">
      <c r="A126" s="497">
        <v>122</v>
      </c>
      <c r="B126" s="497" t="s">
        <v>853</v>
      </c>
      <c r="C126" s="497" t="s">
        <v>765</v>
      </c>
      <c r="D126" s="498">
        <v>1</v>
      </c>
      <c r="E126" s="505">
        <v>19317</v>
      </c>
      <c r="F126" s="512">
        <f>+E126*D126</f>
        <v>19317</v>
      </c>
    </row>
    <row r="127" spans="1:6">
      <c r="A127" s="497">
        <v>123</v>
      </c>
      <c r="B127" s="497" t="s">
        <v>854</v>
      </c>
      <c r="C127" s="497" t="s">
        <v>765</v>
      </c>
      <c r="D127" s="498">
        <v>1</v>
      </c>
      <c r="E127" s="505">
        <v>6667</v>
      </c>
      <c r="F127" s="512">
        <v>6667</v>
      </c>
    </row>
    <row r="128" spans="1:6">
      <c r="A128" s="497">
        <v>124</v>
      </c>
      <c r="B128" s="497" t="s">
        <v>855</v>
      </c>
      <c r="C128" s="497" t="s">
        <v>765</v>
      </c>
      <c r="D128" s="498">
        <v>1</v>
      </c>
      <c r="E128" s="505">
        <v>14000</v>
      </c>
      <c r="F128" s="512">
        <v>14000</v>
      </c>
    </row>
    <row r="129" spans="1:6">
      <c r="A129" s="497">
        <v>125</v>
      </c>
      <c r="B129" s="497" t="s">
        <v>856</v>
      </c>
      <c r="C129" s="497" t="s">
        <v>765</v>
      </c>
      <c r="D129" s="498">
        <v>1</v>
      </c>
      <c r="E129" s="505">
        <v>2500</v>
      </c>
      <c r="F129" s="512">
        <v>2500</v>
      </c>
    </row>
    <row r="130" spans="1:6">
      <c r="A130" s="497">
        <v>126</v>
      </c>
      <c r="B130" s="497" t="s">
        <v>857</v>
      </c>
      <c r="C130" s="497" t="s">
        <v>765</v>
      </c>
      <c r="D130" s="498">
        <v>1</v>
      </c>
      <c r="E130" s="505">
        <v>14242</v>
      </c>
      <c r="F130" s="512">
        <f>+E130*D130</f>
        <v>14242</v>
      </c>
    </row>
    <row r="131" spans="1:6">
      <c r="A131" s="497">
        <v>127</v>
      </c>
      <c r="B131" s="497" t="s">
        <v>823</v>
      </c>
      <c r="C131" s="497" t="s">
        <v>765</v>
      </c>
      <c r="D131" s="498">
        <v>120</v>
      </c>
      <c r="E131" s="505">
        <v>25000</v>
      </c>
      <c r="F131" s="512">
        <f>+D131*E131</f>
        <v>3000000</v>
      </c>
    </row>
    <row r="132" spans="1:6">
      <c r="A132" s="497">
        <v>128</v>
      </c>
      <c r="B132" s="497" t="s">
        <v>858</v>
      </c>
      <c r="C132" s="497" t="s">
        <v>765</v>
      </c>
      <c r="D132" s="497">
        <v>1</v>
      </c>
      <c r="E132" s="505">
        <v>44000</v>
      </c>
      <c r="F132" s="512">
        <f t="shared" ref="F132:F188" si="5">SUM(D132*E132)</f>
        <v>44000</v>
      </c>
    </row>
    <row r="133" spans="1:6">
      <c r="A133" s="497">
        <v>129</v>
      </c>
      <c r="B133" s="497" t="s">
        <v>859</v>
      </c>
      <c r="C133" s="497" t="s">
        <v>765</v>
      </c>
      <c r="D133" s="497">
        <v>1</v>
      </c>
      <c r="E133" s="505">
        <v>42000</v>
      </c>
      <c r="F133" s="512">
        <f t="shared" si="5"/>
        <v>42000</v>
      </c>
    </row>
    <row r="134" spans="1:6">
      <c r="A134" s="497">
        <v>130</v>
      </c>
      <c r="B134" s="497" t="s">
        <v>860</v>
      </c>
      <c r="C134" s="497" t="s">
        <v>765</v>
      </c>
      <c r="D134" s="497">
        <v>1</v>
      </c>
      <c r="E134" s="505">
        <v>150000</v>
      </c>
      <c r="F134" s="512">
        <f t="shared" si="5"/>
        <v>150000</v>
      </c>
    </row>
    <row r="135" spans="1:6">
      <c r="A135" s="497">
        <v>131</v>
      </c>
      <c r="B135" s="497" t="s">
        <v>861</v>
      </c>
      <c r="C135" s="497" t="s">
        <v>765</v>
      </c>
      <c r="D135" s="497">
        <v>23</v>
      </c>
      <c r="E135" s="505">
        <v>16800</v>
      </c>
      <c r="F135" s="512">
        <f t="shared" si="5"/>
        <v>386400</v>
      </c>
    </row>
    <row r="136" spans="1:6">
      <c r="A136" s="497">
        <v>132</v>
      </c>
      <c r="B136" s="497" t="s">
        <v>862</v>
      </c>
      <c r="C136" s="497" t="s">
        <v>765</v>
      </c>
      <c r="D136" s="497">
        <v>1</v>
      </c>
      <c r="E136" s="505">
        <v>210000</v>
      </c>
      <c r="F136" s="512">
        <f t="shared" si="5"/>
        <v>210000</v>
      </c>
    </row>
    <row r="137" spans="1:6">
      <c r="A137" s="497">
        <v>133</v>
      </c>
      <c r="B137" s="497" t="s">
        <v>862</v>
      </c>
      <c r="C137" s="497" t="s">
        <v>765</v>
      </c>
      <c r="D137" s="497">
        <v>4</v>
      </c>
      <c r="E137" s="505">
        <v>25000</v>
      </c>
      <c r="F137" s="512">
        <f t="shared" si="5"/>
        <v>100000</v>
      </c>
    </row>
    <row r="138" spans="1:6">
      <c r="A138" s="497">
        <v>134</v>
      </c>
      <c r="B138" s="497" t="s">
        <v>863</v>
      </c>
      <c r="C138" s="497" t="s">
        <v>765</v>
      </c>
      <c r="D138" s="497">
        <v>1</v>
      </c>
      <c r="E138" s="505">
        <v>25000</v>
      </c>
      <c r="F138" s="512">
        <f t="shared" si="5"/>
        <v>25000</v>
      </c>
    </row>
    <row r="139" spans="1:6">
      <c r="A139" s="497">
        <v>135</v>
      </c>
      <c r="B139" s="497" t="s">
        <v>863</v>
      </c>
      <c r="C139" s="497" t="s">
        <v>765</v>
      </c>
      <c r="D139" s="497">
        <v>1</v>
      </c>
      <c r="E139" s="505">
        <v>2503</v>
      </c>
      <c r="F139" s="512">
        <f t="shared" si="5"/>
        <v>2503</v>
      </c>
    </row>
    <row r="140" spans="1:6">
      <c r="A140" s="497">
        <v>136</v>
      </c>
      <c r="B140" s="497" t="s">
        <v>864</v>
      </c>
      <c r="C140" s="497" t="s">
        <v>765</v>
      </c>
      <c r="D140" s="497">
        <v>1</v>
      </c>
      <c r="E140" s="505">
        <v>7500</v>
      </c>
      <c r="F140" s="512">
        <f t="shared" si="5"/>
        <v>7500</v>
      </c>
    </row>
    <row r="141" spans="1:6">
      <c r="A141" s="497">
        <v>137</v>
      </c>
      <c r="B141" s="497" t="s">
        <v>865</v>
      </c>
      <c r="C141" s="497" t="s">
        <v>765</v>
      </c>
      <c r="D141" s="497">
        <v>6</v>
      </c>
      <c r="E141" s="505">
        <v>2500</v>
      </c>
      <c r="F141" s="512">
        <f t="shared" si="5"/>
        <v>15000</v>
      </c>
    </row>
    <row r="142" spans="1:6">
      <c r="A142" s="497">
        <v>138</v>
      </c>
      <c r="B142" s="497" t="s">
        <v>865</v>
      </c>
      <c r="C142" s="497" t="s">
        <v>765</v>
      </c>
      <c r="D142" s="497">
        <v>1</v>
      </c>
      <c r="E142" s="505">
        <v>1331</v>
      </c>
      <c r="F142" s="512">
        <f t="shared" si="5"/>
        <v>1331</v>
      </c>
    </row>
    <row r="143" spans="1:6">
      <c r="A143" s="497">
        <v>139</v>
      </c>
      <c r="B143" s="497" t="s">
        <v>866</v>
      </c>
      <c r="C143" s="497" t="s">
        <v>765</v>
      </c>
      <c r="D143" s="497">
        <v>1</v>
      </c>
      <c r="E143" s="505">
        <v>800000</v>
      </c>
      <c r="F143" s="512">
        <f t="shared" si="5"/>
        <v>800000</v>
      </c>
    </row>
    <row r="144" spans="1:6">
      <c r="A144" s="497">
        <v>140</v>
      </c>
      <c r="B144" s="497" t="s">
        <v>867</v>
      </c>
      <c r="C144" s="497" t="s">
        <v>765</v>
      </c>
      <c r="D144" s="497">
        <v>2</v>
      </c>
      <c r="E144" s="505">
        <v>70000</v>
      </c>
      <c r="F144" s="512">
        <f t="shared" si="5"/>
        <v>140000</v>
      </c>
    </row>
    <row r="145" spans="1:6">
      <c r="A145" s="497">
        <v>141</v>
      </c>
      <c r="B145" s="497" t="s">
        <v>868</v>
      </c>
      <c r="C145" s="497" t="s">
        <v>765</v>
      </c>
      <c r="D145" s="497">
        <v>1</v>
      </c>
      <c r="E145" s="505">
        <v>44100</v>
      </c>
      <c r="F145" s="512">
        <f t="shared" si="5"/>
        <v>44100</v>
      </c>
    </row>
    <row r="146" spans="1:6">
      <c r="A146" s="497">
        <v>142</v>
      </c>
      <c r="B146" s="497" t="s">
        <v>769</v>
      </c>
      <c r="C146" s="497" t="s">
        <v>765</v>
      </c>
      <c r="D146" s="497">
        <v>2</v>
      </c>
      <c r="E146" s="505">
        <v>7500</v>
      </c>
      <c r="F146" s="512">
        <f t="shared" si="5"/>
        <v>15000</v>
      </c>
    </row>
    <row r="147" spans="1:6">
      <c r="A147" s="497">
        <v>143</v>
      </c>
      <c r="B147" s="497" t="s">
        <v>771</v>
      </c>
      <c r="C147" s="497" t="s">
        <v>765</v>
      </c>
      <c r="D147" s="497">
        <v>2</v>
      </c>
      <c r="E147" s="505">
        <v>16800</v>
      </c>
      <c r="F147" s="512">
        <f t="shared" si="5"/>
        <v>33600</v>
      </c>
    </row>
    <row r="148" spans="1:6">
      <c r="A148" s="497">
        <v>144</v>
      </c>
      <c r="B148" s="497" t="s">
        <v>869</v>
      </c>
      <c r="C148" s="497" t="s">
        <v>765</v>
      </c>
      <c r="D148" s="497">
        <v>1</v>
      </c>
      <c r="E148" s="505">
        <v>60375</v>
      </c>
      <c r="F148" s="512">
        <f t="shared" si="5"/>
        <v>60375</v>
      </c>
    </row>
    <row r="149" spans="1:6">
      <c r="A149" s="497">
        <v>145</v>
      </c>
      <c r="B149" s="497" t="s">
        <v>870</v>
      </c>
      <c r="C149" s="497" t="s">
        <v>765</v>
      </c>
      <c r="D149" s="497">
        <v>4</v>
      </c>
      <c r="E149" s="505">
        <v>3932.25</v>
      </c>
      <c r="F149" s="512">
        <f t="shared" si="5"/>
        <v>15729</v>
      </c>
    </row>
    <row r="150" spans="1:6">
      <c r="A150" s="497">
        <v>146</v>
      </c>
      <c r="B150" s="497" t="s">
        <v>871</v>
      </c>
      <c r="C150" s="497" t="s">
        <v>765</v>
      </c>
      <c r="D150" s="497">
        <v>4</v>
      </c>
      <c r="E150" s="505">
        <v>50000</v>
      </c>
      <c r="F150" s="512">
        <f t="shared" si="5"/>
        <v>200000</v>
      </c>
    </row>
    <row r="151" spans="1:6">
      <c r="A151" s="497">
        <v>147</v>
      </c>
      <c r="B151" s="497" t="s">
        <v>872</v>
      </c>
      <c r="C151" s="497" t="s">
        <v>765</v>
      </c>
      <c r="D151" s="497">
        <v>10</v>
      </c>
      <c r="E151" s="505">
        <v>70000</v>
      </c>
      <c r="F151" s="512">
        <f t="shared" si="5"/>
        <v>700000</v>
      </c>
    </row>
    <row r="152" spans="1:6">
      <c r="A152" s="497">
        <v>148</v>
      </c>
      <c r="B152" s="497" t="s">
        <v>837</v>
      </c>
      <c r="C152" s="497" t="s">
        <v>765</v>
      </c>
      <c r="D152" s="497">
        <v>10</v>
      </c>
      <c r="E152" s="505">
        <v>25000</v>
      </c>
      <c r="F152" s="512">
        <f t="shared" si="5"/>
        <v>250000</v>
      </c>
    </row>
    <row r="153" spans="1:6">
      <c r="A153" s="497">
        <v>149</v>
      </c>
      <c r="B153" s="497" t="s">
        <v>872</v>
      </c>
      <c r="C153" s="497" t="s">
        <v>765</v>
      </c>
      <c r="D153" s="497">
        <v>2</v>
      </c>
      <c r="E153" s="505">
        <v>120000</v>
      </c>
      <c r="F153" s="512">
        <f t="shared" si="5"/>
        <v>240000</v>
      </c>
    </row>
    <row r="154" spans="1:6">
      <c r="A154" s="497">
        <v>150</v>
      </c>
      <c r="B154" s="497" t="s">
        <v>873</v>
      </c>
      <c r="C154" s="497" t="s">
        <v>765</v>
      </c>
      <c r="D154" s="497">
        <v>1</v>
      </c>
      <c r="E154" s="505">
        <v>144463</v>
      </c>
      <c r="F154" s="512">
        <f t="shared" si="5"/>
        <v>144463</v>
      </c>
    </row>
    <row r="155" spans="1:6">
      <c r="A155" s="497">
        <v>151</v>
      </c>
      <c r="B155" s="497" t="s">
        <v>874</v>
      </c>
      <c r="C155" s="497" t="s">
        <v>765</v>
      </c>
      <c r="D155" s="497">
        <v>1</v>
      </c>
      <c r="E155" s="505">
        <v>10583</v>
      </c>
      <c r="F155" s="512">
        <f t="shared" si="5"/>
        <v>10583</v>
      </c>
    </row>
    <row r="156" spans="1:6">
      <c r="A156" s="497">
        <v>152</v>
      </c>
      <c r="B156" s="497" t="s">
        <v>875</v>
      </c>
      <c r="C156" s="497" t="s">
        <v>765</v>
      </c>
      <c r="D156" s="497">
        <v>1</v>
      </c>
      <c r="E156" s="505">
        <v>3134</v>
      </c>
      <c r="F156" s="512">
        <f t="shared" si="5"/>
        <v>3134</v>
      </c>
    </row>
    <row r="157" spans="1:6">
      <c r="A157" s="497">
        <v>153</v>
      </c>
      <c r="B157" s="497" t="s">
        <v>873</v>
      </c>
      <c r="C157" s="497" t="s">
        <v>765</v>
      </c>
      <c r="D157" s="497">
        <v>4</v>
      </c>
      <c r="E157" s="505">
        <v>100375</v>
      </c>
      <c r="F157" s="512">
        <f t="shared" si="5"/>
        <v>401500</v>
      </c>
    </row>
    <row r="158" spans="1:6">
      <c r="A158" s="497">
        <v>154</v>
      </c>
      <c r="B158" s="497" t="s">
        <v>876</v>
      </c>
      <c r="C158" s="497" t="s">
        <v>765</v>
      </c>
      <c r="D158" s="497">
        <v>8</v>
      </c>
      <c r="E158" s="505">
        <v>8375</v>
      </c>
      <c r="F158" s="512">
        <f t="shared" si="5"/>
        <v>67000</v>
      </c>
    </row>
    <row r="159" spans="1:6">
      <c r="A159" s="497">
        <v>155</v>
      </c>
      <c r="B159" s="497" t="s">
        <v>877</v>
      </c>
      <c r="C159" s="497" t="s">
        <v>765</v>
      </c>
      <c r="D159" s="497">
        <v>4</v>
      </c>
      <c r="E159" s="505">
        <v>54290</v>
      </c>
      <c r="F159" s="512">
        <f t="shared" si="5"/>
        <v>217160</v>
      </c>
    </row>
    <row r="160" spans="1:6">
      <c r="A160" s="497">
        <v>156</v>
      </c>
      <c r="B160" s="497" t="s">
        <v>878</v>
      </c>
      <c r="C160" s="497" t="s">
        <v>765</v>
      </c>
      <c r="D160" s="497">
        <v>1</v>
      </c>
      <c r="E160" s="505">
        <v>1250</v>
      </c>
      <c r="F160" s="512">
        <f t="shared" si="5"/>
        <v>1250</v>
      </c>
    </row>
    <row r="161" spans="1:6">
      <c r="A161" s="497">
        <v>157</v>
      </c>
      <c r="B161" s="497" t="s">
        <v>879</v>
      </c>
      <c r="C161" s="497" t="s">
        <v>765</v>
      </c>
      <c r="D161" s="497">
        <v>2</v>
      </c>
      <c r="E161" s="505">
        <v>1920000</v>
      </c>
      <c r="F161" s="512">
        <f t="shared" si="5"/>
        <v>3840000</v>
      </c>
    </row>
    <row r="162" spans="1:6">
      <c r="A162" s="497">
        <v>158</v>
      </c>
      <c r="B162" s="497" t="s">
        <v>767</v>
      </c>
      <c r="C162" s="497" t="s">
        <v>765</v>
      </c>
      <c r="D162" s="497">
        <v>6</v>
      </c>
      <c r="E162" s="505">
        <v>65000</v>
      </c>
      <c r="F162" s="512">
        <f t="shared" si="5"/>
        <v>390000</v>
      </c>
    </row>
    <row r="163" spans="1:6">
      <c r="A163" s="497">
        <v>159</v>
      </c>
      <c r="B163" s="497" t="s">
        <v>768</v>
      </c>
      <c r="C163" s="497" t="s">
        <v>765</v>
      </c>
      <c r="D163" s="497">
        <v>6</v>
      </c>
      <c r="E163" s="505">
        <v>14166</v>
      </c>
      <c r="F163" s="512">
        <f t="shared" si="5"/>
        <v>84996</v>
      </c>
    </row>
    <row r="164" spans="1:6">
      <c r="A164" s="497">
        <v>160</v>
      </c>
      <c r="B164" s="497" t="s">
        <v>770</v>
      </c>
      <c r="C164" s="497" t="s">
        <v>765</v>
      </c>
      <c r="D164" s="497">
        <v>2</v>
      </c>
      <c r="E164" s="505">
        <v>97500</v>
      </c>
      <c r="F164" s="512">
        <f t="shared" si="5"/>
        <v>195000</v>
      </c>
    </row>
    <row r="165" spans="1:6">
      <c r="A165" s="497">
        <v>161</v>
      </c>
      <c r="B165" s="497" t="s">
        <v>769</v>
      </c>
      <c r="C165" s="497" t="s">
        <v>765</v>
      </c>
      <c r="D165" s="497">
        <v>6</v>
      </c>
      <c r="E165" s="505">
        <v>29167</v>
      </c>
      <c r="F165" s="512">
        <f t="shared" si="5"/>
        <v>175002</v>
      </c>
    </row>
    <row r="166" spans="1:6">
      <c r="A166" s="497">
        <v>162</v>
      </c>
      <c r="B166" s="497" t="s">
        <v>769</v>
      </c>
      <c r="C166" s="497" t="s">
        <v>765</v>
      </c>
      <c r="D166" s="497">
        <v>4</v>
      </c>
      <c r="E166" s="505">
        <v>13200</v>
      </c>
      <c r="F166" s="512">
        <f t="shared" si="5"/>
        <v>52800</v>
      </c>
    </row>
    <row r="167" spans="1:6">
      <c r="A167" s="497">
        <v>163</v>
      </c>
      <c r="B167" s="497" t="s">
        <v>783</v>
      </c>
      <c r="C167" s="497" t="s">
        <v>765</v>
      </c>
      <c r="D167" s="497">
        <v>2</v>
      </c>
      <c r="E167" s="505">
        <v>6750</v>
      </c>
      <c r="F167" s="512">
        <f t="shared" si="5"/>
        <v>13500</v>
      </c>
    </row>
    <row r="168" spans="1:6">
      <c r="A168" s="497">
        <v>164</v>
      </c>
      <c r="B168" s="497" t="s">
        <v>766</v>
      </c>
      <c r="C168" s="497" t="s">
        <v>765</v>
      </c>
      <c r="D168" s="497">
        <v>2</v>
      </c>
      <c r="E168" s="505">
        <v>213000</v>
      </c>
      <c r="F168" s="512">
        <f t="shared" si="5"/>
        <v>426000</v>
      </c>
    </row>
    <row r="169" spans="1:6">
      <c r="A169" s="497">
        <v>165</v>
      </c>
      <c r="B169" s="497" t="s">
        <v>880</v>
      </c>
      <c r="C169" s="497" t="s">
        <v>765</v>
      </c>
      <c r="D169" s="497">
        <v>6</v>
      </c>
      <c r="E169" s="505">
        <v>18200</v>
      </c>
      <c r="F169" s="512">
        <f t="shared" si="5"/>
        <v>109200</v>
      </c>
    </row>
    <row r="170" spans="1:6">
      <c r="A170" s="497">
        <v>166</v>
      </c>
      <c r="B170" s="497" t="s">
        <v>776</v>
      </c>
      <c r="C170" s="497" t="s">
        <v>765</v>
      </c>
      <c r="D170" s="497">
        <v>1</v>
      </c>
      <c r="E170" s="505">
        <v>35000</v>
      </c>
      <c r="F170" s="512">
        <f t="shared" si="5"/>
        <v>35000</v>
      </c>
    </row>
    <row r="171" spans="1:6">
      <c r="A171" s="497">
        <v>167</v>
      </c>
      <c r="B171" s="497" t="s">
        <v>881</v>
      </c>
      <c r="C171" s="497" t="s">
        <v>765</v>
      </c>
      <c r="D171" s="497">
        <v>1</v>
      </c>
      <c r="E171" s="505">
        <v>4500</v>
      </c>
      <c r="F171" s="512">
        <f t="shared" si="5"/>
        <v>4500</v>
      </c>
    </row>
    <row r="172" spans="1:6">
      <c r="A172" s="497">
        <v>168</v>
      </c>
      <c r="B172" s="497" t="s">
        <v>839</v>
      </c>
      <c r="C172" s="497" t="s">
        <v>765</v>
      </c>
      <c r="D172" s="497">
        <v>1</v>
      </c>
      <c r="E172" s="505">
        <v>213000</v>
      </c>
      <c r="F172" s="512">
        <f t="shared" si="5"/>
        <v>213000</v>
      </c>
    </row>
    <row r="173" spans="1:6">
      <c r="A173" s="497">
        <v>169</v>
      </c>
      <c r="B173" s="497" t="s">
        <v>882</v>
      </c>
      <c r="C173" s="497" t="s">
        <v>765</v>
      </c>
      <c r="D173" s="497">
        <v>1</v>
      </c>
      <c r="E173" s="505">
        <v>686919</v>
      </c>
      <c r="F173" s="512">
        <f t="shared" si="5"/>
        <v>686919</v>
      </c>
    </row>
    <row r="174" spans="1:6">
      <c r="A174" s="497">
        <v>170</v>
      </c>
      <c r="B174" s="497" t="s">
        <v>883</v>
      </c>
      <c r="C174" s="497" t="s">
        <v>765</v>
      </c>
      <c r="D174" s="497">
        <v>2</v>
      </c>
      <c r="E174" s="505">
        <v>333</v>
      </c>
      <c r="F174" s="512">
        <f t="shared" si="5"/>
        <v>666</v>
      </c>
    </row>
    <row r="175" spans="1:6">
      <c r="A175" s="497">
        <v>171</v>
      </c>
      <c r="B175" s="497" t="s">
        <v>884</v>
      </c>
      <c r="C175" s="497" t="s">
        <v>765</v>
      </c>
      <c r="D175" s="497">
        <v>2</v>
      </c>
      <c r="E175" s="505">
        <v>1332.5</v>
      </c>
      <c r="F175" s="512">
        <f t="shared" si="5"/>
        <v>2665</v>
      </c>
    </row>
    <row r="176" spans="1:6">
      <c r="A176" s="497">
        <v>172</v>
      </c>
      <c r="B176" s="497" t="s">
        <v>885</v>
      </c>
      <c r="C176" s="497" t="s">
        <v>765</v>
      </c>
      <c r="D176" s="497">
        <v>3</v>
      </c>
      <c r="E176" s="505">
        <v>1250</v>
      </c>
      <c r="F176" s="512">
        <f t="shared" si="5"/>
        <v>3750</v>
      </c>
    </row>
    <row r="177" spans="1:6">
      <c r="A177" s="497">
        <v>173</v>
      </c>
      <c r="B177" s="497" t="s">
        <v>886</v>
      </c>
      <c r="C177" s="497" t="s">
        <v>765</v>
      </c>
      <c r="D177" s="497">
        <v>1</v>
      </c>
      <c r="E177" s="505">
        <v>625</v>
      </c>
      <c r="F177" s="512">
        <f t="shared" si="5"/>
        <v>625</v>
      </c>
    </row>
    <row r="178" spans="1:6">
      <c r="A178" s="497">
        <v>174</v>
      </c>
      <c r="B178" s="497" t="s">
        <v>887</v>
      </c>
      <c r="C178" s="497" t="s">
        <v>765</v>
      </c>
      <c r="D178" s="497">
        <v>1</v>
      </c>
      <c r="E178" s="505">
        <v>8400</v>
      </c>
      <c r="F178" s="512">
        <f t="shared" si="5"/>
        <v>8400</v>
      </c>
    </row>
    <row r="179" spans="1:6">
      <c r="A179" s="497">
        <v>175</v>
      </c>
      <c r="B179" s="497" t="s">
        <v>888</v>
      </c>
      <c r="C179" s="497" t="s">
        <v>765</v>
      </c>
      <c r="D179" s="497">
        <v>3</v>
      </c>
      <c r="E179" s="505">
        <v>9000</v>
      </c>
      <c r="F179" s="512">
        <f t="shared" si="5"/>
        <v>27000</v>
      </c>
    </row>
    <row r="180" spans="1:6">
      <c r="A180" s="497">
        <v>176</v>
      </c>
      <c r="B180" s="497" t="s">
        <v>817</v>
      </c>
      <c r="C180" s="497" t="s">
        <v>765</v>
      </c>
      <c r="D180" s="497">
        <v>4</v>
      </c>
      <c r="E180" s="505">
        <v>54050</v>
      </c>
      <c r="F180" s="512">
        <f t="shared" si="5"/>
        <v>216200</v>
      </c>
    </row>
    <row r="181" spans="1:6">
      <c r="A181" s="497">
        <v>177</v>
      </c>
      <c r="B181" s="497" t="s">
        <v>889</v>
      </c>
      <c r="C181" s="497" t="s">
        <v>765</v>
      </c>
      <c r="D181" s="497">
        <v>1</v>
      </c>
      <c r="E181" s="505">
        <v>88400</v>
      </c>
      <c r="F181" s="512">
        <f t="shared" si="5"/>
        <v>88400</v>
      </c>
    </row>
    <row r="182" spans="1:6">
      <c r="A182" s="497">
        <v>178</v>
      </c>
      <c r="B182" s="497" t="s">
        <v>890</v>
      </c>
      <c r="C182" s="497" t="s">
        <v>765</v>
      </c>
      <c r="D182" s="497">
        <v>1</v>
      </c>
      <c r="E182" s="505">
        <v>56252</v>
      </c>
      <c r="F182" s="512">
        <f t="shared" si="5"/>
        <v>56252</v>
      </c>
    </row>
    <row r="183" spans="1:6">
      <c r="A183" s="497">
        <v>179</v>
      </c>
      <c r="B183" s="497" t="s">
        <v>817</v>
      </c>
      <c r="C183" s="497" t="s">
        <v>765</v>
      </c>
      <c r="D183" s="497">
        <v>4</v>
      </c>
      <c r="E183" s="505">
        <v>53266.75</v>
      </c>
      <c r="F183" s="512">
        <f t="shared" si="5"/>
        <v>213067</v>
      </c>
    </row>
    <row r="184" spans="1:6">
      <c r="A184" s="497">
        <v>180</v>
      </c>
      <c r="B184" s="497" t="s">
        <v>891</v>
      </c>
      <c r="C184" s="497" t="s">
        <v>765</v>
      </c>
      <c r="D184" s="497">
        <v>6</v>
      </c>
      <c r="E184" s="505">
        <v>124780</v>
      </c>
      <c r="F184" s="512">
        <f t="shared" si="5"/>
        <v>748680</v>
      </c>
    </row>
    <row r="185" spans="1:6">
      <c r="A185" s="497">
        <v>181</v>
      </c>
      <c r="B185" s="497" t="s">
        <v>888</v>
      </c>
      <c r="C185" s="497" t="s">
        <v>765</v>
      </c>
      <c r="D185" s="497">
        <v>6</v>
      </c>
      <c r="E185" s="505">
        <v>6188</v>
      </c>
      <c r="F185" s="512">
        <f t="shared" si="5"/>
        <v>37128</v>
      </c>
    </row>
    <row r="186" spans="1:6" ht="11.25" customHeight="1">
      <c r="A186" s="497">
        <v>182</v>
      </c>
      <c r="B186" s="497" t="s">
        <v>892</v>
      </c>
      <c r="C186" s="497" t="s">
        <v>765</v>
      </c>
      <c r="D186" s="497">
        <v>1</v>
      </c>
      <c r="E186" s="505">
        <v>20000</v>
      </c>
      <c r="F186" s="512">
        <f t="shared" si="5"/>
        <v>20000</v>
      </c>
    </row>
    <row r="187" spans="1:6">
      <c r="A187" s="497">
        <v>183</v>
      </c>
      <c r="B187" s="497" t="s">
        <v>879</v>
      </c>
      <c r="C187" s="497" t="s">
        <v>765</v>
      </c>
      <c r="D187" s="497">
        <v>1</v>
      </c>
      <c r="E187" s="505">
        <v>650000</v>
      </c>
      <c r="F187" s="512">
        <f t="shared" si="5"/>
        <v>650000</v>
      </c>
    </row>
    <row r="188" spans="1:6">
      <c r="A188" s="497">
        <v>184</v>
      </c>
      <c r="B188" s="497" t="s">
        <v>767</v>
      </c>
      <c r="C188" s="497" t="s">
        <v>765</v>
      </c>
      <c r="D188" s="497">
        <v>4</v>
      </c>
      <c r="E188" s="505">
        <v>41300</v>
      </c>
      <c r="F188" s="512">
        <f t="shared" si="5"/>
        <v>165200</v>
      </c>
    </row>
    <row r="189" spans="1:6">
      <c r="A189" s="497">
        <v>185</v>
      </c>
      <c r="B189" s="497" t="s">
        <v>769</v>
      </c>
      <c r="C189" s="497" t="s">
        <v>765</v>
      </c>
      <c r="D189" s="497">
        <v>6</v>
      </c>
      <c r="E189" s="505">
        <v>10700</v>
      </c>
      <c r="F189" s="512">
        <f>SUM(D189*E189)</f>
        <v>64200</v>
      </c>
    </row>
    <row r="190" spans="1:6">
      <c r="A190" s="497">
        <v>186</v>
      </c>
      <c r="B190" s="497" t="s">
        <v>768</v>
      </c>
      <c r="C190" s="497" t="s">
        <v>765</v>
      </c>
      <c r="D190" s="497">
        <v>1</v>
      </c>
      <c r="E190" s="505">
        <v>12200</v>
      </c>
      <c r="F190" s="512">
        <f>SUM(D190*E190)</f>
        <v>12200</v>
      </c>
    </row>
    <row r="191" spans="1:6">
      <c r="A191" s="497">
        <v>187</v>
      </c>
      <c r="B191" s="497" t="s">
        <v>893</v>
      </c>
      <c r="C191" s="497" t="s">
        <v>765</v>
      </c>
      <c r="D191" s="497">
        <v>1</v>
      </c>
      <c r="E191" s="505">
        <v>18200</v>
      </c>
      <c r="F191" s="512">
        <f>SUM(D191*E191)</f>
        <v>18200</v>
      </c>
    </row>
    <row r="192" spans="1:6">
      <c r="A192" s="497">
        <v>188</v>
      </c>
      <c r="B192" s="497" t="s">
        <v>894</v>
      </c>
      <c r="C192" s="497" t="s">
        <v>765</v>
      </c>
      <c r="D192" s="497">
        <v>1</v>
      </c>
      <c r="E192" s="505">
        <v>4200</v>
      </c>
      <c r="F192" s="512">
        <f>SUM(D192*E192)</f>
        <v>4200</v>
      </c>
    </row>
    <row r="193" spans="1:6">
      <c r="A193" s="497">
        <v>189</v>
      </c>
      <c r="B193" s="497" t="s">
        <v>879</v>
      </c>
      <c r="C193" s="497" t="s">
        <v>765</v>
      </c>
      <c r="D193" s="497">
        <v>1</v>
      </c>
      <c r="E193" s="505">
        <v>990000</v>
      </c>
      <c r="F193" s="512">
        <f t="shared" ref="F193:F219" si="6">SUM(D193*E193)</f>
        <v>990000</v>
      </c>
    </row>
    <row r="194" spans="1:6">
      <c r="A194" s="497">
        <v>190</v>
      </c>
      <c r="B194" s="497" t="s">
        <v>767</v>
      </c>
      <c r="C194" s="497" t="s">
        <v>765</v>
      </c>
      <c r="D194" s="497">
        <v>13</v>
      </c>
      <c r="E194" s="505">
        <v>59500</v>
      </c>
      <c r="F194" s="512">
        <f t="shared" si="6"/>
        <v>773500</v>
      </c>
    </row>
    <row r="195" spans="1:6">
      <c r="A195" s="497">
        <v>191</v>
      </c>
      <c r="B195" s="497" t="s">
        <v>767</v>
      </c>
      <c r="C195" s="497" t="s">
        <v>765</v>
      </c>
      <c r="D195" s="497">
        <v>13</v>
      </c>
      <c r="E195" s="505">
        <v>52000</v>
      </c>
      <c r="F195" s="512">
        <f t="shared" si="6"/>
        <v>676000</v>
      </c>
    </row>
    <row r="196" spans="1:6">
      <c r="A196" s="497">
        <v>192</v>
      </c>
      <c r="B196" s="497" t="s">
        <v>768</v>
      </c>
      <c r="C196" s="497" t="s">
        <v>765</v>
      </c>
      <c r="D196" s="497">
        <v>13</v>
      </c>
      <c r="E196" s="505">
        <v>13575</v>
      </c>
      <c r="F196" s="512">
        <f t="shared" si="6"/>
        <v>176475</v>
      </c>
    </row>
    <row r="197" spans="1:6">
      <c r="A197" s="497">
        <v>193</v>
      </c>
      <c r="B197" s="497" t="s">
        <v>770</v>
      </c>
      <c r="C197" s="497" t="s">
        <v>765</v>
      </c>
      <c r="D197" s="497">
        <v>2</v>
      </c>
      <c r="E197" s="505">
        <v>99000</v>
      </c>
      <c r="F197" s="512">
        <f t="shared" si="6"/>
        <v>198000</v>
      </c>
    </row>
    <row r="198" spans="1:6">
      <c r="A198" s="497">
        <v>194</v>
      </c>
      <c r="B198" s="497" t="s">
        <v>895</v>
      </c>
      <c r="C198" s="497" t="s">
        <v>765</v>
      </c>
      <c r="D198" s="497">
        <v>6</v>
      </c>
      <c r="E198" s="505">
        <v>17500</v>
      </c>
      <c r="F198" s="512">
        <f t="shared" si="6"/>
        <v>105000</v>
      </c>
    </row>
    <row r="199" spans="1:6">
      <c r="A199" s="497">
        <v>195</v>
      </c>
      <c r="B199" s="497" t="s">
        <v>769</v>
      </c>
      <c r="C199" s="497" t="s">
        <v>765</v>
      </c>
      <c r="D199" s="497">
        <v>3</v>
      </c>
      <c r="E199" s="505">
        <v>10900</v>
      </c>
      <c r="F199" s="512">
        <f t="shared" si="6"/>
        <v>32700</v>
      </c>
    </row>
    <row r="200" spans="1:6">
      <c r="A200" s="497">
        <v>196</v>
      </c>
      <c r="B200" s="497" t="s">
        <v>783</v>
      </c>
      <c r="C200" s="497" t="s">
        <v>765</v>
      </c>
      <c r="D200" s="497">
        <v>2</v>
      </c>
      <c r="E200" s="505">
        <v>4250</v>
      </c>
      <c r="F200" s="512">
        <f t="shared" si="6"/>
        <v>8500</v>
      </c>
    </row>
    <row r="201" spans="1:6">
      <c r="A201" s="497">
        <v>197</v>
      </c>
      <c r="B201" s="497" t="s">
        <v>766</v>
      </c>
      <c r="C201" s="497" t="s">
        <v>765</v>
      </c>
      <c r="D201" s="497">
        <v>2</v>
      </c>
      <c r="E201" s="505">
        <v>213000</v>
      </c>
      <c r="F201" s="512">
        <f t="shared" si="6"/>
        <v>426000</v>
      </c>
    </row>
    <row r="202" spans="1:6">
      <c r="A202" s="497">
        <v>198</v>
      </c>
      <c r="B202" s="497" t="s">
        <v>896</v>
      </c>
      <c r="C202" s="497" t="s">
        <v>765</v>
      </c>
      <c r="D202" s="497">
        <v>6</v>
      </c>
      <c r="E202" s="505">
        <v>18200</v>
      </c>
      <c r="F202" s="512">
        <f t="shared" si="6"/>
        <v>109200</v>
      </c>
    </row>
    <row r="203" spans="1:6">
      <c r="A203" s="497">
        <v>199</v>
      </c>
      <c r="B203" s="497" t="s">
        <v>776</v>
      </c>
      <c r="C203" s="497" t="s">
        <v>765</v>
      </c>
      <c r="D203" s="497">
        <v>1</v>
      </c>
      <c r="E203" s="505">
        <v>42500</v>
      </c>
      <c r="F203" s="512">
        <f t="shared" si="6"/>
        <v>42500</v>
      </c>
    </row>
    <row r="204" spans="1:6">
      <c r="A204" s="497">
        <v>200</v>
      </c>
      <c r="B204" s="497" t="s">
        <v>881</v>
      </c>
      <c r="C204" s="497" t="s">
        <v>765</v>
      </c>
      <c r="D204" s="497">
        <v>1</v>
      </c>
      <c r="E204" s="505">
        <v>3700</v>
      </c>
      <c r="F204" s="512">
        <f t="shared" si="6"/>
        <v>3700</v>
      </c>
    </row>
    <row r="205" spans="1:6">
      <c r="A205" s="497">
        <v>201</v>
      </c>
      <c r="B205" s="497" t="s">
        <v>881</v>
      </c>
      <c r="C205" s="497" t="s">
        <v>765</v>
      </c>
      <c r="D205" s="497">
        <v>1</v>
      </c>
      <c r="E205" s="505">
        <v>2973</v>
      </c>
      <c r="F205" s="512">
        <f>SUM(D205*E205)</f>
        <v>2973</v>
      </c>
    </row>
    <row r="206" spans="1:6">
      <c r="A206" s="497">
        <v>202</v>
      </c>
      <c r="B206" s="497" t="s">
        <v>839</v>
      </c>
      <c r="C206" s="497" t="s">
        <v>765</v>
      </c>
      <c r="D206" s="497">
        <v>2</v>
      </c>
      <c r="E206" s="505">
        <v>182000</v>
      </c>
      <c r="F206" s="512">
        <f t="shared" si="6"/>
        <v>364000</v>
      </c>
    </row>
    <row r="207" spans="1:6">
      <c r="A207" s="497">
        <v>203</v>
      </c>
      <c r="B207" s="497" t="s">
        <v>840</v>
      </c>
      <c r="C207" s="497" t="s">
        <v>765</v>
      </c>
      <c r="D207" s="497">
        <v>3</v>
      </c>
      <c r="E207" s="505">
        <v>175000</v>
      </c>
      <c r="F207" s="512">
        <f t="shared" si="6"/>
        <v>525000</v>
      </c>
    </row>
    <row r="208" spans="1:6">
      <c r="A208" s="497">
        <v>204</v>
      </c>
      <c r="B208" s="497" t="s">
        <v>897</v>
      </c>
      <c r="C208" s="497" t="s">
        <v>765</v>
      </c>
      <c r="D208" s="497">
        <v>1</v>
      </c>
      <c r="E208" s="505">
        <v>8500</v>
      </c>
      <c r="F208" s="512">
        <f t="shared" si="6"/>
        <v>8500</v>
      </c>
    </row>
    <row r="209" spans="1:16">
      <c r="A209" s="497">
        <v>205</v>
      </c>
      <c r="B209" s="497" t="s">
        <v>898</v>
      </c>
      <c r="C209" s="497" t="s">
        <v>765</v>
      </c>
      <c r="D209" s="497">
        <v>1</v>
      </c>
      <c r="E209" s="505">
        <v>24500</v>
      </c>
      <c r="F209" s="512">
        <f t="shared" si="6"/>
        <v>24500</v>
      </c>
    </row>
    <row r="210" spans="1:16">
      <c r="A210" s="497">
        <v>206</v>
      </c>
      <c r="B210" s="497" t="s">
        <v>785</v>
      </c>
      <c r="C210" s="497" t="s">
        <v>765</v>
      </c>
      <c r="D210" s="497">
        <v>2</v>
      </c>
      <c r="E210" s="505">
        <v>4200</v>
      </c>
      <c r="F210" s="512">
        <f t="shared" si="6"/>
        <v>8400</v>
      </c>
    </row>
    <row r="211" spans="1:16">
      <c r="A211" s="497">
        <v>207</v>
      </c>
      <c r="B211" s="497" t="s">
        <v>899</v>
      </c>
      <c r="C211" s="497" t="s">
        <v>765</v>
      </c>
      <c r="D211" s="497">
        <v>1</v>
      </c>
      <c r="E211" s="505">
        <v>93333</v>
      </c>
      <c r="F211" s="512">
        <f t="shared" si="6"/>
        <v>93333</v>
      </c>
    </row>
    <row r="212" spans="1:16">
      <c r="A212" s="497">
        <v>208</v>
      </c>
      <c r="B212" s="497" t="s">
        <v>900</v>
      </c>
      <c r="C212" s="497" t="s">
        <v>765</v>
      </c>
      <c r="D212" s="497">
        <v>1</v>
      </c>
      <c r="E212" s="505">
        <v>54763</v>
      </c>
      <c r="F212" s="512">
        <f t="shared" si="6"/>
        <v>54763</v>
      </c>
    </row>
    <row r="213" spans="1:16">
      <c r="A213" s="497">
        <v>209</v>
      </c>
      <c r="B213" s="497" t="s">
        <v>901</v>
      </c>
      <c r="C213" s="497" t="s">
        <v>765</v>
      </c>
      <c r="D213" s="497">
        <v>4</v>
      </c>
      <c r="E213" s="505">
        <v>6736</v>
      </c>
      <c r="F213" s="512">
        <f t="shared" si="6"/>
        <v>26944</v>
      </c>
    </row>
    <row r="214" spans="1:16">
      <c r="A214" s="497">
        <v>210</v>
      </c>
      <c r="B214" s="497" t="s">
        <v>902</v>
      </c>
      <c r="C214" s="497" t="s">
        <v>765</v>
      </c>
      <c r="D214" s="497">
        <v>4</v>
      </c>
      <c r="E214" s="505">
        <v>57866.75</v>
      </c>
      <c r="F214" s="512">
        <f t="shared" si="6"/>
        <v>231467</v>
      </c>
    </row>
    <row r="215" spans="1:16">
      <c r="A215" s="497">
        <v>211</v>
      </c>
      <c r="B215" s="497" t="s">
        <v>903</v>
      </c>
      <c r="C215" s="497" t="s">
        <v>765</v>
      </c>
      <c r="D215" s="497">
        <v>1</v>
      </c>
      <c r="E215" s="505">
        <v>2500</v>
      </c>
      <c r="F215" s="512">
        <f t="shared" si="6"/>
        <v>2500</v>
      </c>
    </row>
    <row r="216" spans="1:16">
      <c r="A216" s="497">
        <v>212</v>
      </c>
      <c r="B216" s="497" t="s">
        <v>904</v>
      </c>
      <c r="C216" s="497" t="s">
        <v>765</v>
      </c>
      <c r="D216" s="497">
        <v>12</v>
      </c>
      <c r="E216" s="514">
        <v>30000</v>
      </c>
      <c r="F216" s="512">
        <f>SUM(D216*E216)</f>
        <v>360000</v>
      </c>
    </row>
    <row r="217" spans="1:16">
      <c r="A217" s="497">
        <v>213</v>
      </c>
      <c r="B217" s="497" t="s">
        <v>905</v>
      </c>
      <c r="C217" s="497" t="s">
        <v>765</v>
      </c>
      <c r="D217" s="497">
        <v>12</v>
      </c>
      <c r="E217" s="514">
        <v>100000</v>
      </c>
      <c r="F217" s="512">
        <f>SUM(D217*E217)</f>
        <v>1200000</v>
      </c>
    </row>
    <row r="218" spans="1:16">
      <c r="A218" s="497">
        <v>214</v>
      </c>
      <c r="B218" s="497" t="s">
        <v>622</v>
      </c>
      <c r="C218" s="497" t="s">
        <v>765</v>
      </c>
      <c r="D218" s="497">
        <v>1</v>
      </c>
      <c r="E218" s="505">
        <v>870000</v>
      </c>
      <c r="F218" s="512">
        <f t="shared" si="6"/>
        <v>870000</v>
      </c>
      <c r="G218" s="515"/>
    </row>
    <row r="219" spans="1:16">
      <c r="A219" s="497">
        <v>215</v>
      </c>
      <c r="B219" s="497" t="s">
        <v>906</v>
      </c>
      <c r="C219" s="497" t="s">
        <v>765</v>
      </c>
      <c r="D219" s="497">
        <v>3</v>
      </c>
      <c r="E219" s="505">
        <v>955000</v>
      </c>
      <c r="F219" s="512">
        <f t="shared" si="6"/>
        <v>2865000</v>
      </c>
      <c r="G219" s="515"/>
    </row>
    <row r="220" spans="1:16">
      <c r="A220" s="497">
        <v>216</v>
      </c>
      <c r="B220" s="497" t="s">
        <v>906</v>
      </c>
      <c r="C220" s="497" t="s">
        <v>765</v>
      </c>
      <c r="D220" s="497">
        <v>1</v>
      </c>
      <c r="E220" s="505">
        <v>1150000</v>
      </c>
      <c r="F220" s="512">
        <v>1150000</v>
      </c>
      <c r="G220" s="515"/>
    </row>
    <row r="221" spans="1:16">
      <c r="A221" s="497">
        <v>217</v>
      </c>
      <c r="B221" s="509" t="s">
        <v>907</v>
      </c>
      <c r="C221" s="509" t="s">
        <v>765</v>
      </c>
      <c r="D221" s="509">
        <v>1</v>
      </c>
      <c r="E221" s="510">
        <v>86875</v>
      </c>
      <c r="F221" s="512">
        <f>SUM(D221*E221)</f>
        <v>86875</v>
      </c>
      <c r="K221" s="516"/>
      <c r="L221" s="24"/>
      <c r="M221" s="24"/>
      <c r="N221" s="24"/>
      <c r="O221" s="24"/>
      <c r="P221" s="24"/>
    </row>
    <row r="222" spans="1:16">
      <c r="A222" s="497">
        <v>218</v>
      </c>
      <c r="B222" s="497" t="s">
        <v>908</v>
      </c>
      <c r="C222" s="497" t="s">
        <v>765</v>
      </c>
      <c r="D222" s="497">
        <v>4</v>
      </c>
      <c r="E222" s="505">
        <v>46570.5</v>
      </c>
      <c r="F222" s="512">
        <f>+D222*E222</f>
        <v>186282</v>
      </c>
      <c r="K222" s="24"/>
      <c r="L222" s="24"/>
      <c r="M222" s="24"/>
      <c r="N222" s="24"/>
      <c r="O222" s="24"/>
      <c r="P222" s="24"/>
    </row>
    <row r="223" spans="1:16">
      <c r="A223" s="497">
        <v>219</v>
      </c>
      <c r="B223" s="497" t="s">
        <v>909</v>
      </c>
      <c r="C223" s="497" t="s">
        <v>765</v>
      </c>
      <c r="D223" s="497">
        <v>1</v>
      </c>
      <c r="E223" s="505">
        <v>40250</v>
      </c>
      <c r="F223" s="512">
        <f>+D223*E223</f>
        <v>40250</v>
      </c>
      <c r="K223" s="24"/>
      <c r="L223" s="24"/>
      <c r="M223" s="24"/>
      <c r="N223" s="24"/>
      <c r="O223" s="517"/>
      <c r="P223" s="517"/>
    </row>
    <row r="224" spans="1:16">
      <c r="A224" s="497">
        <v>220</v>
      </c>
      <c r="B224" s="497" t="s">
        <v>909</v>
      </c>
      <c r="C224" s="497" t="s">
        <v>765</v>
      </c>
      <c r="D224" s="497">
        <v>1</v>
      </c>
      <c r="E224" s="505">
        <v>128750</v>
      </c>
      <c r="F224" s="512">
        <f t="shared" ref="F224:F233" si="7">+D224*E224</f>
        <v>128750</v>
      </c>
      <c r="K224" s="24"/>
      <c r="L224" s="24"/>
      <c r="M224" s="24"/>
      <c r="N224" s="24"/>
      <c r="O224" s="517"/>
      <c r="P224" s="517"/>
    </row>
    <row r="225" spans="1:16">
      <c r="A225" s="497">
        <v>221</v>
      </c>
      <c r="B225" s="497" t="s">
        <v>817</v>
      </c>
      <c r="C225" s="497" t="s">
        <v>765</v>
      </c>
      <c r="D225" s="497">
        <v>3</v>
      </c>
      <c r="E225" s="505">
        <v>33250</v>
      </c>
      <c r="F225" s="512">
        <f t="shared" si="7"/>
        <v>99750</v>
      </c>
      <c r="K225" s="24"/>
      <c r="L225" s="24"/>
      <c r="M225" s="24"/>
      <c r="N225" s="24"/>
      <c r="O225" s="517"/>
      <c r="P225" s="517"/>
    </row>
    <row r="226" spans="1:16">
      <c r="A226" s="497">
        <v>222</v>
      </c>
      <c r="B226" s="497" t="s">
        <v>909</v>
      </c>
      <c r="C226" s="497" t="s">
        <v>765</v>
      </c>
      <c r="D226" s="497">
        <v>7</v>
      </c>
      <c r="E226" s="505">
        <v>27726</v>
      </c>
      <c r="F226" s="512">
        <v>194083</v>
      </c>
      <c r="K226" s="24"/>
      <c r="L226" s="24"/>
      <c r="M226" s="24"/>
      <c r="N226" s="24"/>
      <c r="O226" s="517"/>
      <c r="P226" s="517"/>
    </row>
    <row r="227" spans="1:16">
      <c r="A227" s="497">
        <v>223</v>
      </c>
      <c r="B227" s="497" t="s">
        <v>817</v>
      </c>
      <c r="C227" s="497" t="s">
        <v>765</v>
      </c>
      <c r="D227" s="497">
        <v>2</v>
      </c>
      <c r="E227" s="505">
        <v>49083</v>
      </c>
      <c r="F227" s="512">
        <v>98167</v>
      </c>
      <c r="K227" s="24"/>
      <c r="L227" s="24"/>
      <c r="M227" s="24"/>
      <c r="N227" s="24"/>
      <c r="O227" s="517"/>
      <c r="P227" s="517"/>
    </row>
    <row r="228" spans="1:16">
      <c r="A228" s="497">
        <v>224</v>
      </c>
      <c r="B228" s="497" t="s">
        <v>909</v>
      </c>
      <c r="C228" s="497" t="s">
        <v>765</v>
      </c>
      <c r="D228" s="497">
        <v>2</v>
      </c>
      <c r="E228" s="505">
        <v>28625</v>
      </c>
      <c r="F228" s="512">
        <f t="shared" si="7"/>
        <v>57250</v>
      </c>
      <c r="K228" s="24"/>
      <c r="L228" s="24"/>
      <c r="M228" s="24"/>
      <c r="N228" s="24"/>
      <c r="O228" s="517"/>
      <c r="P228" s="517"/>
    </row>
    <row r="229" spans="1:16">
      <c r="A229" s="497">
        <v>225</v>
      </c>
      <c r="B229" s="497" t="s">
        <v>909</v>
      </c>
      <c r="C229" s="497" t="s">
        <v>765</v>
      </c>
      <c r="D229" s="497">
        <v>5</v>
      </c>
      <c r="E229" s="505">
        <v>34033</v>
      </c>
      <c r="F229" s="512">
        <v>170167</v>
      </c>
      <c r="K229" s="24"/>
      <c r="L229" s="24"/>
      <c r="M229" s="24"/>
      <c r="N229" s="24"/>
      <c r="O229" s="517"/>
      <c r="P229" s="517"/>
    </row>
    <row r="230" spans="1:16">
      <c r="A230" s="497">
        <v>226</v>
      </c>
      <c r="B230" s="497" t="s">
        <v>910</v>
      </c>
      <c r="C230" s="497" t="s">
        <v>765</v>
      </c>
      <c r="D230" s="497">
        <v>2</v>
      </c>
      <c r="E230" s="505">
        <v>104583</v>
      </c>
      <c r="F230" s="512">
        <v>209167</v>
      </c>
      <c r="K230" s="24"/>
      <c r="L230" s="24"/>
      <c r="M230" s="24"/>
      <c r="N230" s="24"/>
      <c r="O230" s="517"/>
      <c r="P230" s="517"/>
    </row>
    <row r="231" spans="1:16">
      <c r="A231" s="497">
        <v>227</v>
      </c>
      <c r="B231" s="497" t="s">
        <v>909</v>
      </c>
      <c r="C231" s="497" t="s">
        <v>765</v>
      </c>
      <c r="D231" s="497">
        <v>1</v>
      </c>
      <c r="E231" s="505">
        <v>124167</v>
      </c>
      <c r="F231" s="512">
        <f t="shared" si="7"/>
        <v>124167</v>
      </c>
      <c r="K231" s="24"/>
      <c r="L231" s="24"/>
      <c r="M231" s="24"/>
      <c r="N231" s="24"/>
      <c r="O231" s="517"/>
      <c r="P231" s="517"/>
    </row>
    <row r="232" spans="1:16">
      <c r="A232" s="497">
        <v>228</v>
      </c>
      <c r="B232" s="497" t="s">
        <v>817</v>
      </c>
      <c r="C232" s="497" t="s">
        <v>765</v>
      </c>
      <c r="D232" s="497">
        <v>4</v>
      </c>
      <c r="E232" s="505">
        <v>36458.5</v>
      </c>
      <c r="F232" s="512">
        <f t="shared" si="7"/>
        <v>145834</v>
      </c>
      <c r="K232" s="24"/>
      <c r="L232" s="24"/>
      <c r="M232" s="24"/>
      <c r="N232" s="24"/>
      <c r="O232" s="517"/>
      <c r="P232" s="517"/>
    </row>
    <row r="233" spans="1:16">
      <c r="A233" s="497">
        <v>229</v>
      </c>
      <c r="B233" s="497" t="s">
        <v>909</v>
      </c>
      <c r="C233" s="497" t="s">
        <v>765</v>
      </c>
      <c r="D233" s="497">
        <v>1</v>
      </c>
      <c r="E233" s="505">
        <v>103333</v>
      </c>
      <c r="F233" s="512">
        <f t="shared" si="7"/>
        <v>103333</v>
      </c>
      <c r="K233" s="24"/>
      <c r="L233" s="24"/>
      <c r="M233" s="24"/>
      <c r="N233" s="24"/>
      <c r="O233" s="517"/>
      <c r="P233" s="517"/>
    </row>
    <row r="234" spans="1:16">
      <c r="A234" s="497">
        <v>230</v>
      </c>
      <c r="B234" s="509" t="s">
        <v>911</v>
      </c>
      <c r="C234" s="509" t="s">
        <v>765</v>
      </c>
      <c r="D234" s="509">
        <v>1</v>
      </c>
      <c r="E234" s="510">
        <v>81083</v>
      </c>
      <c r="F234" s="512">
        <f>SUM(D234*E234)</f>
        <v>81083</v>
      </c>
    </row>
    <row r="235" spans="1:16">
      <c r="A235" s="497">
        <v>231</v>
      </c>
      <c r="B235" s="497" t="s">
        <v>912</v>
      </c>
      <c r="C235" s="497" t="s">
        <v>765</v>
      </c>
      <c r="D235" s="497">
        <v>1</v>
      </c>
      <c r="E235" s="505">
        <v>1855400</v>
      </c>
      <c r="F235" s="512">
        <f>+D235*E235</f>
        <v>1855400</v>
      </c>
    </row>
    <row r="236" spans="1:16">
      <c r="A236" s="497">
        <v>232</v>
      </c>
      <c r="B236" s="497" t="s">
        <v>913</v>
      </c>
      <c r="C236" s="497" t="s">
        <v>765</v>
      </c>
      <c r="D236" s="497">
        <v>1</v>
      </c>
      <c r="E236" s="505">
        <v>229417</v>
      </c>
      <c r="F236" s="512">
        <f t="shared" ref="F236:F243" si="8">+D236*E236</f>
        <v>229417</v>
      </c>
    </row>
    <row r="237" spans="1:16">
      <c r="A237" s="497">
        <v>233</v>
      </c>
      <c r="B237" s="497" t="s">
        <v>911</v>
      </c>
      <c r="C237" s="497" t="s">
        <v>765</v>
      </c>
      <c r="D237" s="497">
        <v>1</v>
      </c>
      <c r="E237" s="505">
        <v>137750</v>
      </c>
      <c r="F237" s="512">
        <f t="shared" si="8"/>
        <v>137750</v>
      </c>
    </row>
    <row r="238" spans="1:16">
      <c r="A238" s="497">
        <v>234</v>
      </c>
      <c r="B238" s="497" t="s">
        <v>914</v>
      </c>
      <c r="C238" s="497" t="s">
        <v>765</v>
      </c>
      <c r="D238" s="497">
        <v>1</v>
      </c>
      <c r="E238" s="505">
        <v>1424349.5</v>
      </c>
      <c r="F238" s="512">
        <f t="shared" si="8"/>
        <v>1424349.5</v>
      </c>
    </row>
    <row r="239" spans="1:16">
      <c r="A239" s="497">
        <v>235</v>
      </c>
      <c r="B239" s="497" t="s">
        <v>911</v>
      </c>
      <c r="C239" s="497" t="s">
        <v>765</v>
      </c>
      <c r="D239" s="497">
        <v>1</v>
      </c>
      <c r="E239" s="505">
        <v>145833</v>
      </c>
      <c r="F239" s="512">
        <f t="shared" si="8"/>
        <v>145833</v>
      </c>
    </row>
    <row r="240" spans="1:16">
      <c r="A240" s="497">
        <v>236</v>
      </c>
      <c r="B240" s="497" t="s">
        <v>911</v>
      </c>
      <c r="C240" s="497" t="s">
        <v>765</v>
      </c>
      <c r="D240" s="497">
        <v>1</v>
      </c>
      <c r="E240" s="505">
        <v>122500</v>
      </c>
      <c r="F240" s="512">
        <f t="shared" si="8"/>
        <v>122500</v>
      </c>
    </row>
    <row r="241" spans="1:6">
      <c r="A241" s="497">
        <v>237</v>
      </c>
      <c r="B241" s="497" t="s">
        <v>881</v>
      </c>
      <c r="C241" s="497" t="s">
        <v>765</v>
      </c>
      <c r="D241" s="497">
        <v>1</v>
      </c>
      <c r="E241" s="505">
        <v>69167</v>
      </c>
      <c r="F241" s="512">
        <f t="shared" si="8"/>
        <v>69167</v>
      </c>
    </row>
    <row r="242" spans="1:6">
      <c r="A242" s="497">
        <v>238</v>
      </c>
      <c r="B242" s="497" t="s">
        <v>881</v>
      </c>
      <c r="C242" s="497" t="s">
        <v>765</v>
      </c>
      <c r="D242" s="497">
        <v>1</v>
      </c>
      <c r="E242" s="505">
        <v>16630</v>
      </c>
      <c r="F242" s="512">
        <f t="shared" si="8"/>
        <v>16630</v>
      </c>
    </row>
    <row r="243" spans="1:6">
      <c r="A243" s="497">
        <v>239</v>
      </c>
      <c r="B243" s="497" t="s">
        <v>881</v>
      </c>
      <c r="C243" s="497" t="s">
        <v>765</v>
      </c>
      <c r="D243" s="497">
        <v>1</v>
      </c>
      <c r="E243" s="505">
        <v>19583</v>
      </c>
      <c r="F243" s="512">
        <f t="shared" si="8"/>
        <v>19583</v>
      </c>
    </row>
    <row r="244" spans="1:6">
      <c r="A244" s="497">
        <v>240</v>
      </c>
      <c r="B244" s="509" t="s">
        <v>915</v>
      </c>
      <c r="C244" s="509" t="s">
        <v>765</v>
      </c>
      <c r="D244" s="509">
        <v>2</v>
      </c>
      <c r="E244" s="510">
        <v>8333.3333000000002</v>
      </c>
      <c r="F244" s="512">
        <f>SUM(D244*E244)</f>
        <v>16666.6666</v>
      </c>
    </row>
    <row r="245" spans="1:6">
      <c r="A245" s="497">
        <v>241</v>
      </c>
      <c r="B245" s="497" t="s">
        <v>915</v>
      </c>
      <c r="C245" s="497" t="s">
        <v>765</v>
      </c>
      <c r="D245" s="497">
        <v>1</v>
      </c>
      <c r="E245" s="505">
        <v>12500</v>
      </c>
      <c r="F245" s="512">
        <f>+D245*E245</f>
        <v>12500</v>
      </c>
    </row>
    <row r="246" spans="1:6">
      <c r="A246" s="497">
        <v>242</v>
      </c>
      <c r="B246" s="497" t="s">
        <v>915</v>
      </c>
      <c r="C246" s="497" t="s">
        <v>765</v>
      </c>
      <c r="D246" s="497">
        <v>2</v>
      </c>
      <c r="E246" s="505">
        <v>8750</v>
      </c>
      <c r="F246" s="512">
        <f t="shared" ref="F246:F283" si="9">+D246*E246</f>
        <v>17500</v>
      </c>
    </row>
    <row r="247" spans="1:6">
      <c r="A247" s="497">
        <v>243</v>
      </c>
      <c r="B247" s="497" t="s">
        <v>915</v>
      </c>
      <c r="C247" s="497" t="s">
        <v>765</v>
      </c>
      <c r="D247" s="497">
        <v>1</v>
      </c>
      <c r="E247" s="505">
        <v>29167</v>
      </c>
      <c r="F247" s="512">
        <f t="shared" si="9"/>
        <v>29167</v>
      </c>
    </row>
    <row r="248" spans="1:6">
      <c r="A248" s="497">
        <v>244</v>
      </c>
      <c r="B248" s="497" t="s">
        <v>915</v>
      </c>
      <c r="C248" s="497" t="s">
        <v>765</v>
      </c>
      <c r="D248" s="497">
        <v>1</v>
      </c>
      <c r="E248" s="505">
        <v>65833</v>
      </c>
      <c r="F248" s="512">
        <f t="shared" si="9"/>
        <v>65833</v>
      </c>
    </row>
    <row r="249" spans="1:6">
      <c r="A249" s="497">
        <v>245</v>
      </c>
      <c r="B249" s="497" t="s">
        <v>788</v>
      </c>
      <c r="C249" s="497" t="s">
        <v>765</v>
      </c>
      <c r="D249" s="497">
        <v>1</v>
      </c>
      <c r="E249" s="505">
        <v>111200</v>
      </c>
      <c r="F249" s="512">
        <f t="shared" si="9"/>
        <v>111200</v>
      </c>
    </row>
    <row r="250" spans="1:6">
      <c r="A250" s="497">
        <v>246</v>
      </c>
      <c r="B250" s="497" t="s">
        <v>573</v>
      </c>
      <c r="C250" s="497" t="s">
        <v>765</v>
      </c>
      <c r="D250" s="497">
        <v>1</v>
      </c>
      <c r="E250" s="505">
        <v>67100</v>
      </c>
      <c r="F250" s="512">
        <f t="shared" si="9"/>
        <v>67100</v>
      </c>
    </row>
    <row r="251" spans="1:6">
      <c r="A251" s="497">
        <v>247</v>
      </c>
      <c r="B251" s="497" t="s">
        <v>573</v>
      </c>
      <c r="C251" s="497" t="s">
        <v>765</v>
      </c>
      <c r="D251" s="497">
        <v>2</v>
      </c>
      <c r="E251" s="505">
        <v>4200</v>
      </c>
      <c r="F251" s="512">
        <f t="shared" si="9"/>
        <v>8400</v>
      </c>
    </row>
    <row r="252" spans="1:6">
      <c r="A252" s="497">
        <v>248</v>
      </c>
      <c r="B252" s="497" t="s">
        <v>573</v>
      </c>
      <c r="C252" s="497" t="s">
        <v>765</v>
      </c>
      <c r="D252" s="497">
        <v>1</v>
      </c>
      <c r="E252" s="505">
        <v>45800</v>
      </c>
      <c r="F252" s="512">
        <f t="shared" si="9"/>
        <v>45800</v>
      </c>
    </row>
    <row r="253" spans="1:6">
      <c r="A253" s="497">
        <v>249</v>
      </c>
      <c r="B253" s="497" t="s">
        <v>915</v>
      </c>
      <c r="C253" s="497" t="s">
        <v>765</v>
      </c>
      <c r="D253" s="497">
        <v>2</v>
      </c>
      <c r="E253" s="505">
        <v>79167.67</v>
      </c>
      <c r="F253" s="512">
        <f t="shared" si="9"/>
        <v>158335.34</v>
      </c>
    </row>
    <row r="254" spans="1:6">
      <c r="A254" s="497">
        <v>250</v>
      </c>
      <c r="B254" s="497" t="s">
        <v>916</v>
      </c>
      <c r="C254" s="497" t="s">
        <v>765</v>
      </c>
      <c r="D254" s="497">
        <v>1</v>
      </c>
      <c r="E254" s="505">
        <v>48386</v>
      </c>
      <c r="F254" s="512">
        <f t="shared" si="9"/>
        <v>48386</v>
      </c>
    </row>
    <row r="255" spans="1:6">
      <c r="A255" s="497">
        <v>251</v>
      </c>
      <c r="B255" s="497" t="s">
        <v>915</v>
      </c>
      <c r="C255" s="497" t="s">
        <v>765</v>
      </c>
      <c r="D255" s="497">
        <v>1</v>
      </c>
      <c r="E255" s="505">
        <v>19583</v>
      </c>
      <c r="F255" s="512">
        <f t="shared" si="9"/>
        <v>19583</v>
      </c>
    </row>
    <row r="256" spans="1:6">
      <c r="A256" s="497">
        <v>252</v>
      </c>
      <c r="B256" s="497" t="s">
        <v>917</v>
      </c>
      <c r="C256" s="497" t="s">
        <v>765</v>
      </c>
      <c r="D256" s="497">
        <v>9</v>
      </c>
      <c r="E256" s="505">
        <f>125.93*141</f>
        <v>17756.13</v>
      </c>
      <c r="F256" s="512">
        <f t="shared" si="9"/>
        <v>159805.17000000001</v>
      </c>
    </row>
    <row r="257" spans="1:6">
      <c r="A257" s="497">
        <v>253</v>
      </c>
      <c r="B257" s="497" t="s">
        <v>918</v>
      </c>
      <c r="C257" s="497" t="s">
        <v>765</v>
      </c>
      <c r="D257" s="497">
        <v>9</v>
      </c>
      <c r="E257" s="505">
        <f>82.41*141</f>
        <v>11619.81</v>
      </c>
      <c r="F257" s="512">
        <f t="shared" si="9"/>
        <v>104578.29</v>
      </c>
    </row>
    <row r="258" spans="1:6">
      <c r="A258" s="497">
        <v>254</v>
      </c>
      <c r="B258" s="497" t="s">
        <v>834</v>
      </c>
      <c r="C258" s="497" t="s">
        <v>765</v>
      </c>
      <c r="D258" s="497">
        <v>6</v>
      </c>
      <c r="E258" s="505">
        <v>10416</v>
      </c>
      <c r="F258" s="512">
        <f t="shared" si="9"/>
        <v>62496</v>
      </c>
    </row>
    <row r="259" spans="1:6">
      <c r="A259" s="497">
        <v>255</v>
      </c>
      <c r="B259" s="497" t="s">
        <v>919</v>
      </c>
      <c r="C259" s="497" t="s">
        <v>765</v>
      </c>
      <c r="D259" s="497">
        <v>6</v>
      </c>
      <c r="E259" s="505">
        <v>7083</v>
      </c>
      <c r="F259" s="512">
        <f t="shared" si="9"/>
        <v>42498</v>
      </c>
    </row>
    <row r="260" spans="1:6">
      <c r="A260" s="497">
        <v>256</v>
      </c>
      <c r="B260" s="497" t="s">
        <v>920</v>
      </c>
      <c r="C260" s="497" t="s">
        <v>765</v>
      </c>
      <c r="D260" s="497">
        <v>2</v>
      </c>
      <c r="E260" s="505">
        <v>9583.33</v>
      </c>
      <c r="F260" s="512">
        <f t="shared" si="9"/>
        <v>19166.66</v>
      </c>
    </row>
    <row r="261" spans="1:6">
      <c r="A261" s="497">
        <v>257</v>
      </c>
      <c r="B261" s="497" t="s">
        <v>921</v>
      </c>
      <c r="C261" s="497" t="s">
        <v>765</v>
      </c>
      <c r="D261" s="497">
        <v>1</v>
      </c>
      <c r="E261" s="505">
        <v>20833</v>
      </c>
      <c r="F261" s="512">
        <f t="shared" si="9"/>
        <v>20833</v>
      </c>
    </row>
    <row r="262" spans="1:6">
      <c r="A262" s="497">
        <v>258</v>
      </c>
      <c r="B262" s="497" t="s">
        <v>922</v>
      </c>
      <c r="C262" s="497" t="s">
        <v>765</v>
      </c>
      <c r="D262" s="497">
        <v>10</v>
      </c>
      <c r="E262" s="505">
        <v>12500</v>
      </c>
      <c r="F262" s="512">
        <f t="shared" si="9"/>
        <v>125000</v>
      </c>
    </row>
    <row r="263" spans="1:6">
      <c r="A263" s="497">
        <v>259</v>
      </c>
      <c r="B263" s="497" t="s">
        <v>923</v>
      </c>
      <c r="C263" s="497" t="s">
        <v>765</v>
      </c>
      <c r="D263" s="497">
        <v>5</v>
      </c>
      <c r="E263" s="505">
        <v>1833</v>
      </c>
      <c r="F263" s="512">
        <f t="shared" si="9"/>
        <v>9165</v>
      </c>
    </row>
    <row r="264" spans="1:6">
      <c r="A264" s="497">
        <v>260</v>
      </c>
      <c r="B264" s="497" t="s">
        <v>909</v>
      </c>
      <c r="C264" s="497" t="s">
        <v>765</v>
      </c>
      <c r="D264" s="497">
        <v>1</v>
      </c>
      <c r="E264" s="505">
        <v>43500</v>
      </c>
      <c r="F264" s="512">
        <f t="shared" si="9"/>
        <v>43500</v>
      </c>
    </row>
    <row r="265" spans="1:6">
      <c r="A265" s="497">
        <v>261</v>
      </c>
      <c r="B265" s="497" t="s">
        <v>909</v>
      </c>
      <c r="C265" s="497" t="s">
        <v>765</v>
      </c>
      <c r="D265" s="497">
        <v>1</v>
      </c>
      <c r="E265" s="505">
        <v>44250</v>
      </c>
      <c r="F265" s="512">
        <f t="shared" si="9"/>
        <v>44250</v>
      </c>
    </row>
    <row r="266" spans="1:6">
      <c r="A266" s="497">
        <v>262</v>
      </c>
      <c r="B266" s="497" t="s">
        <v>909</v>
      </c>
      <c r="C266" s="497" t="s">
        <v>765</v>
      </c>
      <c r="D266" s="497">
        <v>5</v>
      </c>
      <c r="E266" s="505">
        <v>14000</v>
      </c>
      <c r="F266" s="512">
        <f t="shared" si="9"/>
        <v>70000</v>
      </c>
    </row>
    <row r="267" spans="1:6">
      <c r="A267" s="497">
        <v>263</v>
      </c>
      <c r="B267" s="497" t="s">
        <v>909</v>
      </c>
      <c r="C267" s="497" t="s">
        <v>765</v>
      </c>
      <c r="D267" s="497">
        <v>3</v>
      </c>
      <c r="E267" s="505">
        <v>20900</v>
      </c>
      <c r="F267" s="512">
        <f t="shared" si="9"/>
        <v>62700</v>
      </c>
    </row>
    <row r="268" spans="1:6">
      <c r="A268" s="497">
        <v>264</v>
      </c>
      <c r="B268" s="497" t="s">
        <v>924</v>
      </c>
      <c r="C268" s="497" t="s">
        <v>765</v>
      </c>
      <c r="D268" s="497">
        <v>1</v>
      </c>
      <c r="E268" s="505">
        <v>26700</v>
      </c>
      <c r="F268" s="512">
        <f t="shared" si="9"/>
        <v>26700</v>
      </c>
    </row>
    <row r="269" spans="1:6">
      <c r="A269" s="497">
        <v>265</v>
      </c>
      <c r="B269" s="497" t="s">
        <v>924</v>
      </c>
      <c r="C269" s="497" t="s">
        <v>765</v>
      </c>
      <c r="D269" s="497">
        <v>3</v>
      </c>
      <c r="E269" s="505">
        <v>32500</v>
      </c>
      <c r="F269" s="512">
        <f t="shared" si="9"/>
        <v>97500</v>
      </c>
    </row>
    <row r="270" spans="1:6">
      <c r="A270" s="497">
        <v>266</v>
      </c>
      <c r="B270" s="497" t="s">
        <v>924</v>
      </c>
      <c r="C270" s="497" t="s">
        <v>765</v>
      </c>
      <c r="D270" s="497">
        <v>3</v>
      </c>
      <c r="E270" s="505">
        <v>29900</v>
      </c>
      <c r="F270" s="512">
        <f t="shared" si="9"/>
        <v>89700</v>
      </c>
    </row>
    <row r="271" spans="1:6">
      <c r="A271" s="497">
        <v>267</v>
      </c>
      <c r="B271" s="497" t="s">
        <v>909</v>
      </c>
      <c r="C271" s="497" t="s">
        <v>765</v>
      </c>
      <c r="D271" s="497">
        <v>1</v>
      </c>
      <c r="E271" s="505">
        <v>26700</v>
      </c>
      <c r="F271" s="512">
        <f t="shared" si="9"/>
        <v>26700</v>
      </c>
    </row>
    <row r="272" spans="1:6">
      <c r="A272" s="497">
        <v>268</v>
      </c>
      <c r="B272" s="497" t="s">
        <v>909</v>
      </c>
      <c r="C272" s="497" t="s">
        <v>765</v>
      </c>
      <c r="D272" s="497">
        <v>1</v>
      </c>
      <c r="E272" s="505">
        <v>19200</v>
      </c>
      <c r="F272" s="512">
        <f t="shared" si="9"/>
        <v>19200</v>
      </c>
    </row>
    <row r="273" spans="1:6">
      <c r="A273" s="497">
        <v>269</v>
      </c>
      <c r="B273" s="497" t="s">
        <v>924</v>
      </c>
      <c r="C273" s="497" t="s">
        <v>765</v>
      </c>
      <c r="D273" s="497">
        <v>4</v>
      </c>
      <c r="E273" s="505">
        <v>33000</v>
      </c>
      <c r="F273" s="512">
        <f t="shared" si="9"/>
        <v>132000</v>
      </c>
    </row>
    <row r="274" spans="1:6">
      <c r="A274" s="497">
        <v>270</v>
      </c>
      <c r="B274" s="497" t="s">
        <v>924</v>
      </c>
      <c r="C274" s="497" t="s">
        <v>765</v>
      </c>
      <c r="D274" s="497">
        <v>3</v>
      </c>
      <c r="E274" s="505">
        <v>29900</v>
      </c>
      <c r="F274" s="512">
        <f t="shared" si="9"/>
        <v>89700</v>
      </c>
    </row>
    <row r="275" spans="1:6">
      <c r="A275" s="497">
        <v>271</v>
      </c>
      <c r="B275" s="497" t="s">
        <v>924</v>
      </c>
      <c r="C275" s="497" t="s">
        <v>765</v>
      </c>
      <c r="D275" s="497">
        <v>4</v>
      </c>
      <c r="E275" s="505">
        <v>43500</v>
      </c>
      <c r="F275" s="512">
        <f t="shared" si="9"/>
        <v>174000</v>
      </c>
    </row>
    <row r="276" spans="1:6">
      <c r="A276" s="497">
        <v>272</v>
      </c>
      <c r="B276" s="497" t="s">
        <v>924</v>
      </c>
      <c r="C276" s="497" t="s">
        <v>765</v>
      </c>
      <c r="D276" s="497">
        <v>1</v>
      </c>
      <c r="E276" s="505">
        <v>70800</v>
      </c>
      <c r="F276" s="512">
        <f t="shared" si="9"/>
        <v>70800</v>
      </c>
    </row>
    <row r="277" spans="1:6">
      <c r="A277" s="497">
        <v>273</v>
      </c>
      <c r="B277" s="497" t="s">
        <v>915</v>
      </c>
      <c r="C277" s="497" t="s">
        <v>765</v>
      </c>
      <c r="D277" s="497">
        <v>1</v>
      </c>
      <c r="E277" s="505">
        <v>42083</v>
      </c>
      <c r="F277" s="512">
        <f t="shared" si="9"/>
        <v>42083</v>
      </c>
    </row>
    <row r="278" spans="1:6">
      <c r="A278" s="497">
        <v>274</v>
      </c>
      <c r="B278" s="497" t="s">
        <v>916</v>
      </c>
      <c r="C278" s="497" t="s">
        <v>765</v>
      </c>
      <c r="D278" s="497">
        <v>1</v>
      </c>
      <c r="E278" s="505">
        <v>46750</v>
      </c>
      <c r="F278" s="512">
        <f t="shared" si="9"/>
        <v>46750</v>
      </c>
    </row>
    <row r="279" spans="1:6">
      <c r="A279" s="497">
        <v>275</v>
      </c>
      <c r="B279" s="497" t="s">
        <v>823</v>
      </c>
      <c r="C279" s="497" t="s">
        <v>765</v>
      </c>
      <c r="D279" s="497">
        <v>42</v>
      </c>
      <c r="E279" s="505">
        <v>25000</v>
      </c>
      <c r="F279" s="512">
        <f t="shared" si="9"/>
        <v>1050000</v>
      </c>
    </row>
    <row r="280" spans="1:6">
      <c r="A280" s="497">
        <v>276</v>
      </c>
      <c r="B280" s="497" t="s">
        <v>925</v>
      </c>
      <c r="C280" s="497" t="s">
        <v>765</v>
      </c>
      <c r="D280" s="497">
        <v>1</v>
      </c>
      <c r="E280" s="505">
        <v>64167</v>
      </c>
      <c r="F280" s="512">
        <f t="shared" si="9"/>
        <v>64167</v>
      </c>
    </row>
    <row r="281" spans="1:6">
      <c r="A281" s="497">
        <v>277</v>
      </c>
      <c r="B281" s="497" t="s">
        <v>926</v>
      </c>
      <c r="C281" s="497" t="s">
        <v>765</v>
      </c>
      <c r="D281" s="497">
        <v>3</v>
      </c>
      <c r="E281" s="505">
        <v>11666</v>
      </c>
      <c r="F281" s="512">
        <f t="shared" si="9"/>
        <v>34998</v>
      </c>
    </row>
    <row r="282" spans="1:6">
      <c r="A282" s="497">
        <v>278</v>
      </c>
      <c r="B282" s="497" t="s">
        <v>925</v>
      </c>
      <c r="C282" s="497" t="s">
        <v>765</v>
      </c>
      <c r="D282" s="497">
        <v>1</v>
      </c>
      <c r="E282" s="505">
        <v>64167</v>
      </c>
      <c r="F282" s="512">
        <f t="shared" si="9"/>
        <v>64167</v>
      </c>
    </row>
    <row r="283" spans="1:6">
      <c r="A283" s="497">
        <v>279</v>
      </c>
      <c r="B283" s="497" t="s">
        <v>927</v>
      </c>
      <c r="C283" s="497" t="s">
        <v>765</v>
      </c>
      <c r="D283" s="497">
        <v>2</v>
      </c>
      <c r="E283" s="505">
        <v>48879</v>
      </c>
      <c r="F283" s="512">
        <f t="shared" si="9"/>
        <v>97758</v>
      </c>
    </row>
    <row r="284" spans="1:6">
      <c r="A284" s="497">
        <v>280</v>
      </c>
      <c r="B284" s="497" t="s">
        <v>918</v>
      </c>
      <c r="C284" s="497" t="s">
        <v>765</v>
      </c>
      <c r="D284" s="497">
        <v>1</v>
      </c>
      <c r="E284" s="505">
        <v>22400</v>
      </c>
      <c r="F284" s="512">
        <f>+D284*E284</f>
        <v>22400</v>
      </c>
    </row>
    <row r="285" spans="1:6" ht="11.25" customHeight="1">
      <c r="A285" s="497">
        <v>281</v>
      </c>
      <c r="B285" s="509" t="s">
        <v>928</v>
      </c>
      <c r="C285" s="509" t="s">
        <v>765</v>
      </c>
      <c r="D285" s="509">
        <v>1</v>
      </c>
      <c r="E285" s="510">
        <v>68500</v>
      </c>
      <c r="F285" s="512">
        <f>SUM(D285*E285)</f>
        <v>68500</v>
      </c>
    </row>
    <row r="286" spans="1:6" ht="11.25" customHeight="1">
      <c r="A286" s="497">
        <v>282</v>
      </c>
      <c r="B286" s="497" t="s">
        <v>929</v>
      </c>
      <c r="C286" s="497" t="s">
        <v>765</v>
      </c>
      <c r="D286" s="497">
        <v>2</v>
      </c>
      <c r="E286" s="505">
        <f>148333/D286</f>
        <v>74166.5</v>
      </c>
      <c r="F286" s="512">
        <f t="shared" ref="F286:F292" si="10">+D286*E286</f>
        <v>148333</v>
      </c>
    </row>
    <row r="287" spans="1:6" ht="11.25" customHeight="1">
      <c r="A287" s="497">
        <v>283</v>
      </c>
      <c r="B287" s="497" t="s">
        <v>930</v>
      </c>
      <c r="C287" s="497" t="s">
        <v>765</v>
      </c>
      <c r="D287" s="497">
        <v>1</v>
      </c>
      <c r="E287" s="505">
        <v>3491325</v>
      </c>
      <c r="F287" s="512">
        <f t="shared" si="10"/>
        <v>3491325</v>
      </c>
    </row>
    <row r="288" spans="1:6" ht="11.25" customHeight="1">
      <c r="A288" s="497">
        <v>284</v>
      </c>
      <c r="B288" s="497" t="s">
        <v>930</v>
      </c>
      <c r="C288" s="497" t="s">
        <v>765</v>
      </c>
      <c r="D288" s="497">
        <v>1</v>
      </c>
      <c r="E288" s="505">
        <f>750000+1100000+1505560+650000+1672000</f>
        <v>5677560</v>
      </c>
      <c r="F288" s="512">
        <f t="shared" si="10"/>
        <v>5677560</v>
      </c>
    </row>
    <row r="289" spans="1:6" ht="11.25" customHeight="1">
      <c r="A289" s="497">
        <v>285</v>
      </c>
      <c r="B289" s="497" t="s">
        <v>931</v>
      </c>
      <c r="C289" s="497" t="s">
        <v>765</v>
      </c>
      <c r="D289" s="497">
        <v>1</v>
      </c>
      <c r="E289" s="505">
        <v>33250</v>
      </c>
      <c r="F289" s="512">
        <f t="shared" si="10"/>
        <v>33250</v>
      </c>
    </row>
    <row r="290" spans="1:6" ht="11.25" customHeight="1">
      <c r="A290" s="497">
        <v>286</v>
      </c>
      <c r="B290" s="497" t="s">
        <v>932</v>
      </c>
      <c r="C290" s="497" t="s">
        <v>765</v>
      </c>
      <c r="D290" s="497">
        <v>1</v>
      </c>
      <c r="E290" s="505">
        <v>64167</v>
      </c>
      <c r="F290" s="512">
        <f t="shared" si="10"/>
        <v>64167</v>
      </c>
    </row>
    <row r="291" spans="1:6" ht="11.25" customHeight="1">
      <c r="A291" s="497">
        <v>287</v>
      </c>
      <c r="B291" s="497" t="s">
        <v>944</v>
      </c>
      <c r="C291" s="497" t="s">
        <v>765</v>
      </c>
      <c r="D291" s="497">
        <v>1</v>
      </c>
      <c r="E291" s="505">
        <v>426000</v>
      </c>
      <c r="F291" s="518">
        <f t="shared" si="10"/>
        <v>426000</v>
      </c>
    </row>
    <row r="292" spans="1:6" ht="11.25" customHeight="1">
      <c r="A292" s="497">
        <v>288</v>
      </c>
      <c r="B292" s="497" t="s">
        <v>944</v>
      </c>
      <c r="C292" s="497" t="s">
        <v>765</v>
      </c>
      <c r="D292" s="497">
        <v>1</v>
      </c>
      <c r="E292" s="505">
        <v>502500</v>
      </c>
      <c r="F292" s="518">
        <f t="shared" si="10"/>
        <v>502500</v>
      </c>
    </row>
    <row r="293" spans="1:6" ht="11.25" customHeight="1">
      <c r="A293" s="497">
        <v>289</v>
      </c>
      <c r="B293" s="497" t="s">
        <v>945</v>
      </c>
      <c r="C293" s="497" t="s">
        <v>765</v>
      </c>
      <c r="D293" s="497">
        <v>10</v>
      </c>
      <c r="E293" s="505">
        <f>+F293/D293</f>
        <v>73590.600000000006</v>
      </c>
      <c r="F293" s="518">
        <f>453406+180000+79167+23333</f>
        <v>735906</v>
      </c>
    </row>
    <row r="294" spans="1:6" ht="11.25" customHeight="1">
      <c r="A294" s="497">
        <v>290</v>
      </c>
      <c r="B294" s="497" t="s">
        <v>799</v>
      </c>
      <c r="C294" s="497" t="s">
        <v>765</v>
      </c>
      <c r="D294" s="497">
        <v>1</v>
      </c>
      <c r="E294" s="505">
        <v>58871</v>
      </c>
      <c r="F294" s="518">
        <f t="shared" ref="F294:F310" si="11">+D294*E294</f>
        <v>58871</v>
      </c>
    </row>
    <row r="295" spans="1:6" ht="11.25" customHeight="1">
      <c r="A295" s="497">
        <v>291</v>
      </c>
      <c r="B295" s="497" t="s">
        <v>946</v>
      </c>
      <c r="C295" s="497" t="s">
        <v>765</v>
      </c>
      <c r="D295" s="497">
        <v>1</v>
      </c>
      <c r="E295" s="505">
        <v>36667</v>
      </c>
      <c r="F295" s="518">
        <f t="shared" si="11"/>
        <v>36667</v>
      </c>
    </row>
    <row r="296" spans="1:6" ht="11.25" customHeight="1">
      <c r="A296" s="497">
        <v>292</v>
      </c>
      <c r="B296" s="497" t="s">
        <v>946</v>
      </c>
      <c r="C296" s="497" t="s">
        <v>765</v>
      </c>
      <c r="D296" s="497">
        <v>1</v>
      </c>
      <c r="E296" s="505">
        <v>36400</v>
      </c>
      <c r="F296" s="518">
        <f t="shared" si="11"/>
        <v>36400</v>
      </c>
    </row>
    <row r="297" spans="1:6" ht="11.25" customHeight="1">
      <c r="A297" s="497">
        <v>293</v>
      </c>
      <c r="B297" s="304" t="s">
        <v>1037</v>
      </c>
      <c r="C297" s="497" t="s">
        <v>765</v>
      </c>
      <c r="D297" s="497">
        <v>1</v>
      </c>
      <c r="E297" s="319">
        <v>14205</v>
      </c>
      <c r="F297" s="512">
        <f t="shared" si="11"/>
        <v>14205</v>
      </c>
    </row>
    <row r="298" spans="1:6" ht="11.25" customHeight="1">
      <c r="A298" s="497">
        <v>294</v>
      </c>
      <c r="B298" s="304" t="s">
        <v>1038</v>
      </c>
      <c r="C298" s="497" t="s">
        <v>765</v>
      </c>
      <c r="D298" s="497">
        <v>1</v>
      </c>
      <c r="E298" s="319">
        <v>612000</v>
      </c>
      <c r="F298" s="512">
        <f t="shared" si="11"/>
        <v>612000</v>
      </c>
    </row>
    <row r="299" spans="1:6" ht="11.25" customHeight="1">
      <c r="A299" s="497">
        <v>295</v>
      </c>
      <c r="B299" s="304" t="s">
        <v>1039</v>
      </c>
      <c r="C299" s="497" t="s">
        <v>765</v>
      </c>
      <c r="D299" s="497">
        <v>1</v>
      </c>
      <c r="E299" s="319">
        <v>628300</v>
      </c>
      <c r="F299" s="512">
        <f t="shared" si="11"/>
        <v>628300</v>
      </c>
    </row>
    <row r="300" spans="1:6" ht="11.25" customHeight="1">
      <c r="A300" s="497">
        <v>296</v>
      </c>
      <c r="B300" s="304" t="s">
        <v>1040</v>
      </c>
      <c r="C300" s="497" t="s">
        <v>765</v>
      </c>
      <c r="D300" s="497">
        <v>1</v>
      </c>
      <c r="E300" s="319">
        <v>378000</v>
      </c>
      <c r="F300" s="512">
        <f t="shared" si="11"/>
        <v>378000</v>
      </c>
    </row>
    <row r="301" spans="1:6" ht="11.25" customHeight="1">
      <c r="A301" s="497">
        <v>297</v>
      </c>
      <c r="B301" s="304" t="s">
        <v>1041</v>
      </c>
      <c r="C301" s="497" t="s">
        <v>765</v>
      </c>
      <c r="D301" s="497">
        <v>1</v>
      </c>
      <c r="E301" s="319">
        <v>390000</v>
      </c>
      <c r="F301" s="512">
        <f t="shared" si="11"/>
        <v>390000</v>
      </c>
    </row>
    <row r="302" spans="1:6" ht="11.25" customHeight="1">
      <c r="A302" s="497">
        <v>298</v>
      </c>
      <c r="B302" s="304" t="s">
        <v>1042</v>
      </c>
      <c r="C302" s="497" t="s">
        <v>765</v>
      </c>
      <c r="D302" s="497">
        <v>1</v>
      </c>
      <c r="E302" s="319">
        <v>575000</v>
      </c>
      <c r="F302" s="512">
        <f t="shared" si="11"/>
        <v>575000</v>
      </c>
    </row>
    <row r="303" spans="1:6" ht="11.25" customHeight="1">
      <c r="A303" s="497">
        <v>299</v>
      </c>
      <c r="B303" s="304" t="s">
        <v>1043</v>
      </c>
      <c r="C303" s="497" t="s">
        <v>765</v>
      </c>
      <c r="D303" s="497">
        <v>1</v>
      </c>
      <c r="E303" s="319">
        <v>765000</v>
      </c>
      <c r="F303" s="512">
        <f t="shared" si="11"/>
        <v>765000</v>
      </c>
    </row>
    <row r="304" spans="1:6" ht="11.25" customHeight="1">
      <c r="A304" s="497">
        <v>300</v>
      </c>
      <c r="B304" s="304" t="s">
        <v>1044</v>
      </c>
      <c r="C304" s="497" t="s">
        <v>765</v>
      </c>
      <c r="D304" s="497">
        <v>1</v>
      </c>
      <c r="E304" s="319">
        <v>32250</v>
      </c>
      <c r="F304" s="512">
        <f t="shared" si="11"/>
        <v>32250</v>
      </c>
    </row>
    <row r="305" spans="1:6" ht="11.25" customHeight="1">
      <c r="A305" s="497">
        <v>301</v>
      </c>
      <c r="B305" s="304" t="s">
        <v>1045</v>
      </c>
      <c r="C305" s="497" t="s">
        <v>765</v>
      </c>
      <c r="D305" s="497">
        <v>1</v>
      </c>
      <c r="E305" s="319">
        <v>64255</v>
      </c>
      <c r="F305" s="512">
        <f t="shared" si="11"/>
        <v>64255</v>
      </c>
    </row>
    <row r="306" spans="1:6" ht="11.25" customHeight="1">
      <c r="A306" s="497">
        <v>302</v>
      </c>
      <c r="B306" s="304" t="s">
        <v>1046</v>
      </c>
      <c r="C306" s="497" t="s">
        <v>765</v>
      </c>
      <c r="D306" s="497">
        <v>1</v>
      </c>
      <c r="E306" s="319">
        <v>1015165</v>
      </c>
      <c r="F306" s="512">
        <f t="shared" si="11"/>
        <v>1015165</v>
      </c>
    </row>
    <row r="307" spans="1:6" ht="11.25" customHeight="1">
      <c r="A307" s="497">
        <v>303</v>
      </c>
      <c r="B307" s="304" t="s">
        <v>1047</v>
      </c>
      <c r="C307" s="497" t="s">
        <v>765</v>
      </c>
      <c r="D307" s="497">
        <v>1</v>
      </c>
      <c r="E307" s="319">
        <v>252580</v>
      </c>
      <c r="F307" s="512">
        <f t="shared" si="11"/>
        <v>252580</v>
      </c>
    </row>
    <row r="308" spans="1:6" ht="11.25" customHeight="1">
      <c r="A308" s="497">
        <v>304</v>
      </c>
      <c r="B308" s="497" t="s">
        <v>946</v>
      </c>
      <c r="C308" s="497" t="s">
        <v>765</v>
      </c>
      <c r="D308" s="497">
        <v>1</v>
      </c>
      <c r="E308" s="505">
        <v>38500</v>
      </c>
      <c r="F308" s="512">
        <f t="shared" si="11"/>
        <v>38500</v>
      </c>
    </row>
    <row r="309" spans="1:6" ht="11.25" customHeight="1">
      <c r="A309" s="497">
        <v>305</v>
      </c>
      <c r="B309" s="497" t="s">
        <v>799</v>
      </c>
      <c r="C309" s="497" t="s">
        <v>765</v>
      </c>
      <c r="D309" s="497">
        <v>1</v>
      </c>
      <c r="E309" s="505">
        <v>19167</v>
      </c>
      <c r="F309" s="518">
        <f t="shared" si="11"/>
        <v>19167</v>
      </c>
    </row>
    <row r="310" spans="1:6" ht="11.25" customHeight="1">
      <c r="A310" s="497">
        <v>306</v>
      </c>
      <c r="B310" s="497" t="s">
        <v>799</v>
      </c>
      <c r="C310" s="497" t="s">
        <v>765</v>
      </c>
      <c r="D310" s="497">
        <v>1</v>
      </c>
      <c r="E310" s="505">
        <v>15000</v>
      </c>
      <c r="F310" s="518">
        <f t="shared" si="11"/>
        <v>15000</v>
      </c>
    </row>
    <row r="311" spans="1:6" ht="11.25" customHeight="1">
      <c r="A311" s="497">
        <v>307</v>
      </c>
      <c r="B311" s="497" t="s">
        <v>947</v>
      </c>
      <c r="C311" s="497" t="s">
        <v>765</v>
      </c>
      <c r="D311" s="497">
        <v>7</v>
      </c>
      <c r="E311" s="505">
        <f>+F311/D311</f>
        <v>48821.428571428572</v>
      </c>
      <c r="F311" s="518">
        <v>341750</v>
      </c>
    </row>
    <row r="312" spans="1:6" ht="11.25" customHeight="1">
      <c r="A312" s="497">
        <v>308</v>
      </c>
      <c r="B312" s="519" t="s">
        <v>933</v>
      </c>
      <c r="C312" s="519" t="s">
        <v>765</v>
      </c>
      <c r="D312" s="519">
        <v>1</v>
      </c>
      <c r="E312" s="520">
        <v>36667</v>
      </c>
      <c r="F312" s="518">
        <f t="shared" ref="F312:F322" si="12">+D312*E312</f>
        <v>36667</v>
      </c>
    </row>
    <row r="313" spans="1:6" ht="11.25" customHeight="1">
      <c r="A313" s="497">
        <v>309</v>
      </c>
      <c r="B313" s="497" t="s">
        <v>955</v>
      </c>
      <c r="C313" s="497" t="s">
        <v>765</v>
      </c>
      <c r="D313" s="497">
        <v>1</v>
      </c>
      <c r="E313" s="505">
        <v>44160</v>
      </c>
      <c r="F313" s="512">
        <f t="shared" si="12"/>
        <v>44160</v>
      </c>
    </row>
    <row r="314" spans="1:6" ht="11.25" customHeight="1">
      <c r="A314" s="497">
        <v>310</v>
      </c>
      <c r="B314" s="497" t="s">
        <v>956</v>
      </c>
      <c r="C314" s="497" t="s">
        <v>765</v>
      </c>
      <c r="D314" s="497">
        <v>1</v>
      </c>
      <c r="E314" s="505">
        <v>95833</v>
      </c>
      <c r="F314" s="512">
        <f t="shared" si="12"/>
        <v>95833</v>
      </c>
    </row>
    <row r="315" spans="1:6" ht="11.25" customHeight="1">
      <c r="A315" s="497">
        <v>311</v>
      </c>
      <c r="B315" s="497" t="s">
        <v>957</v>
      </c>
      <c r="C315" s="497" t="s">
        <v>765</v>
      </c>
      <c r="D315" s="497">
        <v>1</v>
      </c>
      <c r="E315" s="505">
        <v>94083</v>
      </c>
      <c r="F315" s="512">
        <f t="shared" si="12"/>
        <v>94083</v>
      </c>
    </row>
    <row r="316" spans="1:6" ht="11.25" customHeight="1">
      <c r="A316" s="497">
        <v>312</v>
      </c>
      <c r="B316" s="497" t="s">
        <v>956</v>
      </c>
      <c r="C316" s="497" t="s">
        <v>765</v>
      </c>
      <c r="D316" s="497">
        <v>3</v>
      </c>
      <c r="E316" s="505">
        <v>83250</v>
      </c>
      <c r="F316" s="512">
        <f t="shared" si="12"/>
        <v>249750</v>
      </c>
    </row>
    <row r="317" spans="1:6" ht="11.25" customHeight="1">
      <c r="A317" s="497">
        <v>313</v>
      </c>
      <c r="B317" s="497" t="s">
        <v>901</v>
      </c>
      <c r="C317" s="497" t="s">
        <v>765</v>
      </c>
      <c r="D317" s="497">
        <v>1</v>
      </c>
      <c r="E317" s="505">
        <v>8027</v>
      </c>
      <c r="F317" s="512">
        <f t="shared" si="12"/>
        <v>8027</v>
      </c>
    </row>
    <row r="318" spans="1:6" ht="11.25" customHeight="1">
      <c r="A318" s="497">
        <v>314</v>
      </c>
      <c r="B318" s="497" t="s">
        <v>901</v>
      </c>
      <c r="C318" s="497" t="s">
        <v>765</v>
      </c>
      <c r="D318" s="497">
        <v>2</v>
      </c>
      <c r="E318" s="505">
        <v>4167</v>
      </c>
      <c r="F318" s="512">
        <f t="shared" si="12"/>
        <v>8334</v>
      </c>
    </row>
    <row r="319" spans="1:6" ht="11.25" customHeight="1">
      <c r="A319" s="497">
        <v>315</v>
      </c>
      <c r="B319" s="497" t="s">
        <v>958</v>
      </c>
      <c r="C319" s="497" t="s">
        <v>765</v>
      </c>
      <c r="D319" s="497">
        <v>2</v>
      </c>
      <c r="E319" s="505">
        <v>23958.5</v>
      </c>
      <c r="F319" s="512">
        <f t="shared" si="12"/>
        <v>47917</v>
      </c>
    </row>
    <row r="320" spans="1:6" ht="11.25" customHeight="1">
      <c r="A320" s="497">
        <v>316</v>
      </c>
      <c r="B320" s="497" t="s">
        <v>799</v>
      </c>
      <c r="C320" s="497" t="s">
        <v>765</v>
      </c>
      <c r="D320" s="497">
        <v>1</v>
      </c>
      <c r="E320" s="505">
        <v>19250</v>
      </c>
      <c r="F320" s="512">
        <f t="shared" si="12"/>
        <v>19250</v>
      </c>
    </row>
    <row r="321" spans="1:10" ht="11.25" customHeight="1">
      <c r="A321" s="497">
        <v>317</v>
      </c>
      <c r="B321" s="497" t="s">
        <v>1020</v>
      </c>
      <c r="C321" s="497" t="s">
        <v>765</v>
      </c>
      <c r="D321" s="497">
        <v>1</v>
      </c>
      <c r="E321" s="505">
        <v>91667</v>
      </c>
      <c r="F321" s="512">
        <f t="shared" si="12"/>
        <v>91667</v>
      </c>
    </row>
    <row r="322" spans="1:10" ht="11.25" customHeight="1">
      <c r="A322" s="497">
        <v>318</v>
      </c>
      <c r="B322" s="497" t="s">
        <v>1021</v>
      </c>
      <c r="C322" s="497" t="s">
        <v>765</v>
      </c>
      <c r="D322" s="497">
        <v>1</v>
      </c>
      <c r="E322" s="505">
        <v>8475</v>
      </c>
      <c r="F322" s="512">
        <f t="shared" si="12"/>
        <v>8475</v>
      </c>
    </row>
    <row r="323" spans="1:10" ht="11.25" customHeight="1">
      <c r="A323" s="497">
        <v>319</v>
      </c>
      <c r="B323" s="497" t="s">
        <v>1021</v>
      </c>
      <c r="C323" s="497" t="s">
        <v>765</v>
      </c>
      <c r="D323" s="497">
        <v>2</v>
      </c>
      <c r="E323" s="505">
        <f>33900/2</f>
        <v>16950</v>
      </c>
      <c r="F323" s="512">
        <f>+D323*E323</f>
        <v>33900</v>
      </c>
    </row>
    <row r="324" spans="1:10" ht="11.25" customHeight="1">
      <c r="A324" s="497">
        <v>320</v>
      </c>
      <c r="B324" s="497" t="s">
        <v>1021</v>
      </c>
      <c r="C324" s="497" t="s">
        <v>765</v>
      </c>
      <c r="D324" s="497">
        <v>1</v>
      </c>
      <c r="E324" s="505">
        <v>15825</v>
      </c>
      <c r="F324" s="512">
        <f t="shared" ref="F324:F331" si="13">+D324*E324</f>
        <v>15825</v>
      </c>
    </row>
    <row r="325" spans="1:10" ht="11.25" customHeight="1">
      <c r="A325" s="497">
        <v>321</v>
      </c>
      <c r="B325" s="497" t="s">
        <v>1022</v>
      </c>
      <c r="C325" s="497" t="s">
        <v>765</v>
      </c>
      <c r="D325" s="497">
        <v>1</v>
      </c>
      <c r="E325" s="505">
        <v>41667</v>
      </c>
      <c r="F325" s="512">
        <f t="shared" si="13"/>
        <v>41667</v>
      </c>
    </row>
    <row r="326" spans="1:10" ht="11.25" customHeight="1">
      <c r="A326" s="497">
        <v>322</v>
      </c>
      <c r="B326" s="497" t="s">
        <v>1021</v>
      </c>
      <c r="C326" s="497" t="s">
        <v>765</v>
      </c>
      <c r="D326" s="497">
        <v>1</v>
      </c>
      <c r="E326" s="505">
        <v>30917</v>
      </c>
      <c r="F326" s="512">
        <f t="shared" si="13"/>
        <v>30917</v>
      </c>
    </row>
    <row r="327" spans="1:10" ht="11.25" customHeight="1">
      <c r="A327" s="497">
        <v>323</v>
      </c>
      <c r="B327" s="497" t="s">
        <v>1021</v>
      </c>
      <c r="C327" s="497" t="s">
        <v>765</v>
      </c>
      <c r="D327" s="497">
        <v>1</v>
      </c>
      <c r="E327" s="505">
        <v>52833</v>
      </c>
      <c r="F327" s="512">
        <f t="shared" si="13"/>
        <v>52833</v>
      </c>
    </row>
    <row r="328" spans="1:10" ht="11.25" customHeight="1">
      <c r="A328" s="497">
        <v>324</v>
      </c>
      <c r="B328" s="497" t="s">
        <v>1022</v>
      </c>
      <c r="C328" s="497" t="s">
        <v>765</v>
      </c>
      <c r="D328" s="497">
        <v>1</v>
      </c>
      <c r="E328" s="505">
        <v>12500</v>
      </c>
      <c r="F328" s="512">
        <f t="shared" si="13"/>
        <v>12500</v>
      </c>
    </row>
    <row r="329" spans="1:10" ht="11.25" customHeight="1">
      <c r="A329" s="497">
        <v>325</v>
      </c>
      <c r="B329" s="497" t="s">
        <v>922</v>
      </c>
      <c r="C329" s="497" t="s">
        <v>765</v>
      </c>
      <c r="D329" s="497">
        <v>6</v>
      </c>
      <c r="E329" s="505">
        <f>102600/6</f>
        <v>17100</v>
      </c>
      <c r="F329" s="512">
        <f t="shared" si="13"/>
        <v>102600</v>
      </c>
    </row>
    <row r="330" spans="1:10" ht="11.25" customHeight="1">
      <c r="A330" s="497">
        <v>326</v>
      </c>
      <c r="B330" s="497" t="s">
        <v>1021</v>
      </c>
      <c r="C330" s="497" t="s">
        <v>765</v>
      </c>
      <c r="D330" s="497">
        <v>1</v>
      </c>
      <c r="E330" s="505">
        <v>19167</v>
      </c>
      <c r="F330" s="512">
        <f t="shared" si="13"/>
        <v>19167</v>
      </c>
    </row>
    <row r="331" spans="1:10" ht="11.25" customHeight="1" thickBot="1">
      <c r="A331" s="497">
        <v>327</v>
      </c>
      <c r="B331" s="497" t="s">
        <v>844</v>
      </c>
      <c r="C331" s="497" t="s">
        <v>765</v>
      </c>
      <c r="D331" s="497">
        <v>1</v>
      </c>
      <c r="E331" s="505">
        <v>51067</v>
      </c>
      <c r="F331" s="566">
        <f t="shared" si="13"/>
        <v>51067</v>
      </c>
    </row>
    <row r="332" spans="1:10" ht="11.25" customHeight="1" thickBot="1">
      <c r="A332" s="522"/>
      <c r="B332" s="523" t="s">
        <v>1060</v>
      </c>
      <c r="C332" s="524"/>
      <c r="D332" s="524"/>
      <c r="E332" s="524"/>
      <c r="F332" s="541">
        <f>SUM(F5:F331)</f>
        <v>76758145.286599994</v>
      </c>
    </row>
    <row r="333" spans="1:10" ht="11.25" customHeight="1"/>
    <row r="334" spans="1:10" ht="11.25" customHeight="1"/>
    <row r="335" spans="1:10" ht="11.25" customHeight="1">
      <c r="A335" s="24"/>
      <c r="B335" s="24" t="s">
        <v>934</v>
      </c>
      <c r="C335" s="516">
        <v>2018</v>
      </c>
      <c r="D335" s="24"/>
      <c r="E335" s="24"/>
      <c r="F335" s="517"/>
    </row>
    <row r="336" spans="1:10" ht="13.5" customHeight="1">
      <c r="A336" s="526">
        <v>1</v>
      </c>
      <c r="B336" s="527" t="s">
        <v>593</v>
      </c>
      <c r="C336" s="497"/>
      <c r="D336" s="497"/>
      <c r="E336" s="521"/>
      <c r="F336" s="528">
        <v>4885000</v>
      </c>
      <c r="I336" s="525"/>
      <c r="J336" s="525"/>
    </row>
    <row r="337" spans="1:10" ht="15.75" customHeight="1" thickBot="1">
      <c r="A337" s="529">
        <v>2</v>
      </c>
      <c r="B337" s="530" t="s">
        <v>1023</v>
      </c>
      <c r="C337" s="531"/>
      <c r="D337" s="531"/>
      <c r="E337" s="532"/>
      <c r="F337" s="533">
        <f>+'Aq&amp;AM'!J29</f>
        <v>48596886</v>
      </c>
      <c r="I337" s="525"/>
      <c r="J337" s="525"/>
    </row>
    <row r="338" spans="1:10" ht="11.25" customHeight="1" thickBot="1">
      <c r="A338" s="534"/>
      <c r="B338" s="542" t="s">
        <v>2</v>
      </c>
      <c r="C338" s="535"/>
      <c r="D338" s="535"/>
      <c r="E338" s="535"/>
      <c r="F338" s="543">
        <f>SUM(F336:F337)</f>
        <v>53481886</v>
      </c>
      <c r="I338" s="525"/>
      <c r="J338" s="525"/>
    </row>
    <row r="339" spans="1:10" ht="13.5" thickBot="1">
      <c r="A339" s="519"/>
      <c r="B339" s="536"/>
      <c r="C339" s="536"/>
      <c r="D339" s="536"/>
      <c r="E339" s="536"/>
      <c r="F339" s="536"/>
      <c r="I339" s="525"/>
      <c r="J339" s="525"/>
    </row>
    <row r="340" spans="1:10" ht="13.5" thickBot="1">
      <c r="A340" s="537"/>
      <c r="B340" s="538" t="s">
        <v>1061</v>
      </c>
      <c r="C340" s="539"/>
      <c r="D340" s="539"/>
      <c r="E340" s="539"/>
      <c r="F340" s="544">
        <f>+F332-F338</f>
        <v>23276259.286599994</v>
      </c>
    </row>
    <row r="343" spans="1:10">
      <c r="C343" s="540">
        <v>9</v>
      </c>
      <c r="F343" s="513"/>
    </row>
    <row r="344" spans="1:10">
      <c r="B344" s="540" t="s">
        <v>935</v>
      </c>
      <c r="E344" s="540" t="s">
        <v>596</v>
      </c>
    </row>
    <row r="345" spans="1:10">
      <c r="B345" s="540" t="s">
        <v>936</v>
      </c>
      <c r="E345" s="540" t="s">
        <v>655</v>
      </c>
    </row>
  </sheetData>
  <pageMargins left="0.7" right="0.7" top="0.4" bottom="0.75" header="0.17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aktivet sips udhez</vt:lpstr>
      <vt:lpstr>inv auto</vt:lpstr>
      <vt:lpstr>inv asete</vt:lpstr>
      <vt:lpstr>inv mall</vt:lpstr>
      <vt:lpstr>Bilanci Alpha</vt:lpstr>
      <vt:lpstr>Ardh shpenz alpha</vt:lpstr>
      <vt:lpstr>fdp18</vt:lpstr>
      <vt:lpstr>tjera</vt:lpstr>
    </vt:vector>
  </TitlesOfParts>
  <Company>Compaq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edroboniku</cp:lastModifiedBy>
  <cp:lastPrinted>2019-07-29T08:15:34Z</cp:lastPrinted>
  <dcterms:created xsi:type="dcterms:W3CDTF">2008-12-17T10:29:05Z</dcterms:created>
  <dcterms:modified xsi:type="dcterms:W3CDTF">2019-07-29T08:15:59Z</dcterms:modified>
</cp:coreProperties>
</file>