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qkb2020\benimpex qkb20\"/>
    </mc:Choice>
  </mc:AlternateContent>
  <xr:revisionPtr revIDLastSave="0" documentId="8_{7D1C3BA0-7F53-4E80-9FFA-DD51030E0146}" xr6:coauthVersionLast="41" xr6:coauthVersionMax="41" xr10:uidLastSave="{00000000-0000-0000-0000-000000000000}"/>
  <bookViews>
    <workbookView xWindow="-120" yWindow="-120" windowWidth="29040" windowHeight="15840" tabRatio="900" firstSheet="2" activeTab="2"/>
  </bookViews>
  <sheets>
    <sheet name="faq1" sheetId="15" state="hidden" r:id="rId1"/>
    <sheet name="BK" sheetId="1" state="hidden" r:id="rId2"/>
    <sheet name="ardh-shpenz" sheetId="2" r:id="rId3"/>
    <sheet name="cash-flow" sheetId="3" state="hidden" r:id="rId4"/>
    <sheet name="kap vet" sheetId="13" state="hidden" r:id="rId5"/>
    <sheet name="Aq&amp;AM" sheetId="14" state="hidden" r:id="rId6"/>
    <sheet name="aktivet sips udhez" sheetId="16" state="hidden" r:id="rId7"/>
    <sheet name="inv auto" sheetId="21" state="hidden" r:id="rId8"/>
    <sheet name="inv asete" sheetId="25" state="hidden" r:id="rId9"/>
    <sheet name="inv mall" sheetId="22" state="hidden" r:id="rId10"/>
    <sheet name="Bilanci Alpha" sheetId="11" state="hidden" r:id="rId11"/>
    <sheet name="Ardh shpenz alpha" sheetId="12" state="hidden" r:id="rId12"/>
    <sheet name="fdp20" sheetId="23" state="hidden" r:id="rId13"/>
    <sheet name="tjera" sheetId="6" state="hidden" r:id="rId14"/>
  </sheets>
  <calcPr calcId="181029"/>
</workbook>
</file>

<file path=xl/calcChain.xml><?xml version="1.0" encoding="utf-8"?>
<calcChain xmlns="http://schemas.openxmlformats.org/spreadsheetml/2006/main">
  <c r="F340" i="25" l="1"/>
  <c r="F286" i="25"/>
  <c r="E287" i="25"/>
  <c r="F287" i="25"/>
  <c r="F339" i="25"/>
  <c r="F338" i="25"/>
  <c r="F337" i="25"/>
  <c r="F336" i="25"/>
  <c r="F335" i="25"/>
  <c r="F334" i="25"/>
  <c r="F345" i="25"/>
  <c r="E21" i="1"/>
  <c r="D17" i="3"/>
  <c r="E35" i="11"/>
  <c r="C6" i="6"/>
  <c r="D6" i="6"/>
  <c r="E6" i="6"/>
  <c r="F6" i="6"/>
  <c r="G6" i="6"/>
  <c r="H6" i="6"/>
  <c r="I6" i="6"/>
  <c r="K6" i="6"/>
  <c r="L6" i="6"/>
  <c r="N6" i="6"/>
  <c r="P6" i="6"/>
  <c r="C7" i="6"/>
  <c r="D7" i="6"/>
  <c r="E7" i="6"/>
  <c r="F7" i="6"/>
  <c r="G7" i="6"/>
  <c r="H7" i="6"/>
  <c r="I7" i="6"/>
  <c r="K7" i="6"/>
  <c r="L7" i="6"/>
  <c r="N7" i="6"/>
  <c r="P7" i="6"/>
  <c r="C8" i="6"/>
  <c r="D8" i="6"/>
  <c r="E8" i="6"/>
  <c r="F8" i="6"/>
  <c r="G8" i="6"/>
  <c r="H8" i="6"/>
  <c r="I8" i="6"/>
  <c r="J8" i="6"/>
  <c r="K8" i="6"/>
  <c r="L8" i="6"/>
  <c r="P8" i="6"/>
  <c r="C9" i="6"/>
  <c r="D9" i="6"/>
  <c r="E9" i="6"/>
  <c r="F9" i="6"/>
  <c r="G9" i="6"/>
  <c r="H9" i="6"/>
  <c r="I9" i="6"/>
  <c r="J9" i="6"/>
  <c r="K9" i="6"/>
  <c r="L9" i="6"/>
  <c r="N9" i="6"/>
  <c r="P9" i="6"/>
  <c r="B10" i="6"/>
  <c r="C10" i="6"/>
  <c r="D10" i="6"/>
  <c r="E10" i="6"/>
  <c r="F10" i="6"/>
  <c r="G10" i="6"/>
  <c r="H10" i="6"/>
  <c r="I10" i="6"/>
  <c r="J10" i="6"/>
  <c r="K10" i="6"/>
  <c r="L10" i="6"/>
  <c r="N10" i="6"/>
  <c r="P10" i="6"/>
  <c r="C12" i="6"/>
  <c r="D12" i="6"/>
  <c r="E12" i="6"/>
  <c r="F12" i="6"/>
  <c r="G12" i="6"/>
  <c r="H12" i="6"/>
  <c r="I12" i="6"/>
  <c r="J12" i="6"/>
  <c r="K12" i="6"/>
  <c r="C13" i="6"/>
  <c r="D13" i="6"/>
  <c r="E13" i="6"/>
  <c r="F13" i="6"/>
  <c r="G13" i="6"/>
  <c r="H13" i="6"/>
  <c r="I13" i="6"/>
  <c r="J13" i="6"/>
  <c r="K13" i="6"/>
  <c r="L13" i="6"/>
  <c r="N13" i="6"/>
  <c r="P13" i="6"/>
  <c r="K15" i="6"/>
  <c r="L15" i="6"/>
  <c r="N15" i="6"/>
  <c r="P15" i="6"/>
  <c r="K17" i="6"/>
  <c r="L17" i="6"/>
  <c r="N17" i="6"/>
  <c r="P17" i="6"/>
  <c r="C19" i="6"/>
  <c r="D19" i="6"/>
  <c r="E19" i="6"/>
  <c r="F19" i="6"/>
  <c r="G19" i="6"/>
  <c r="H19" i="6"/>
  <c r="I19" i="6"/>
  <c r="J19" i="6"/>
  <c r="K19" i="6"/>
  <c r="C20" i="6"/>
  <c r="D20" i="6"/>
  <c r="E20" i="6"/>
  <c r="F20" i="6"/>
  <c r="G20" i="6"/>
  <c r="H20" i="6"/>
  <c r="I20" i="6"/>
  <c r="J20" i="6"/>
  <c r="K20" i="6"/>
  <c r="L20" i="6"/>
  <c r="N20" i="6"/>
  <c r="P20" i="6"/>
  <c r="C21" i="6"/>
  <c r="D21" i="6"/>
  <c r="E21" i="6"/>
  <c r="F21" i="6"/>
  <c r="G21" i="6"/>
  <c r="H21" i="6"/>
  <c r="I21" i="6"/>
  <c r="J21" i="6"/>
  <c r="K21" i="6"/>
  <c r="L21" i="6"/>
  <c r="N21" i="6"/>
  <c r="P21" i="6"/>
  <c r="C23" i="6"/>
  <c r="D23" i="6"/>
  <c r="E23" i="6"/>
  <c r="F23" i="6"/>
  <c r="G23" i="6"/>
  <c r="H23" i="6"/>
  <c r="I23" i="6"/>
  <c r="J23" i="6"/>
  <c r="K23" i="6"/>
  <c r="L23" i="6"/>
  <c r="N23" i="6"/>
  <c r="P23" i="6"/>
  <c r="C24" i="6"/>
  <c r="D24" i="6"/>
  <c r="K24" i="6"/>
  <c r="L24" i="6"/>
  <c r="N24" i="6"/>
  <c r="P24" i="6"/>
  <c r="C79" i="6"/>
  <c r="D79" i="6"/>
  <c r="E79" i="6"/>
  <c r="C88" i="6"/>
  <c r="D88" i="6"/>
  <c r="E88" i="6"/>
  <c r="F88" i="6"/>
  <c r="G88" i="6"/>
  <c r="H88" i="6"/>
  <c r="I88" i="6"/>
  <c r="J88" i="6"/>
  <c r="K88" i="6"/>
  <c r="C89" i="6"/>
  <c r="D89" i="6"/>
  <c r="E89" i="6"/>
  <c r="F89" i="6"/>
  <c r="G89" i="6"/>
  <c r="H89" i="6"/>
  <c r="I89" i="6"/>
  <c r="K92" i="6"/>
  <c r="L92" i="6"/>
  <c r="N92" i="6"/>
  <c r="C93" i="6"/>
  <c r="D93" i="6"/>
  <c r="E93" i="6"/>
  <c r="F93" i="6"/>
  <c r="G93" i="6"/>
  <c r="H93" i="6"/>
  <c r="I93" i="6"/>
  <c r="J93" i="6"/>
  <c r="K93" i="6"/>
  <c r="L93" i="6"/>
  <c r="N93" i="6"/>
  <c r="P93" i="6"/>
  <c r="C94" i="6"/>
  <c r="D94" i="6"/>
  <c r="E94" i="6"/>
  <c r="F94" i="6"/>
  <c r="G94" i="6"/>
  <c r="H94" i="6"/>
  <c r="I94" i="6"/>
  <c r="J94" i="6"/>
  <c r="K94" i="6"/>
  <c r="L94" i="6"/>
  <c r="N94" i="6"/>
  <c r="P94" i="6"/>
  <c r="C97" i="6"/>
  <c r="D97" i="6"/>
  <c r="E97" i="6"/>
  <c r="F97" i="6"/>
  <c r="G97" i="6"/>
  <c r="H97" i="6"/>
  <c r="I97" i="6"/>
  <c r="J97" i="6"/>
  <c r="K97" i="6"/>
  <c r="C98" i="6"/>
  <c r="D98" i="6"/>
  <c r="E98" i="6"/>
  <c r="F98" i="6"/>
  <c r="G98" i="6"/>
  <c r="H98" i="6"/>
  <c r="I98" i="6"/>
  <c r="J98" i="6"/>
  <c r="K98" i="6"/>
  <c r="L98" i="6"/>
  <c r="N98" i="6"/>
  <c r="P98" i="6"/>
  <c r="C99" i="6"/>
  <c r="D99" i="6"/>
  <c r="E99" i="6"/>
  <c r="F99" i="6"/>
  <c r="G99" i="6"/>
  <c r="H99" i="6"/>
  <c r="I99" i="6"/>
  <c r="J99" i="6"/>
  <c r="K99" i="6"/>
  <c r="L99" i="6"/>
  <c r="N99" i="6"/>
  <c r="P99" i="6"/>
  <c r="C100" i="6"/>
  <c r="D100" i="6"/>
  <c r="E100" i="6"/>
  <c r="F100" i="6"/>
  <c r="G100" i="6"/>
  <c r="H100" i="6"/>
  <c r="I100" i="6"/>
  <c r="J100" i="6"/>
  <c r="K100" i="6"/>
  <c r="L100" i="6"/>
  <c r="N100" i="6"/>
  <c r="P100" i="6"/>
  <c r="C101" i="6"/>
  <c r="D101" i="6"/>
  <c r="E101" i="6"/>
  <c r="F101" i="6"/>
  <c r="G101" i="6"/>
  <c r="H101" i="6"/>
  <c r="I101" i="6"/>
  <c r="J101" i="6"/>
  <c r="K101" i="6"/>
  <c r="L101" i="6"/>
  <c r="N101" i="6"/>
  <c r="P101" i="6"/>
  <c r="C102" i="6"/>
  <c r="D102" i="6"/>
  <c r="E102" i="6"/>
  <c r="F102" i="6"/>
  <c r="G102" i="6"/>
  <c r="H102" i="6"/>
  <c r="I102" i="6"/>
  <c r="J102" i="6"/>
  <c r="K102" i="6"/>
  <c r="L102" i="6"/>
  <c r="N102" i="6"/>
  <c r="P102" i="6"/>
  <c r="C103" i="6"/>
  <c r="D103" i="6"/>
  <c r="E103" i="6"/>
  <c r="F103" i="6"/>
  <c r="G103" i="6"/>
  <c r="H103" i="6"/>
  <c r="I103" i="6"/>
  <c r="J103" i="6"/>
  <c r="K103" i="6"/>
  <c r="L103" i="6"/>
  <c r="N103" i="6"/>
  <c r="P103" i="6"/>
  <c r="C104" i="6"/>
  <c r="D104" i="6"/>
  <c r="E104" i="6"/>
  <c r="F104" i="6"/>
  <c r="G104" i="6"/>
  <c r="H104" i="6"/>
  <c r="I104" i="6"/>
  <c r="J104" i="6"/>
  <c r="K104" i="6"/>
  <c r="L104" i="6"/>
  <c r="N104" i="6"/>
  <c r="P104" i="6"/>
  <c r="C106" i="6"/>
  <c r="D106" i="6"/>
  <c r="E106" i="6"/>
  <c r="F106" i="6"/>
  <c r="G106" i="6"/>
  <c r="H106" i="6"/>
  <c r="I106" i="6"/>
  <c r="J106" i="6"/>
  <c r="K106" i="6"/>
  <c r="L106" i="6"/>
  <c r="N106" i="6"/>
  <c r="P106" i="6"/>
  <c r="C107" i="6"/>
  <c r="D107" i="6"/>
  <c r="L107" i="6"/>
  <c r="N107" i="6"/>
  <c r="P107" i="6"/>
  <c r="C110" i="6"/>
  <c r="D110" i="6"/>
  <c r="E110" i="6"/>
  <c r="G112" i="6"/>
  <c r="C118" i="6"/>
  <c r="D118" i="6"/>
  <c r="E118" i="6"/>
  <c r="G119" i="6"/>
  <c r="G122" i="6"/>
  <c r="C124" i="6"/>
  <c r="D124" i="6"/>
  <c r="E124" i="6"/>
  <c r="G124" i="6"/>
  <c r="H124" i="6"/>
  <c r="I124" i="6"/>
  <c r="J124" i="6"/>
  <c r="K124" i="6"/>
  <c r="C128" i="6"/>
  <c r="D128" i="6"/>
  <c r="E128" i="6"/>
  <c r="G128" i="6"/>
  <c r="H128" i="6"/>
  <c r="I128" i="6"/>
  <c r="J128" i="6"/>
  <c r="K128" i="6"/>
  <c r="J129" i="6"/>
  <c r="K129" i="6"/>
  <c r="L129" i="6"/>
  <c r="C131" i="6"/>
  <c r="D131" i="6"/>
  <c r="E131" i="6"/>
  <c r="G131" i="6"/>
  <c r="H131" i="6"/>
  <c r="I131" i="6"/>
  <c r="J131" i="6"/>
  <c r="K131" i="6"/>
  <c r="L131" i="6"/>
  <c r="N131" i="6"/>
  <c r="P131" i="6"/>
  <c r="C132" i="6"/>
  <c r="D132" i="6"/>
  <c r="E132" i="6"/>
  <c r="K132" i="6"/>
  <c r="L132" i="6"/>
  <c r="N132" i="6"/>
  <c r="P132" i="6"/>
  <c r="C133" i="6"/>
  <c r="D133" i="6"/>
  <c r="E133" i="6"/>
  <c r="C135" i="6"/>
  <c r="D135" i="6"/>
  <c r="E135" i="6"/>
  <c r="F135" i="6"/>
  <c r="G135" i="6"/>
  <c r="H135" i="6"/>
  <c r="I135" i="6"/>
  <c r="J135" i="6"/>
  <c r="K135" i="6"/>
  <c r="D136" i="6"/>
  <c r="E136" i="6"/>
  <c r="F136" i="6"/>
  <c r="G136" i="6"/>
  <c r="C137" i="6"/>
  <c r="D137" i="6"/>
  <c r="E137" i="6"/>
  <c r="F137" i="6"/>
  <c r="G137" i="6"/>
  <c r="C139" i="6"/>
  <c r="D139" i="6"/>
  <c r="E139" i="6"/>
  <c r="F139" i="6"/>
  <c r="G139" i="6"/>
  <c r="H139" i="6"/>
  <c r="I139" i="6"/>
  <c r="J139" i="6"/>
  <c r="K139" i="6"/>
  <c r="C141" i="6"/>
  <c r="D141" i="6"/>
  <c r="E141" i="6"/>
  <c r="F141" i="6"/>
  <c r="G141" i="6"/>
  <c r="H141" i="6"/>
  <c r="I141" i="6"/>
  <c r="J141" i="6"/>
  <c r="K141" i="6"/>
  <c r="L141" i="6"/>
  <c r="N141" i="6"/>
  <c r="P141" i="6"/>
  <c r="C142" i="6"/>
  <c r="D142" i="6"/>
  <c r="K142" i="6"/>
  <c r="L142" i="6"/>
  <c r="N142" i="6"/>
  <c r="P142" i="6"/>
  <c r="C145" i="6"/>
  <c r="D145" i="6"/>
  <c r="E145" i="6"/>
  <c r="F145" i="6"/>
  <c r="G145" i="6"/>
  <c r="H145" i="6"/>
  <c r="I145" i="6"/>
  <c r="J145" i="6"/>
  <c r="K145" i="6"/>
  <c r="C147" i="6"/>
  <c r="D147" i="6"/>
  <c r="E147" i="6"/>
  <c r="F147" i="6"/>
  <c r="G147" i="6"/>
  <c r="H147" i="6"/>
  <c r="I147" i="6"/>
  <c r="J147" i="6"/>
  <c r="K147" i="6"/>
  <c r="L147" i="6"/>
  <c r="N147" i="6"/>
  <c r="P147" i="6"/>
  <c r="K149" i="6"/>
  <c r="L149" i="6"/>
  <c r="N149" i="6"/>
  <c r="P149" i="6"/>
  <c r="C151" i="6"/>
  <c r="D151" i="6"/>
  <c r="E151" i="6"/>
  <c r="F151" i="6"/>
  <c r="G151" i="6"/>
  <c r="H151" i="6"/>
  <c r="I151" i="6"/>
  <c r="J151" i="6"/>
  <c r="K151" i="6"/>
  <c r="C152" i="6"/>
  <c r="D152" i="6"/>
  <c r="E152" i="6"/>
  <c r="F152" i="6"/>
  <c r="G152" i="6"/>
  <c r="H152" i="6"/>
  <c r="I152" i="6"/>
  <c r="J152" i="6"/>
  <c r="K152" i="6"/>
  <c r="L152" i="6"/>
  <c r="N152" i="6"/>
  <c r="P152" i="6"/>
  <c r="C153" i="6"/>
  <c r="D153" i="6"/>
  <c r="E153" i="6"/>
  <c r="F153" i="6"/>
  <c r="G153" i="6"/>
  <c r="H153" i="6"/>
  <c r="I153" i="6"/>
  <c r="C154" i="6"/>
  <c r="D154" i="6"/>
  <c r="E154" i="6"/>
  <c r="F154" i="6"/>
  <c r="G154" i="6"/>
  <c r="H154" i="6"/>
  <c r="I154" i="6"/>
  <c r="J154" i="6"/>
  <c r="K154" i="6"/>
  <c r="L154" i="6"/>
  <c r="N154" i="6"/>
  <c r="P154" i="6"/>
  <c r="K155" i="6"/>
  <c r="L155" i="6"/>
  <c r="N155" i="6"/>
  <c r="P155" i="6"/>
  <c r="C158" i="6"/>
  <c r="D158" i="6"/>
  <c r="E158" i="6"/>
  <c r="F158" i="6"/>
  <c r="G158" i="6"/>
  <c r="H158" i="6"/>
  <c r="I158" i="6"/>
  <c r="J158" i="6"/>
  <c r="K158" i="6"/>
  <c r="C159" i="6"/>
  <c r="D159" i="6"/>
  <c r="E159" i="6"/>
  <c r="F159" i="6"/>
  <c r="G159" i="6"/>
  <c r="H159" i="6"/>
  <c r="I159" i="6"/>
  <c r="J159" i="6"/>
  <c r="K159" i="6"/>
  <c r="L159" i="6"/>
  <c r="N159" i="6"/>
  <c r="P159" i="6"/>
  <c r="C160" i="6"/>
  <c r="D160" i="6"/>
  <c r="E160" i="6"/>
  <c r="F160" i="6"/>
  <c r="G160" i="6"/>
  <c r="H160" i="6"/>
  <c r="I160" i="6"/>
  <c r="J160" i="6"/>
  <c r="K160" i="6"/>
  <c r="L160" i="6"/>
  <c r="N160" i="6"/>
  <c r="P160" i="6"/>
  <c r="C161" i="6"/>
  <c r="D161" i="6"/>
  <c r="E161" i="6"/>
  <c r="F161" i="6"/>
  <c r="G161" i="6"/>
  <c r="H161" i="6"/>
  <c r="I161" i="6"/>
  <c r="J161" i="6"/>
  <c r="K161" i="6"/>
  <c r="L161" i="6"/>
  <c r="N161" i="6"/>
  <c r="C162" i="6"/>
  <c r="D162" i="6"/>
  <c r="E162" i="6"/>
  <c r="F162" i="6"/>
  <c r="G162" i="6"/>
  <c r="H162" i="6"/>
  <c r="I162" i="6"/>
  <c r="J162" i="6"/>
  <c r="K162" i="6"/>
  <c r="P164" i="6"/>
  <c r="K166" i="6"/>
  <c r="L166" i="6"/>
  <c r="N166" i="6"/>
  <c r="P166" i="6"/>
  <c r="K167" i="6"/>
  <c r="L167" i="6"/>
  <c r="N167" i="6"/>
  <c r="P167" i="6"/>
  <c r="C170" i="6"/>
  <c r="D170" i="6"/>
  <c r="E170" i="6"/>
  <c r="F170" i="6"/>
  <c r="G170" i="6"/>
  <c r="H170" i="6"/>
  <c r="I170" i="6"/>
  <c r="J170" i="6"/>
  <c r="K170" i="6"/>
  <c r="C171" i="6"/>
  <c r="D171" i="6"/>
  <c r="E171" i="6"/>
  <c r="F171" i="6"/>
  <c r="G171" i="6"/>
  <c r="H171" i="6"/>
  <c r="I171" i="6"/>
  <c r="J171" i="6"/>
  <c r="K171" i="6"/>
  <c r="L171" i="6"/>
  <c r="N171" i="6"/>
  <c r="P171" i="6"/>
  <c r="C174" i="6"/>
  <c r="D174" i="6"/>
  <c r="E174" i="6"/>
  <c r="F174" i="6"/>
  <c r="G174" i="6"/>
  <c r="H174" i="6"/>
  <c r="I174" i="6"/>
  <c r="J174" i="6"/>
  <c r="K174" i="6"/>
  <c r="L174" i="6"/>
  <c r="N174" i="6"/>
  <c r="P174" i="6"/>
  <c r="C175" i="6"/>
  <c r="D175" i="6"/>
  <c r="E175" i="6"/>
  <c r="F175" i="6"/>
  <c r="G175" i="6"/>
  <c r="H175" i="6"/>
  <c r="I175" i="6"/>
  <c r="J175" i="6"/>
  <c r="K175" i="6"/>
  <c r="L175" i="6"/>
  <c r="N175" i="6"/>
  <c r="P175" i="6"/>
  <c r="C177" i="6"/>
  <c r="D177" i="6"/>
  <c r="E177" i="6"/>
  <c r="F177" i="6"/>
  <c r="G177" i="6"/>
  <c r="H177" i="6"/>
  <c r="I177" i="6"/>
  <c r="C178" i="6"/>
  <c r="D178" i="6"/>
  <c r="E178" i="6"/>
  <c r="F178" i="6"/>
  <c r="G178" i="6"/>
  <c r="H178" i="6"/>
  <c r="I178" i="6"/>
  <c r="J178" i="6"/>
  <c r="K178" i="6"/>
  <c r="C181" i="6"/>
  <c r="D181" i="6"/>
  <c r="E181" i="6"/>
  <c r="F181" i="6"/>
  <c r="G181" i="6"/>
  <c r="H181" i="6"/>
  <c r="I181" i="6"/>
  <c r="J181" i="6"/>
  <c r="K181" i="6"/>
  <c r="L181" i="6"/>
  <c r="N181" i="6"/>
  <c r="P181" i="6"/>
  <c r="C182" i="6"/>
  <c r="D182" i="6"/>
  <c r="E182" i="6"/>
  <c r="F182" i="6"/>
  <c r="G182" i="6"/>
  <c r="H182" i="6"/>
  <c r="I182" i="6"/>
  <c r="J182" i="6"/>
  <c r="K182" i="6"/>
  <c r="L182" i="6"/>
  <c r="N182" i="6"/>
  <c r="P182" i="6"/>
  <c r="C184" i="6"/>
  <c r="D184" i="6"/>
  <c r="E184" i="6"/>
  <c r="F184" i="6"/>
  <c r="G184" i="6"/>
  <c r="H184" i="6"/>
  <c r="I184" i="6"/>
  <c r="J184" i="6"/>
  <c r="K184" i="6"/>
  <c r="C185" i="6"/>
  <c r="D185" i="6"/>
  <c r="E185" i="6"/>
  <c r="F185" i="6"/>
  <c r="G185" i="6"/>
  <c r="H185" i="6"/>
  <c r="I185" i="6"/>
  <c r="J185" i="6"/>
  <c r="K185" i="6"/>
  <c r="L185" i="6"/>
  <c r="N185" i="6"/>
  <c r="C187" i="6"/>
  <c r="D187" i="6"/>
  <c r="E187" i="6"/>
  <c r="F187" i="6"/>
  <c r="G187" i="6"/>
  <c r="H187" i="6"/>
  <c r="I187" i="6"/>
  <c r="J187" i="6"/>
  <c r="K187" i="6"/>
  <c r="L187" i="6"/>
  <c r="N187" i="6"/>
  <c r="P187" i="6"/>
  <c r="C188" i="6"/>
  <c r="D188" i="6"/>
  <c r="E188" i="6"/>
  <c r="F188" i="6"/>
  <c r="G188" i="6"/>
  <c r="H188" i="6"/>
  <c r="I188" i="6"/>
  <c r="J188" i="6"/>
  <c r="K188" i="6"/>
  <c r="L188" i="6"/>
  <c r="N188" i="6"/>
  <c r="P188" i="6"/>
  <c r="C191" i="6"/>
  <c r="D191" i="6"/>
  <c r="E191" i="6"/>
  <c r="F191" i="6"/>
  <c r="G191" i="6"/>
  <c r="H191" i="6"/>
  <c r="I191" i="6"/>
  <c r="J191" i="6"/>
  <c r="K191" i="6"/>
  <c r="C192" i="6"/>
  <c r="D192" i="6"/>
  <c r="E192" i="6"/>
  <c r="F192" i="6"/>
  <c r="G192" i="6"/>
  <c r="H192" i="6"/>
  <c r="I192" i="6"/>
  <c r="J192" i="6"/>
  <c r="K192" i="6"/>
  <c r="L192" i="6"/>
  <c r="N192" i="6"/>
  <c r="P192" i="6"/>
  <c r="C193" i="6"/>
  <c r="D193" i="6"/>
  <c r="E193" i="6"/>
  <c r="F193" i="6"/>
  <c r="G193" i="6"/>
  <c r="H193" i="6"/>
  <c r="I193" i="6"/>
  <c r="J193" i="6"/>
  <c r="K193" i="6"/>
  <c r="L193" i="6"/>
  <c r="N193" i="6"/>
  <c r="P193" i="6"/>
  <c r="C195" i="6"/>
  <c r="D195" i="6"/>
  <c r="E195" i="6"/>
  <c r="F195" i="6"/>
  <c r="G195" i="6"/>
  <c r="H195" i="6"/>
  <c r="I195" i="6"/>
  <c r="J195" i="6"/>
  <c r="K195" i="6"/>
  <c r="L195" i="6"/>
  <c r="N195" i="6"/>
  <c r="P195" i="6"/>
  <c r="C196" i="6"/>
  <c r="D196" i="6"/>
  <c r="E196" i="6"/>
  <c r="F196" i="6"/>
  <c r="G196" i="6"/>
  <c r="H196" i="6"/>
  <c r="I196" i="6"/>
  <c r="J196" i="6"/>
  <c r="K196" i="6"/>
  <c r="L196" i="6"/>
  <c r="N196" i="6"/>
  <c r="P196" i="6"/>
  <c r="C199" i="6"/>
  <c r="D199" i="6"/>
  <c r="E199" i="6"/>
  <c r="F199" i="6"/>
  <c r="G199" i="6"/>
  <c r="H199" i="6"/>
  <c r="I199" i="6"/>
  <c r="C201" i="6"/>
  <c r="D201" i="6"/>
  <c r="E201" i="6"/>
  <c r="F201" i="6"/>
  <c r="G201" i="6"/>
  <c r="H201" i="6"/>
  <c r="I201" i="6"/>
  <c r="J201" i="6"/>
  <c r="L201" i="6"/>
  <c r="P201" i="6"/>
  <c r="C202" i="6"/>
  <c r="D203" i="6"/>
  <c r="F203" i="6"/>
  <c r="I203" i="6"/>
  <c r="G204" i="6"/>
  <c r="E205" i="6"/>
  <c r="H205" i="6"/>
  <c r="J205" i="6"/>
  <c r="K205" i="6"/>
  <c r="L205" i="6"/>
  <c r="E208" i="6"/>
  <c r="D209" i="6"/>
  <c r="C210" i="6"/>
  <c r="D210" i="6"/>
  <c r="E210" i="6"/>
  <c r="F210" i="6"/>
  <c r="G210" i="6"/>
  <c r="H210" i="6"/>
  <c r="I210" i="6"/>
  <c r="J210" i="6"/>
  <c r="K210" i="6"/>
  <c r="P210" i="6"/>
  <c r="C213" i="6"/>
  <c r="D213" i="6"/>
  <c r="E213" i="6"/>
  <c r="F213" i="6"/>
  <c r="G213" i="6"/>
  <c r="H213" i="6"/>
  <c r="I213" i="6"/>
  <c r="J213" i="6"/>
  <c r="K213" i="6"/>
  <c r="L213" i="6"/>
  <c r="N213" i="6"/>
  <c r="P213" i="6"/>
  <c r="C214" i="6"/>
  <c r="D214" i="6"/>
  <c r="E214" i="6"/>
  <c r="F214" i="6"/>
  <c r="G214" i="6"/>
  <c r="H214" i="6"/>
  <c r="I214" i="6"/>
  <c r="J214" i="6"/>
  <c r="K214" i="6"/>
  <c r="L214" i="6"/>
  <c r="N214" i="6"/>
  <c r="P214" i="6"/>
  <c r="C215" i="6"/>
  <c r="D215" i="6"/>
  <c r="E215" i="6"/>
  <c r="C217" i="6"/>
  <c r="D217" i="6"/>
  <c r="E217" i="6"/>
  <c r="F217" i="6"/>
  <c r="G217" i="6"/>
  <c r="H217" i="6"/>
  <c r="I217" i="6"/>
  <c r="C218" i="6"/>
  <c r="D218" i="6"/>
  <c r="E218" i="6"/>
  <c r="F218" i="6"/>
  <c r="G218" i="6"/>
  <c r="H218" i="6"/>
  <c r="I218" i="6"/>
  <c r="J218" i="6"/>
  <c r="K218" i="6"/>
  <c r="L218" i="6"/>
  <c r="N218" i="6"/>
  <c r="C220" i="6"/>
  <c r="D220" i="6"/>
  <c r="E220" i="6"/>
  <c r="F220" i="6"/>
  <c r="G220" i="6"/>
  <c r="H220" i="6"/>
  <c r="I220" i="6"/>
  <c r="J220" i="6"/>
  <c r="K220" i="6"/>
  <c r="L220" i="6"/>
  <c r="N220" i="6"/>
  <c r="P220" i="6"/>
  <c r="C221" i="6"/>
  <c r="D221" i="6"/>
  <c r="E221" i="6"/>
  <c r="F221" i="6"/>
  <c r="G221" i="6"/>
  <c r="H221" i="6"/>
  <c r="I221" i="6"/>
  <c r="J221" i="6"/>
  <c r="K221" i="6"/>
  <c r="L221" i="6"/>
  <c r="N221" i="6"/>
  <c r="P221" i="6"/>
  <c r="C223" i="6"/>
  <c r="D223" i="6"/>
  <c r="E223" i="6"/>
  <c r="F223" i="6"/>
  <c r="G223" i="6"/>
  <c r="H223" i="6"/>
  <c r="I223" i="6"/>
  <c r="C224" i="6"/>
  <c r="D224" i="6"/>
  <c r="E224" i="6"/>
  <c r="F224" i="6"/>
  <c r="G224" i="6"/>
  <c r="H224" i="6"/>
  <c r="I224" i="6"/>
  <c r="J224" i="6"/>
  <c r="K224" i="6"/>
  <c r="L224" i="6"/>
  <c r="N224" i="6"/>
  <c r="P224" i="6"/>
  <c r="C225" i="6"/>
  <c r="D225" i="6"/>
  <c r="E225" i="6"/>
  <c r="F225" i="6"/>
  <c r="G225" i="6"/>
  <c r="H225" i="6"/>
  <c r="I225" i="6"/>
  <c r="J225" i="6"/>
  <c r="K225" i="6"/>
  <c r="L225" i="6"/>
  <c r="N225" i="6"/>
  <c r="P225" i="6"/>
  <c r="F227" i="6"/>
  <c r="G227" i="6"/>
  <c r="H227" i="6"/>
  <c r="I227" i="6"/>
  <c r="J227" i="6"/>
  <c r="K227" i="6"/>
  <c r="L227" i="6"/>
  <c r="N227" i="6"/>
  <c r="P227" i="6"/>
  <c r="C228" i="6"/>
  <c r="D228" i="6"/>
  <c r="E228" i="6"/>
  <c r="F228" i="6"/>
  <c r="G228" i="6"/>
  <c r="H228" i="6"/>
  <c r="I228" i="6"/>
  <c r="J228" i="6"/>
  <c r="K228" i="6"/>
  <c r="L228" i="6"/>
  <c r="N228" i="6"/>
  <c r="P228" i="6"/>
  <c r="P229" i="6"/>
  <c r="C231" i="6"/>
  <c r="D231" i="6"/>
  <c r="E231" i="6"/>
  <c r="F231" i="6"/>
  <c r="G231" i="6"/>
  <c r="H231" i="6"/>
  <c r="I231" i="6"/>
  <c r="J231" i="6"/>
  <c r="K231" i="6"/>
  <c r="L231" i="6"/>
  <c r="N231" i="6"/>
  <c r="P231" i="6"/>
  <c r="C232" i="6"/>
  <c r="D232" i="6"/>
  <c r="E232" i="6"/>
  <c r="F232" i="6"/>
  <c r="G232" i="6"/>
  <c r="H232" i="6"/>
  <c r="I232" i="6"/>
  <c r="J232" i="6"/>
  <c r="K232" i="6"/>
  <c r="L232" i="6"/>
  <c r="N232" i="6"/>
  <c r="P232" i="6"/>
  <c r="C234" i="6"/>
  <c r="D234" i="6"/>
  <c r="E234" i="6"/>
  <c r="F234" i="6"/>
  <c r="G234" i="6"/>
  <c r="H234" i="6"/>
  <c r="I234" i="6"/>
  <c r="C235" i="6"/>
  <c r="D235" i="6"/>
  <c r="E235" i="6"/>
  <c r="F235" i="6"/>
  <c r="G235" i="6"/>
  <c r="H235" i="6"/>
  <c r="I235" i="6"/>
  <c r="J235" i="6"/>
  <c r="K235" i="6"/>
  <c r="L235" i="6"/>
  <c r="N235" i="6"/>
  <c r="P235" i="6"/>
  <c r="C236" i="6"/>
  <c r="D236" i="6"/>
  <c r="E236" i="6"/>
  <c r="F236" i="6"/>
  <c r="G236" i="6"/>
  <c r="H236" i="6"/>
  <c r="I236" i="6"/>
  <c r="K236" i="6"/>
  <c r="N236" i="6"/>
  <c r="C237" i="6"/>
  <c r="D237" i="6"/>
  <c r="E237" i="6"/>
  <c r="F237" i="6"/>
  <c r="G237" i="6"/>
  <c r="H237" i="6"/>
  <c r="I237" i="6"/>
  <c r="J237" i="6"/>
  <c r="K237" i="6"/>
  <c r="L237" i="6"/>
  <c r="N237" i="6"/>
  <c r="P237" i="6"/>
  <c r="C239" i="6"/>
  <c r="D239" i="6"/>
  <c r="E239" i="6"/>
  <c r="F239" i="6"/>
  <c r="G239" i="6"/>
  <c r="H239" i="6"/>
  <c r="I239" i="6"/>
  <c r="J239" i="6"/>
  <c r="K239" i="6"/>
  <c r="L239" i="6"/>
  <c r="N239" i="6"/>
  <c r="P239" i="6"/>
  <c r="C241" i="6"/>
  <c r="D241" i="6"/>
  <c r="E241" i="6"/>
  <c r="F241" i="6"/>
  <c r="G241" i="6"/>
  <c r="H241" i="6"/>
  <c r="I241" i="6"/>
  <c r="J241" i="6"/>
  <c r="K241" i="6"/>
  <c r="L241" i="6"/>
  <c r="N241" i="6"/>
  <c r="P241" i="6"/>
  <c r="P244" i="6"/>
  <c r="D4" i="23"/>
  <c r="J4" i="23"/>
  <c r="L4" i="23"/>
  <c r="N4" i="23"/>
  <c r="O4" i="23"/>
  <c r="P4" i="23"/>
  <c r="D5" i="23"/>
  <c r="J5" i="23"/>
  <c r="L5" i="23"/>
  <c r="N5" i="23"/>
  <c r="O5" i="23"/>
  <c r="P5" i="23"/>
  <c r="D6" i="23"/>
  <c r="J6" i="23"/>
  <c r="L6" i="23"/>
  <c r="N6" i="23"/>
  <c r="O6" i="23"/>
  <c r="P6" i="23"/>
  <c r="D7" i="23"/>
  <c r="J7" i="23"/>
  <c r="L7" i="23"/>
  <c r="N7" i="23"/>
  <c r="O7" i="23"/>
  <c r="P7" i="23"/>
  <c r="D8" i="23"/>
  <c r="J8" i="23"/>
  <c r="L8" i="23"/>
  <c r="N8" i="23"/>
  <c r="O8" i="23"/>
  <c r="P8" i="23"/>
  <c r="D9" i="23"/>
  <c r="J9" i="23"/>
  <c r="L9" i="23"/>
  <c r="N9" i="23"/>
  <c r="O9" i="23"/>
  <c r="P9" i="23"/>
  <c r="D10" i="23"/>
  <c r="J10" i="23"/>
  <c r="L10" i="23"/>
  <c r="N10" i="23"/>
  <c r="O10" i="23"/>
  <c r="P10" i="23"/>
  <c r="D11" i="23"/>
  <c r="J11" i="23"/>
  <c r="L11" i="23"/>
  <c r="N11" i="23"/>
  <c r="O11" i="23"/>
  <c r="P11" i="23"/>
  <c r="D12" i="23"/>
  <c r="J12" i="23"/>
  <c r="L12" i="23"/>
  <c r="N12" i="23"/>
  <c r="O12" i="23"/>
  <c r="P12" i="23"/>
  <c r="D13" i="23"/>
  <c r="J13" i="23"/>
  <c r="L13" i="23"/>
  <c r="N13" i="23"/>
  <c r="O13" i="23"/>
  <c r="P13" i="23"/>
  <c r="D14" i="23"/>
  <c r="J14" i="23"/>
  <c r="L14" i="23"/>
  <c r="N14" i="23"/>
  <c r="O14" i="23"/>
  <c r="P14" i="23"/>
  <c r="B15" i="23"/>
  <c r="D15" i="23"/>
  <c r="J15" i="23"/>
  <c r="L15" i="23"/>
  <c r="N15" i="23"/>
  <c r="O15" i="23"/>
  <c r="P15" i="23"/>
  <c r="B16" i="23"/>
  <c r="C16" i="23"/>
  <c r="D16" i="23"/>
  <c r="H16" i="23"/>
  <c r="I16" i="23"/>
  <c r="J16" i="23"/>
  <c r="K16" i="23"/>
  <c r="L16" i="23"/>
  <c r="M16" i="23"/>
  <c r="N16" i="23"/>
  <c r="O16" i="23"/>
  <c r="P16" i="23"/>
  <c r="B18" i="23"/>
  <c r="H18" i="23"/>
  <c r="D25" i="23"/>
  <c r="J25" i="23"/>
  <c r="L25" i="23"/>
  <c r="N25" i="23"/>
  <c r="O25" i="23"/>
  <c r="P25" i="23"/>
  <c r="D26" i="23"/>
  <c r="E26" i="23"/>
  <c r="J26" i="23"/>
  <c r="L26" i="23"/>
  <c r="N26" i="23"/>
  <c r="O26" i="23"/>
  <c r="P26" i="23"/>
  <c r="D27" i="23"/>
  <c r="E27" i="23"/>
  <c r="J27" i="23"/>
  <c r="L27" i="23"/>
  <c r="N27" i="23"/>
  <c r="O27" i="23"/>
  <c r="P27" i="23"/>
  <c r="D28" i="23"/>
  <c r="E28" i="23"/>
  <c r="J28" i="23"/>
  <c r="L28" i="23"/>
  <c r="N28" i="23"/>
  <c r="O28" i="23"/>
  <c r="P28" i="23"/>
  <c r="D29" i="23"/>
  <c r="E29" i="23"/>
  <c r="H29" i="23"/>
  <c r="J29" i="23"/>
  <c r="L29" i="23"/>
  <c r="N29" i="23"/>
  <c r="O29" i="23"/>
  <c r="P29" i="23"/>
  <c r="D30" i="23"/>
  <c r="E30" i="23"/>
  <c r="J30" i="23"/>
  <c r="L30" i="23"/>
  <c r="N30" i="23"/>
  <c r="O30" i="23"/>
  <c r="P30" i="23"/>
  <c r="D31" i="23"/>
  <c r="E31" i="23"/>
  <c r="J31" i="23"/>
  <c r="L31" i="23"/>
  <c r="N31" i="23"/>
  <c r="O31" i="23"/>
  <c r="P31" i="23"/>
  <c r="D32" i="23"/>
  <c r="E32" i="23"/>
  <c r="J32" i="23"/>
  <c r="L32" i="23"/>
  <c r="N32" i="23"/>
  <c r="O32" i="23"/>
  <c r="P32" i="23"/>
  <c r="D33" i="23"/>
  <c r="E33" i="23"/>
  <c r="J33" i="23"/>
  <c r="L33" i="23"/>
  <c r="N33" i="23"/>
  <c r="O33" i="23"/>
  <c r="P33" i="23"/>
  <c r="D34" i="23"/>
  <c r="E34" i="23"/>
  <c r="J34" i="23"/>
  <c r="L34" i="23"/>
  <c r="N34" i="23"/>
  <c r="O34" i="23"/>
  <c r="P34" i="23"/>
  <c r="D35" i="23"/>
  <c r="E35" i="23"/>
  <c r="J35" i="23"/>
  <c r="L35" i="23"/>
  <c r="N35" i="23"/>
  <c r="O35" i="23"/>
  <c r="P35" i="23"/>
  <c r="D36" i="23"/>
  <c r="E36" i="23"/>
  <c r="J36" i="23"/>
  <c r="L36" i="23"/>
  <c r="N36" i="23"/>
  <c r="O36" i="23"/>
  <c r="P36" i="23"/>
  <c r="B37" i="23"/>
  <c r="C37" i="23"/>
  <c r="D37" i="23"/>
  <c r="H37" i="23"/>
  <c r="I37" i="23"/>
  <c r="J37" i="23"/>
  <c r="K37" i="23"/>
  <c r="L37" i="23"/>
  <c r="M37" i="23"/>
  <c r="N37" i="23"/>
  <c r="O37" i="23"/>
  <c r="P37" i="23"/>
  <c r="B39" i="23"/>
  <c r="H39" i="23"/>
  <c r="K40" i="23"/>
  <c r="G42" i="23"/>
  <c r="D51" i="23"/>
  <c r="E51" i="23"/>
  <c r="J51" i="23"/>
  <c r="L51" i="23"/>
  <c r="N51" i="23"/>
  <c r="O51" i="23"/>
  <c r="P51" i="23"/>
  <c r="D52" i="23"/>
  <c r="E52" i="23"/>
  <c r="J52" i="23"/>
  <c r="L52" i="23"/>
  <c r="N52" i="23"/>
  <c r="O52" i="23"/>
  <c r="P52" i="23"/>
  <c r="D53" i="23"/>
  <c r="E53" i="23"/>
  <c r="J53" i="23"/>
  <c r="L53" i="23"/>
  <c r="N53" i="23"/>
  <c r="O53" i="23"/>
  <c r="P53" i="23"/>
  <c r="D54" i="23"/>
  <c r="E54" i="23"/>
  <c r="J54" i="23"/>
  <c r="L54" i="23"/>
  <c r="N54" i="23"/>
  <c r="O54" i="23"/>
  <c r="P54" i="23"/>
  <c r="D55" i="23"/>
  <c r="E55" i="23"/>
  <c r="J55" i="23"/>
  <c r="L55" i="23"/>
  <c r="N55" i="23"/>
  <c r="O55" i="23"/>
  <c r="P55" i="23"/>
  <c r="D56" i="23"/>
  <c r="E56" i="23"/>
  <c r="J56" i="23"/>
  <c r="L56" i="23"/>
  <c r="N56" i="23"/>
  <c r="O56" i="23"/>
  <c r="P56" i="23"/>
  <c r="D57" i="23"/>
  <c r="E57" i="23"/>
  <c r="J57" i="23"/>
  <c r="L57" i="23"/>
  <c r="N57" i="23"/>
  <c r="O57" i="23"/>
  <c r="P57" i="23"/>
  <c r="D58" i="23"/>
  <c r="E58" i="23"/>
  <c r="J58" i="23"/>
  <c r="L58" i="23"/>
  <c r="N58" i="23"/>
  <c r="O58" i="23"/>
  <c r="P58" i="23"/>
  <c r="D59" i="23"/>
  <c r="E59" i="23"/>
  <c r="J59" i="23"/>
  <c r="L59" i="23"/>
  <c r="N59" i="23"/>
  <c r="O59" i="23"/>
  <c r="P59" i="23"/>
  <c r="D60" i="23"/>
  <c r="E60" i="23"/>
  <c r="J60" i="23"/>
  <c r="L60" i="23"/>
  <c r="N60" i="23"/>
  <c r="O60" i="23"/>
  <c r="P60" i="23"/>
  <c r="D61" i="23"/>
  <c r="E61" i="23"/>
  <c r="J61" i="23"/>
  <c r="L61" i="23"/>
  <c r="N61" i="23"/>
  <c r="O61" i="23"/>
  <c r="P61" i="23"/>
  <c r="D62" i="23"/>
  <c r="E62" i="23"/>
  <c r="J62" i="23"/>
  <c r="L62" i="23"/>
  <c r="N62" i="23"/>
  <c r="O62" i="23"/>
  <c r="P62" i="23"/>
  <c r="B63" i="23"/>
  <c r="C63" i="23"/>
  <c r="D63" i="23"/>
  <c r="H63" i="23"/>
  <c r="I63" i="23"/>
  <c r="J63" i="23"/>
  <c r="K63" i="23"/>
  <c r="L63" i="23"/>
  <c r="M63" i="23"/>
  <c r="N63" i="23"/>
  <c r="O63" i="23"/>
  <c r="P63" i="23"/>
  <c r="B65" i="23"/>
  <c r="H65" i="23"/>
  <c r="I65" i="23"/>
  <c r="G68" i="23"/>
  <c r="D73" i="23"/>
  <c r="E73" i="23"/>
  <c r="J73" i="23"/>
  <c r="L73" i="23"/>
  <c r="N73" i="23"/>
  <c r="O73" i="23"/>
  <c r="P73" i="23"/>
  <c r="D74" i="23"/>
  <c r="E74" i="23"/>
  <c r="J74" i="23"/>
  <c r="L74" i="23"/>
  <c r="N74" i="23"/>
  <c r="O74" i="23"/>
  <c r="P74" i="23"/>
  <c r="D75" i="23"/>
  <c r="E75" i="23"/>
  <c r="J75" i="23"/>
  <c r="L75" i="23"/>
  <c r="N75" i="23"/>
  <c r="O75" i="23"/>
  <c r="P75" i="23"/>
  <c r="D76" i="23"/>
  <c r="E76" i="23"/>
  <c r="J76" i="23"/>
  <c r="L76" i="23"/>
  <c r="N76" i="23"/>
  <c r="O76" i="23"/>
  <c r="P76" i="23"/>
  <c r="D77" i="23"/>
  <c r="E77" i="23"/>
  <c r="J77" i="23"/>
  <c r="L77" i="23"/>
  <c r="N77" i="23"/>
  <c r="O77" i="23"/>
  <c r="P77" i="23"/>
  <c r="D78" i="23"/>
  <c r="E78" i="23"/>
  <c r="J78" i="23"/>
  <c r="L78" i="23"/>
  <c r="N78" i="23"/>
  <c r="O78" i="23"/>
  <c r="P78" i="23"/>
  <c r="D79" i="23"/>
  <c r="E79" i="23"/>
  <c r="J79" i="23"/>
  <c r="L79" i="23"/>
  <c r="N79" i="23"/>
  <c r="O79" i="23"/>
  <c r="P79" i="23"/>
  <c r="D80" i="23"/>
  <c r="E80" i="23"/>
  <c r="J80" i="23"/>
  <c r="L80" i="23"/>
  <c r="N80" i="23"/>
  <c r="O80" i="23"/>
  <c r="P80" i="23"/>
  <c r="D81" i="23"/>
  <c r="E81" i="23"/>
  <c r="J81" i="23"/>
  <c r="L81" i="23"/>
  <c r="N81" i="23"/>
  <c r="O81" i="23"/>
  <c r="P81" i="23"/>
  <c r="D82" i="23"/>
  <c r="E82" i="23"/>
  <c r="J82" i="23"/>
  <c r="L82" i="23"/>
  <c r="N82" i="23"/>
  <c r="O82" i="23"/>
  <c r="P82" i="23"/>
  <c r="D83" i="23"/>
  <c r="E83" i="23"/>
  <c r="J83" i="23"/>
  <c r="L83" i="23"/>
  <c r="N83" i="23"/>
  <c r="O83" i="23"/>
  <c r="P83" i="23"/>
  <c r="D84" i="23"/>
  <c r="E84" i="23"/>
  <c r="J84" i="23"/>
  <c r="L84" i="23"/>
  <c r="N84" i="23"/>
  <c r="O84" i="23"/>
  <c r="P84" i="23"/>
  <c r="B85" i="23"/>
  <c r="C85" i="23"/>
  <c r="D85" i="23"/>
  <c r="H85" i="23"/>
  <c r="I85" i="23"/>
  <c r="J85" i="23"/>
  <c r="K85" i="23"/>
  <c r="L85" i="23"/>
  <c r="M85" i="23"/>
  <c r="N85" i="23"/>
  <c r="O85" i="23"/>
  <c r="P85" i="23"/>
  <c r="B87" i="23"/>
  <c r="H87" i="23"/>
  <c r="I87" i="23"/>
  <c r="G90" i="23"/>
  <c r="K101" i="23"/>
  <c r="D108" i="23"/>
  <c r="E108" i="23"/>
  <c r="J108" i="23"/>
  <c r="L108" i="23"/>
  <c r="N108" i="23"/>
  <c r="O108" i="23"/>
  <c r="P108" i="23"/>
  <c r="D109" i="23"/>
  <c r="E109" i="23"/>
  <c r="J109" i="23"/>
  <c r="L109" i="23"/>
  <c r="N109" i="23"/>
  <c r="O109" i="23"/>
  <c r="P109" i="23"/>
  <c r="D110" i="23"/>
  <c r="E110" i="23"/>
  <c r="J110" i="23"/>
  <c r="L110" i="23"/>
  <c r="N110" i="23"/>
  <c r="O110" i="23"/>
  <c r="P110" i="23"/>
  <c r="D111" i="23"/>
  <c r="E111" i="23"/>
  <c r="J111" i="23"/>
  <c r="L111" i="23"/>
  <c r="N111" i="23"/>
  <c r="O111" i="23"/>
  <c r="P111" i="23"/>
  <c r="D112" i="23"/>
  <c r="E112" i="23"/>
  <c r="J112" i="23"/>
  <c r="L112" i="23"/>
  <c r="N112" i="23"/>
  <c r="O112" i="23"/>
  <c r="P112" i="23"/>
  <c r="D113" i="23"/>
  <c r="E113" i="23"/>
  <c r="J113" i="23"/>
  <c r="L113" i="23"/>
  <c r="N113" i="23"/>
  <c r="O113" i="23"/>
  <c r="P113" i="23"/>
  <c r="D114" i="23"/>
  <c r="E114" i="23"/>
  <c r="J114" i="23"/>
  <c r="L114" i="23"/>
  <c r="N114" i="23"/>
  <c r="O114" i="23"/>
  <c r="P114" i="23"/>
  <c r="D115" i="23"/>
  <c r="E115" i="23"/>
  <c r="J115" i="23"/>
  <c r="L115" i="23"/>
  <c r="N115" i="23"/>
  <c r="O115" i="23"/>
  <c r="P115" i="23"/>
  <c r="D116" i="23"/>
  <c r="E116" i="23"/>
  <c r="J116" i="23"/>
  <c r="L116" i="23"/>
  <c r="N116" i="23"/>
  <c r="O116" i="23"/>
  <c r="P116" i="23"/>
  <c r="D117" i="23"/>
  <c r="E117" i="23"/>
  <c r="J117" i="23"/>
  <c r="L117" i="23"/>
  <c r="N117" i="23"/>
  <c r="O117" i="23"/>
  <c r="P117" i="23"/>
  <c r="D118" i="23"/>
  <c r="E118" i="23"/>
  <c r="J118" i="23"/>
  <c r="L118" i="23"/>
  <c r="N118" i="23"/>
  <c r="O118" i="23"/>
  <c r="P118" i="23"/>
  <c r="D119" i="23"/>
  <c r="E119" i="23"/>
  <c r="J119" i="23"/>
  <c r="L119" i="23"/>
  <c r="N119" i="23"/>
  <c r="O119" i="23"/>
  <c r="P119" i="23"/>
  <c r="B120" i="23"/>
  <c r="C120" i="23"/>
  <c r="D120" i="23"/>
  <c r="H120" i="23"/>
  <c r="I120" i="23"/>
  <c r="J120" i="23"/>
  <c r="K120" i="23"/>
  <c r="L120" i="23"/>
  <c r="M120" i="23"/>
  <c r="N120" i="23"/>
  <c r="O120" i="23"/>
  <c r="P120" i="23"/>
  <c r="C122" i="23"/>
  <c r="H122" i="23"/>
  <c r="I122" i="23"/>
  <c r="G125" i="23"/>
  <c r="K125" i="23"/>
  <c r="K126" i="23"/>
  <c r="K127" i="23"/>
  <c r="D136" i="23"/>
  <c r="E136" i="23"/>
  <c r="J136" i="23"/>
  <c r="L136" i="23"/>
  <c r="N136" i="23"/>
  <c r="O136" i="23"/>
  <c r="P136" i="23"/>
  <c r="D137" i="23"/>
  <c r="E137" i="23"/>
  <c r="J137" i="23"/>
  <c r="L137" i="23"/>
  <c r="N137" i="23"/>
  <c r="O137" i="23"/>
  <c r="P137" i="23"/>
  <c r="D138" i="23"/>
  <c r="E138" i="23"/>
  <c r="J138" i="23"/>
  <c r="L138" i="23"/>
  <c r="N138" i="23"/>
  <c r="O138" i="23"/>
  <c r="P138" i="23"/>
  <c r="D139" i="23"/>
  <c r="E139" i="23"/>
  <c r="J139" i="23"/>
  <c r="L139" i="23"/>
  <c r="N139" i="23"/>
  <c r="O139" i="23"/>
  <c r="P139" i="23"/>
  <c r="D140" i="23"/>
  <c r="E140" i="23"/>
  <c r="J140" i="23"/>
  <c r="L140" i="23"/>
  <c r="N140" i="23"/>
  <c r="O140" i="23"/>
  <c r="P140" i="23"/>
  <c r="D141" i="23"/>
  <c r="E141" i="23"/>
  <c r="J141" i="23"/>
  <c r="L141" i="23"/>
  <c r="N141" i="23"/>
  <c r="O141" i="23"/>
  <c r="P141" i="23"/>
  <c r="D142" i="23"/>
  <c r="E142" i="23"/>
  <c r="J142" i="23"/>
  <c r="L142" i="23"/>
  <c r="N142" i="23"/>
  <c r="O142" i="23"/>
  <c r="P142" i="23"/>
  <c r="D143" i="23"/>
  <c r="E143" i="23"/>
  <c r="J143" i="23"/>
  <c r="L143" i="23"/>
  <c r="N143" i="23"/>
  <c r="O143" i="23"/>
  <c r="P143" i="23"/>
  <c r="D144" i="23"/>
  <c r="E144" i="23"/>
  <c r="J144" i="23"/>
  <c r="L144" i="23"/>
  <c r="N144" i="23"/>
  <c r="O144" i="23"/>
  <c r="P144" i="23"/>
  <c r="D145" i="23"/>
  <c r="E145" i="23"/>
  <c r="J145" i="23"/>
  <c r="L145" i="23"/>
  <c r="N145" i="23"/>
  <c r="O145" i="23"/>
  <c r="P145" i="23"/>
  <c r="D146" i="23"/>
  <c r="E146" i="23"/>
  <c r="J146" i="23"/>
  <c r="L146" i="23"/>
  <c r="N146" i="23"/>
  <c r="O146" i="23"/>
  <c r="P146" i="23"/>
  <c r="D147" i="23"/>
  <c r="E147" i="23"/>
  <c r="J147" i="23"/>
  <c r="L147" i="23"/>
  <c r="N147" i="23"/>
  <c r="O147" i="23"/>
  <c r="P147" i="23"/>
  <c r="B148" i="23"/>
  <c r="C148" i="23"/>
  <c r="D148" i="23"/>
  <c r="H148" i="23"/>
  <c r="I148" i="23"/>
  <c r="J148" i="23"/>
  <c r="K148" i="23"/>
  <c r="L148" i="23"/>
  <c r="M148" i="23"/>
  <c r="N148" i="23"/>
  <c r="O148" i="23"/>
  <c r="P148" i="23"/>
  <c r="C150" i="23"/>
  <c r="H150" i="23"/>
  <c r="I150" i="23"/>
  <c r="G153" i="23"/>
  <c r="K153" i="23"/>
  <c r="K154" i="23"/>
  <c r="K155" i="23"/>
  <c r="C12" i="12"/>
  <c r="D12" i="12"/>
  <c r="E12" i="12"/>
  <c r="F12" i="12"/>
  <c r="G12" i="12"/>
  <c r="H12" i="12"/>
  <c r="I12" i="12"/>
  <c r="J12" i="12"/>
  <c r="H14" i="12"/>
  <c r="C17" i="12"/>
  <c r="D17" i="12"/>
  <c r="E17" i="12"/>
  <c r="F17" i="12"/>
  <c r="G17" i="12"/>
  <c r="H17" i="12"/>
  <c r="I17" i="12"/>
  <c r="J17" i="12"/>
  <c r="C34" i="12"/>
  <c r="D34" i="12"/>
  <c r="E34" i="12"/>
  <c r="F34" i="12"/>
  <c r="G34" i="12"/>
  <c r="H34" i="12"/>
  <c r="I34" i="12"/>
  <c r="J34" i="12"/>
  <c r="C43" i="12"/>
  <c r="D43" i="12"/>
  <c r="E43" i="12"/>
  <c r="F43" i="12"/>
  <c r="G43" i="12"/>
  <c r="H43" i="12"/>
  <c r="I43" i="12"/>
  <c r="J43" i="12"/>
  <c r="C62" i="12"/>
  <c r="D62" i="12"/>
  <c r="E62" i="12"/>
  <c r="F62" i="12"/>
  <c r="G62" i="12"/>
  <c r="H62" i="12"/>
  <c r="I62" i="12"/>
  <c r="J62" i="12"/>
  <c r="C66" i="12"/>
  <c r="D66" i="12"/>
  <c r="E66" i="12"/>
  <c r="F66" i="12"/>
  <c r="G66" i="12"/>
  <c r="H66" i="12"/>
  <c r="I66" i="12"/>
  <c r="J66" i="12"/>
  <c r="C70" i="12"/>
  <c r="D70" i="12"/>
  <c r="C73" i="12"/>
  <c r="D73" i="12"/>
  <c r="E73" i="12"/>
  <c r="F73" i="12"/>
  <c r="G73" i="12"/>
  <c r="H73" i="12"/>
  <c r="I73" i="12"/>
  <c r="J73" i="12"/>
  <c r="C74" i="12"/>
  <c r="D74" i="12"/>
  <c r="E74" i="12"/>
  <c r="F74" i="12"/>
  <c r="G74" i="12"/>
  <c r="H74" i="12"/>
  <c r="I74" i="12"/>
  <c r="J74" i="12"/>
  <c r="E78" i="12"/>
  <c r="F78" i="12"/>
  <c r="G78" i="12"/>
  <c r="H78" i="12"/>
  <c r="I78" i="12"/>
  <c r="J78" i="12"/>
  <c r="C79" i="12"/>
  <c r="D79" i="12"/>
  <c r="E79" i="12"/>
  <c r="F79" i="12"/>
  <c r="G79" i="12"/>
  <c r="H79" i="12"/>
  <c r="I79" i="12"/>
  <c r="J79" i="12"/>
  <c r="C83" i="12"/>
  <c r="D83" i="12"/>
  <c r="E83" i="12"/>
  <c r="F83" i="12"/>
  <c r="G83" i="12"/>
  <c r="H83" i="12"/>
  <c r="I83" i="12"/>
  <c r="J83" i="12"/>
  <c r="C90" i="12"/>
  <c r="D90" i="12"/>
  <c r="E90" i="12"/>
  <c r="F90" i="12"/>
  <c r="G90" i="12"/>
  <c r="H90" i="12"/>
  <c r="I90" i="12"/>
  <c r="J90" i="12"/>
  <c r="C91" i="12"/>
  <c r="D91" i="12"/>
  <c r="E91" i="12"/>
  <c r="F91" i="12"/>
  <c r="G91" i="12"/>
  <c r="H91" i="12"/>
  <c r="I91" i="12"/>
  <c r="J91" i="12"/>
  <c r="I94" i="12"/>
  <c r="J94" i="12"/>
  <c r="C98" i="12"/>
  <c r="D98" i="12"/>
  <c r="E98" i="12"/>
  <c r="F98" i="12"/>
  <c r="G98" i="12"/>
  <c r="H98" i="12"/>
  <c r="I98" i="12"/>
  <c r="J98" i="12"/>
  <c r="C99" i="12"/>
  <c r="D99" i="12"/>
  <c r="E99" i="12"/>
  <c r="F99" i="12"/>
  <c r="G99" i="12"/>
  <c r="H99" i="12"/>
  <c r="I99" i="12"/>
  <c r="J99" i="12"/>
  <c r="C102" i="12"/>
  <c r="D102" i="12"/>
  <c r="E102" i="12"/>
  <c r="F102" i="12"/>
  <c r="G102" i="12"/>
  <c r="H102" i="12"/>
  <c r="I102" i="12"/>
  <c r="J102" i="12"/>
  <c r="C103" i="12"/>
  <c r="D103" i="12"/>
  <c r="E103" i="12"/>
  <c r="F103" i="12"/>
  <c r="G103" i="12"/>
  <c r="H103" i="12"/>
  <c r="I103" i="12"/>
  <c r="J103" i="12"/>
  <c r="C104" i="12"/>
  <c r="D104" i="12"/>
  <c r="E104" i="12"/>
  <c r="F104" i="12"/>
  <c r="G104" i="12"/>
  <c r="H104" i="12"/>
  <c r="I104" i="12"/>
  <c r="J104" i="12"/>
  <c r="C107" i="12"/>
  <c r="D107" i="12"/>
  <c r="E107" i="12"/>
  <c r="F107" i="12"/>
  <c r="G107" i="12"/>
  <c r="H107" i="12"/>
  <c r="I107" i="12"/>
  <c r="J107" i="12"/>
  <c r="D10" i="11"/>
  <c r="E10" i="11"/>
  <c r="F10" i="11"/>
  <c r="G10" i="11"/>
  <c r="H10" i="11"/>
  <c r="I10" i="11"/>
  <c r="J10" i="11"/>
  <c r="K10" i="11"/>
  <c r="D18" i="11"/>
  <c r="E18" i="11"/>
  <c r="F18" i="11"/>
  <c r="G18" i="11"/>
  <c r="H18" i="11"/>
  <c r="I18" i="11"/>
  <c r="J18" i="11"/>
  <c r="K18" i="11"/>
  <c r="D20" i="11"/>
  <c r="H20" i="11"/>
  <c r="I20" i="11"/>
  <c r="J20" i="11"/>
  <c r="K20" i="11"/>
  <c r="G23" i="11"/>
  <c r="H23" i="11"/>
  <c r="I23" i="11"/>
  <c r="J23" i="11"/>
  <c r="K23" i="11"/>
  <c r="F31" i="11"/>
  <c r="G31" i="11"/>
  <c r="H31" i="11"/>
  <c r="I31" i="11"/>
  <c r="J31" i="11"/>
  <c r="K31" i="11"/>
  <c r="E32" i="11"/>
  <c r="D38" i="11"/>
  <c r="D31" i="11"/>
  <c r="D58" i="11"/>
  <c r="E38" i="11"/>
  <c r="E31" i="11"/>
  <c r="F38" i="11"/>
  <c r="G38" i="11"/>
  <c r="H38" i="11"/>
  <c r="I38" i="11"/>
  <c r="J38" i="11"/>
  <c r="K38" i="11"/>
  <c r="F40" i="11"/>
  <c r="G40" i="11"/>
  <c r="J40" i="11"/>
  <c r="K40" i="11"/>
  <c r="E43" i="11"/>
  <c r="H43" i="11"/>
  <c r="I43" i="11"/>
  <c r="J43" i="11"/>
  <c r="K43" i="11"/>
  <c r="D48" i="11"/>
  <c r="E48" i="11"/>
  <c r="F48" i="11"/>
  <c r="G48" i="11"/>
  <c r="H48" i="11"/>
  <c r="I48" i="11"/>
  <c r="J48" i="11"/>
  <c r="K48" i="11"/>
  <c r="D49" i="11"/>
  <c r="F49" i="11"/>
  <c r="H49" i="11"/>
  <c r="J49" i="11"/>
  <c r="K49" i="11"/>
  <c r="D52" i="11"/>
  <c r="F58" i="11"/>
  <c r="G58" i="11"/>
  <c r="H58" i="11"/>
  <c r="I58" i="11"/>
  <c r="J58" i="11"/>
  <c r="K58" i="11"/>
  <c r="L58" i="11"/>
  <c r="M58" i="11"/>
  <c r="N58" i="11"/>
  <c r="O58" i="11"/>
  <c r="P58" i="11"/>
  <c r="D67" i="11"/>
  <c r="E67" i="11"/>
  <c r="F67" i="11"/>
  <c r="G67" i="11"/>
  <c r="H67" i="11"/>
  <c r="I67" i="11"/>
  <c r="J67" i="11"/>
  <c r="K67" i="11"/>
  <c r="D68" i="11"/>
  <c r="E68" i="11"/>
  <c r="F68" i="11"/>
  <c r="G68" i="11"/>
  <c r="H68" i="11"/>
  <c r="I68" i="11"/>
  <c r="J68" i="11"/>
  <c r="K68" i="11"/>
  <c r="L68" i="11"/>
  <c r="M68" i="11"/>
  <c r="N68" i="11"/>
  <c r="O68" i="11"/>
  <c r="P68" i="11"/>
  <c r="D77" i="11"/>
  <c r="E77" i="11"/>
  <c r="F77" i="11"/>
  <c r="G77" i="11"/>
  <c r="H77" i="11"/>
  <c r="I77" i="11"/>
  <c r="J77" i="11"/>
  <c r="K77" i="11"/>
  <c r="D78" i="11"/>
  <c r="E78" i="11"/>
  <c r="F78" i="11"/>
  <c r="G78" i="11"/>
  <c r="H78" i="11"/>
  <c r="I78" i="11"/>
  <c r="J78" i="11"/>
  <c r="K78" i="11"/>
  <c r="D89" i="11"/>
  <c r="E89" i="11"/>
  <c r="F89" i="11"/>
  <c r="G89" i="11"/>
  <c r="H89" i="11"/>
  <c r="I89" i="11"/>
  <c r="J89" i="11"/>
  <c r="K89" i="11"/>
  <c r="D98" i="11"/>
  <c r="E98" i="11"/>
  <c r="F98" i="11"/>
  <c r="G98" i="11"/>
  <c r="H98" i="11"/>
  <c r="I98" i="11"/>
  <c r="J98" i="11"/>
  <c r="K98" i="11"/>
  <c r="G102" i="11"/>
  <c r="H102" i="11"/>
  <c r="J102" i="11"/>
  <c r="K102" i="11"/>
  <c r="I103" i="11"/>
  <c r="F105" i="11"/>
  <c r="K105" i="11"/>
  <c r="J107" i="11"/>
  <c r="D112" i="11"/>
  <c r="E112" i="11"/>
  <c r="F112" i="11"/>
  <c r="G112" i="11"/>
  <c r="H112" i="11"/>
  <c r="I112" i="11"/>
  <c r="J112" i="11"/>
  <c r="K112" i="11"/>
  <c r="L112" i="11"/>
  <c r="M112" i="11"/>
  <c r="N112" i="11"/>
  <c r="O112" i="11"/>
  <c r="P112" i="11"/>
  <c r="Q112" i="11"/>
  <c r="R112" i="11"/>
  <c r="F119" i="11"/>
  <c r="G119" i="11"/>
  <c r="H119" i="11"/>
  <c r="I119" i="11"/>
  <c r="J119" i="11"/>
  <c r="K119" i="11"/>
  <c r="L119" i="11"/>
  <c r="M119" i="11"/>
  <c r="N119" i="11"/>
  <c r="O119" i="11"/>
  <c r="P119" i="11"/>
  <c r="Q119" i="11"/>
  <c r="R119" i="11"/>
  <c r="F12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30" i="22"/>
  <c r="F5" i="25"/>
  <c r="E6" i="25"/>
  <c r="F7" i="25"/>
  <c r="E8" i="25"/>
  <c r="F9" i="25"/>
  <c r="F10" i="25"/>
  <c r="F11" i="25"/>
  <c r="F12" i="25"/>
  <c r="F13" i="25"/>
  <c r="F14" i="25"/>
  <c r="E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50" i="25"/>
  <c r="F51" i="25"/>
  <c r="F52" i="25"/>
  <c r="F53" i="25"/>
  <c r="F54" i="25"/>
  <c r="F55" i="25"/>
  <c r="F56" i="25"/>
  <c r="F57" i="25"/>
  <c r="F58" i="25"/>
  <c r="F59" i="25"/>
  <c r="F60" i="25"/>
  <c r="F61" i="25"/>
  <c r="F62" i="25"/>
  <c r="F63" i="25"/>
  <c r="F64" i="25"/>
  <c r="F65" i="25"/>
  <c r="E78" i="25"/>
  <c r="F79" i="25"/>
  <c r="E79" i="25"/>
  <c r="F80" i="25"/>
  <c r="E81" i="25"/>
  <c r="F82" i="25"/>
  <c r="E83" i="25"/>
  <c r="F86" i="25"/>
  <c r="F89" i="25"/>
  <c r="F90" i="25"/>
  <c r="F91" i="25"/>
  <c r="F93" i="25"/>
  <c r="F94" i="25"/>
  <c r="F95" i="25"/>
  <c r="F96" i="25"/>
  <c r="F97" i="25"/>
  <c r="F98" i="25"/>
  <c r="F99" i="25"/>
  <c r="F100" i="25"/>
  <c r="F102" i="25"/>
  <c r="F103" i="25"/>
  <c r="F104" i="25"/>
  <c r="F105" i="25"/>
  <c r="F106" i="25"/>
  <c r="F107" i="25"/>
  <c r="F108" i="25"/>
  <c r="F109" i="25"/>
  <c r="F110" i="25"/>
  <c r="F111" i="25"/>
  <c r="F114" i="25"/>
  <c r="E115" i="25"/>
  <c r="E116" i="25"/>
  <c r="F117" i="25"/>
  <c r="F119" i="25"/>
  <c r="F120" i="25"/>
  <c r="F121" i="25"/>
  <c r="F122" i="25"/>
  <c r="F124" i="25"/>
  <c r="F125" i="25"/>
  <c r="F129" i="25"/>
  <c r="F130" i="25"/>
  <c r="F131" i="25"/>
  <c r="F132" i="25"/>
  <c r="F133" i="25"/>
  <c r="F134" i="25"/>
  <c r="F135" i="25"/>
  <c r="F136" i="25"/>
  <c r="F137" i="25"/>
  <c r="F138" i="25"/>
  <c r="F139" i="25"/>
  <c r="F140" i="25"/>
  <c r="F141" i="25"/>
  <c r="F142" i="25"/>
  <c r="F143" i="25"/>
  <c r="F144" i="25"/>
  <c r="F145" i="25"/>
  <c r="F146" i="25"/>
  <c r="F147" i="25"/>
  <c r="F148" i="25"/>
  <c r="F149" i="25"/>
  <c r="F150" i="25"/>
  <c r="F151" i="25"/>
  <c r="F152" i="25"/>
  <c r="F153" i="25"/>
  <c r="F154" i="25"/>
  <c r="F155" i="25"/>
  <c r="F156" i="25"/>
  <c r="F157" i="25"/>
  <c r="F158" i="25"/>
  <c r="F159" i="25"/>
  <c r="F160" i="25"/>
  <c r="F161" i="25"/>
  <c r="F162" i="25"/>
  <c r="F163" i="25"/>
  <c r="F164" i="25"/>
  <c r="F165" i="25"/>
  <c r="F166" i="25"/>
  <c r="F167" i="25"/>
  <c r="F168" i="25"/>
  <c r="F169" i="25"/>
  <c r="F170" i="25"/>
  <c r="F171" i="25"/>
  <c r="F172" i="25"/>
  <c r="F173" i="25"/>
  <c r="F174" i="25"/>
  <c r="F175" i="25"/>
  <c r="F176" i="25"/>
  <c r="F177" i="25"/>
  <c r="F178" i="25"/>
  <c r="F179" i="25"/>
  <c r="F180" i="25"/>
  <c r="F181" i="25"/>
  <c r="F182" i="25"/>
  <c r="F183" i="25"/>
  <c r="F184" i="25"/>
  <c r="F185" i="25"/>
  <c r="F186" i="25"/>
  <c r="F187" i="25"/>
  <c r="F188" i="25"/>
  <c r="F189" i="25"/>
  <c r="F190" i="25"/>
  <c r="F191" i="25"/>
  <c r="F192" i="25"/>
  <c r="F193" i="25"/>
  <c r="F194" i="25"/>
  <c r="F195" i="25"/>
  <c r="F196" i="25"/>
  <c r="F197" i="25"/>
  <c r="F198" i="25"/>
  <c r="F199" i="25"/>
  <c r="F200" i="25"/>
  <c r="F201" i="25"/>
  <c r="F202" i="25"/>
  <c r="F203" i="25"/>
  <c r="F204" i="25"/>
  <c r="F205" i="25"/>
  <c r="F206" i="25"/>
  <c r="F207" i="25"/>
  <c r="F208" i="25"/>
  <c r="F209" i="25"/>
  <c r="F210" i="25"/>
  <c r="F211" i="25"/>
  <c r="F212" i="25"/>
  <c r="F213" i="25"/>
  <c r="F214" i="25"/>
  <c r="F215" i="25"/>
  <c r="F216" i="25"/>
  <c r="F217" i="25"/>
  <c r="F218" i="25"/>
  <c r="F220" i="25"/>
  <c r="F221" i="25"/>
  <c r="F222" i="25"/>
  <c r="F223" i="25"/>
  <c r="F224" i="25"/>
  <c r="F227" i="25"/>
  <c r="F230" i="25"/>
  <c r="F231" i="25"/>
  <c r="F232" i="25"/>
  <c r="F233" i="25"/>
  <c r="F234" i="25"/>
  <c r="F235" i="25"/>
  <c r="F236" i="25"/>
  <c r="F237" i="25"/>
  <c r="F238" i="25"/>
  <c r="F239" i="25"/>
  <c r="F240" i="25"/>
  <c r="F241" i="25"/>
  <c r="F242" i="25"/>
  <c r="F243" i="25"/>
  <c r="F244" i="25"/>
  <c r="F245" i="25"/>
  <c r="F246" i="25"/>
  <c r="F247" i="25"/>
  <c r="F248" i="25"/>
  <c r="F249" i="25"/>
  <c r="F250" i="25"/>
  <c r="F251" i="25"/>
  <c r="F252" i="25"/>
  <c r="F253" i="25"/>
  <c r="F254" i="25"/>
  <c r="E255" i="25"/>
  <c r="F255" i="25"/>
  <c r="E256" i="25"/>
  <c r="F256" i="25"/>
  <c r="F257" i="25"/>
  <c r="F258" i="25"/>
  <c r="F259" i="25"/>
  <c r="F260" i="25"/>
  <c r="F261" i="25"/>
  <c r="F262" i="25"/>
  <c r="F263" i="25"/>
  <c r="F264" i="25"/>
  <c r="F265" i="25"/>
  <c r="F266" i="25"/>
  <c r="F267" i="25"/>
  <c r="F268" i="25"/>
  <c r="F269" i="25"/>
  <c r="F270" i="25"/>
  <c r="F271" i="25"/>
  <c r="F272" i="25"/>
  <c r="F273" i="25"/>
  <c r="F274" i="25"/>
  <c r="F275" i="25"/>
  <c r="F276" i="25"/>
  <c r="F277" i="25"/>
  <c r="F278" i="25"/>
  <c r="F279" i="25"/>
  <c r="F280" i="25"/>
  <c r="F281" i="25"/>
  <c r="F282" i="25"/>
  <c r="F283" i="25"/>
  <c r="F284" i="25"/>
  <c r="E285" i="25"/>
  <c r="F285" i="25"/>
  <c r="F288" i="25"/>
  <c r="F289" i="25"/>
  <c r="F290" i="25"/>
  <c r="F291" i="25"/>
  <c r="F292" i="25"/>
  <c r="E292" i="25"/>
  <c r="F293" i="25"/>
  <c r="F294" i="25"/>
  <c r="F295" i="25"/>
  <c r="F296" i="25"/>
  <c r="F297" i="25"/>
  <c r="F298" i="25"/>
  <c r="F299" i="25"/>
  <c r="F300" i="25"/>
  <c r="F301" i="25"/>
  <c r="F302" i="25"/>
  <c r="F303" i="25"/>
  <c r="F304" i="25"/>
  <c r="F305" i="25"/>
  <c r="F306" i="25"/>
  <c r="F307" i="25"/>
  <c r="F308" i="25"/>
  <c r="F309" i="25"/>
  <c r="E310" i="25"/>
  <c r="F311" i="25"/>
  <c r="F312" i="25"/>
  <c r="F313" i="25"/>
  <c r="F314" i="25"/>
  <c r="F315" i="25"/>
  <c r="F316" i="25"/>
  <c r="F317" i="25"/>
  <c r="F318" i="25"/>
  <c r="F319" i="25"/>
  <c r="F320" i="25"/>
  <c r="F321" i="25"/>
  <c r="E322" i="25"/>
  <c r="F324" i="25"/>
  <c r="E325" i="25"/>
  <c r="F325" i="25"/>
  <c r="F326" i="25"/>
  <c r="F327" i="25"/>
  <c r="F328" i="25"/>
  <c r="F329" i="25"/>
  <c r="F330" i="25"/>
  <c r="E331" i="25"/>
  <c r="F331" i="25"/>
  <c r="F332" i="25"/>
  <c r="F333" i="25"/>
  <c r="J23" i="21"/>
  <c r="M23" i="21"/>
  <c r="G8" i="16"/>
  <c r="G9" i="16"/>
  <c r="D10" i="16"/>
  <c r="E10" i="16"/>
  <c r="G10" i="16"/>
  <c r="D11" i="16"/>
  <c r="G11" i="16"/>
  <c r="E11" i="16"/>
  <c r="F11" i="16"/>
  <c r="D12" i="16"/>
  <c r="G12" i="16"/>
  <c r="E12" i="16"/>
  <c r="G13" i="16"/>
  <c r="G14" i="16"/>
  <c r="G15" i="16"/>
  <c r="G16" i="16"/>
  <c r="E17" i="16"/>
  <c r="F17" i="16"/>
  <c r="D23" i="16"/>
  <c r="G23" i="16"/>
  <c r="G24" i="16"/>
  <c r="G25" i="16"/>
  <c r="D26" i="16"/>
  <c r="E26" i="16"/>
  <c r="G26" i="16"/>
  <c r="D27" i="16"/>
  <c r="G27" i="16"/>
  <c r="E27" i="16"/>
  <c r="D28" i="16"/>
  <c r="G28" i="16"/>
  <c r="E28" i="16"/>
  <c r="G30" i="16"/>
  <c r="G31" i="16"/>
  <c r="G32" i="16"/>
  <c r="E33" i="16"/>
  <c r="F33" i="16"/>
  <c r="D38" i="16"/>
  <c r="G38" i="16"/>
  <c r="G39" i="16"/>
  <c r="G40" i="16"/>
  <c r="D41" i="16"/>
  <c r="E41" i="16"/>
  <c r="F41" i="16"/>
  <c r="G41" i="16"/>
  <c r="E42" i="16"/>
  <c r="F42" i="16"/>
  <c r="E43" i="16"/>
  <c r="E48" i="16"/>
  <c r="F43" i="16"/>
  <c r="G44" i="16"/>
  <c r="G45" i="16"/>
  <c r="G46" i="16"/>
  <c r="G47" i="16"/>
  <c r="F48" i="16"/>
  <c r="L13" i="14"/>
  <c r="L14" i="14"/>
  <c r="L17" i="14"/>
  <c r="L18" i="14"/>
  <c r="L19" i="14"/>
  <c r="L21" i="14"/>
  <c r="L22" i="14"/>
  <c r="L24" i="14"/>
  <c r="L25" i="14"/>
  <c r="L26" i="14"/>
  <c r="F28" i="14"/>
  <c r="G28" i="14"/>
  <c r="H28" i="14"/>
  <c r="I28" i="14"/>
  <c r="I30" i="14"/>
  <c r="J28" i="14"/>
  <c r="K28" i="14"/>
  <c r="F29" i="14"/>
  <c r="G29" i="14"/>
  <c r="H29" i="14"/>
  <c r="I29" i="14"/>
  <c r="F344" i="25"/>
  <c r="J29" i="14"/>
  <c r="K29" i="14"/>
  <c r="L29" i="14"/>
  <c r="F30" i="14"/>
  <c r="G30" i="14"/>
  <c r="H30" i="14"/>
  <c r="K30" i="14"/>
  <c r="H7" i="13"/>
  <c r="I7" i="13"/>
  <c r="K7" i="13"/>
  <c r="H12" i="13"/>
  <c r="I12" i="13"/>
  <c r="K12" i="13"/>
  <c r="K13" i="13"/>
  <c r="K15" i="13"/>
  <c r="C16" i="13"/>
  <c r="F16" i="13"/>
  <c r="H16" i="13"/>
  <c r="I16" i="13"/>
  <c r="K16" i="13"/>
  <c r="H19" i="13"/>
  <c r="I19" i="13"/>
  <c r="K19" i="13"/>
  <c r="I20" i="13"/>
  <c r="K20" i="13"/>
  <c r="I21" i="13"/>
  <c r="K21" i="13"/>
  <c r="I22" i="13"/>
  <c r="K22" i="13"/>
  <c r="C23" i="13"/>
  <c r="D23" i="13"/>
  <c r="E23" i="13"/>
  <c r="F23" i="13"/>
  <c r="H23" i="13"/>
  <c r="I23" i="13"/>
  <c r="K23" i="13"/>
  <c r="D8" i="3"/>
  <c r="E8" i="3"/>
  <c r="F8" i="3"/>
  <c r="G8" i="3"/>
  <c r="H8" i="3"/>
  <c r="I8" i="3"/>
  <c r="J8" i="3"/>
  <c r="K8" i="3"/>
  <c r="L8" i="3"/>
  <c r="M8" i="3"/>
  <c r="N8" i="3"/>
  <c r="O8" i="3"/>
  <c r="P8" i="3"/>
  <c r="R8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R10" i="3"/>
  <c r="D11" i="3"/>
  <c r="E11" i="3"/>
  <c r="F11" i="3"/>
  <c r="G11" i="3"/>
  <c r="H11" i="3"/>
  <c r="I11" i="3"/>
  <c r="J11" i="3"/>
  <c r="K11" i="3"/>
  <c r="L11" i="3"/>
  <c r="M11" i="3"/>
  <c r="N11" i="3"/>
  <c r="O11" i="3"/>
  <c r="R11" i="3"/>
  <c r="P12" i="3"/>
  <c r="F15" i="3"/>
  <c r="G15" i="3"/>
  <c r="H15" i="3"/>
  <c r="I15" i="3"/>
  <c r="J15" i="3"/>
  <c r="K15" i="3"/>
  <c r="L15" i="3"/>
  <c r="M15" i="3"/>
  <c r="N15" i="3"/>
  <c r="O15" i="3"/>
  <c r="P15" i="3"/>
  <c r="R15" i="3"/>
  <c r="F17" i="3"/>
  <c r="G17" i="3"/>
  <c r="H17" i="3"/>
  <c r="I17" i="3"/>
  <c r="J17" i="3"/>
  <c r="K17" i="3"/>
  <c r="L17" i="3"/>
  <c r="M17" i="3"/>
  <c r="N17" i="3"/>
  <c r="O17" i="3"/>
  <c r="P17" i="3"/>
  <c r="R17" i="3"/>
  <c r="E18" i="3"/>
  <c r="F18" i="3"/>
  <c r="G18" i="3"/>
  <c r="H18" i="3"/>
  <c r="I18" i="3"/>
  <c r="J18" i="3"/>
  <c r="K18" i="3"/>
  <c r="L18" i="3"/>
  <c r="M18" i="3"/>
  <c r="N18" i="3"/>
  <c r="O18" i="3"/>
  <c r="P18" i="3"/>
  <c r="R18" i="3"/>
  <c r="F19" i="3"/>
  <c r="G19" i="3"/>
  <c r="H19" i="3"/>
  <c r="I19" i="3"/>
  <c r="J19" i="3"/>
  <c r="K19" i="3"/>
  <c r="L19" i="3"/>
  <c r="M19" i="3"/>
  <c r="N19" i="3"/>
  <c r="O19" i="3"/>
  <c r="P19" i="3"/>
  <c r="R19" i="3"/>
  <c r="F23" i="3"/>
  <c r="G23" i="3"/>
  <c r="H23" i="3"/>
  <c r="I23" i="3"/>
  <c r="J23" i="3"/>
  <c r="K23" i="3"/>
  <c r="L23" i="3"/>
  <c r="M23" i="3"/>
  <c r="N23" i="3"/>
  <c r="O23" i="3"/>
  <c r="P23" i="3"/>
  <c r="R23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R26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R31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R35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R38" i="3"/>
  <c r="F40" i="3"/>
  <c r="G40" i="3"/>
  <c r="H40" i="3"/>
  <c r="I40" i="3"/>
  <c r="J40" i="3"/>
  <c r="K40" i="3"/>
  <c r="L40" i="3"/>
  <c r="M40" i="3"/>
  <c r="N40" i="3"/>
  <c r="O40" i="3"/>
  <c r="P40" i="3"/>
  <c r="R40" i="3"/>
  <c r="E42" i="3"/>
  <c r="F42" i="3"/>
  <c r="G42" i="3"/>
  <c r="H42" i="3"/>
  <c r="I42" i="3"/>
  <c r="J42" i="3"/>
  <c r="K42" i="3"/>
  <c r="L42" i="3"/>
  <c r="M42" i="3"/>
  <c r="N42" i="3"/>
  <c r="O42" i="3"/>
  <c r="P42" i="3"/>
  <c r="R42" i="3"/>
  <c r="G43" i="3"/>
  <c r="H43" i="3"/>
  <c r="I43" i="3"/>
  <c r="J43" i="3"/>
  <c r="K43" i="3"/>
  <c r="L43" i="3"/>
  <c r="M43" i="3"/>
  <c r="N43" i="3"/>
  <c r="O43" i="3"/>
  <c r="P43" i="3"/>
  <c r="R43" i="3"/>
  <c r="D8" i="2"/>
  <c r="E8" i="2"/>
  <c r="F8" i="2"/>
  <c r="G8" i="2"/>
  <c r="H8" i="2"/>
  <c r="I8" i="2"/>
  <c r="J8" i="2"/>
  <c r="K8" i="2"/>
  <c r="L8" i="2"/>
  <c r="M8" i="2"/>
  <c r="N8" i="2"/>
  <c r="O8" i="2"/>
  <c r="P8" i="2"/>
  <c r="R8" i="2"/>
  <c r="D9" i="2"/>
  <c r="E9" i="2"/>
  <c r="F9" i="2"/>
  <c r="G9" i="2"/>
  <c r="H9" i="2"/>
  <c r="I9" i="2"/>
  <c r="J9" i="2"/>
  <c r="K9" i="2"/>
  <c r="L9" i="2"/>
  <c r="M9" i="2"/>
  <c r="N9" i="2"/>
  <c r="O9" i="2"/>
  <c r="P9" i="2"/>
  <c r="R9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R12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R13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R14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R15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R16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R21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R23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R25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R27" i="2"/>
  <c r="D8" i="1"/>
  <c r="E8" i="1"/>
  <c r="F8" i="1"/>
  <c r="G8" i="1"/>
  <c r="H8" i="1"/>
  <c r="I8" i="1"/>
  <c r="J8" i="1"/>
  <c r="K8" i="1"/>
  <c r="L8" i="1"/>
  <c r="M8" i="1"/>
  <c r="N8" i="1"/>
  <c r="O8" i="1"/>
  <c r="P8" i="1"/>
  <c r="R8" i="1"/>
  <c r="T8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R10" i="1"/>
  <c r="T10" i="1"/>
  <c r="D12" i="1"/>
  <c r="D16" i="1"/>
  <c r="D29" i="1"/>
  <c r="D37" i="1"/>
  <c r="E12" i="1"/>
  <c r="E16" i="1"/>
  <c r="F12" i="1"/>
  <c r="G12" i="1"/>
  <c r="H12" i="1"/>
  <c r="I12" i="1"/>
  <c r="J12" i="1"/>
  <c r="K12" i="1"/>
  <c r="L12" i="1"/>
  <c r="M12" i="1"/>
  <c r="N12" i="1"/>
  <c r="O12" i="1"/>
  <c r="P12" i="1"/>
  <c r="R12" i="1"/>
  <c r="T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R13" i="1"/>
  <c r="T13" i="1"/>
  <c r="F16" i="1"/>
  <c r="G16" i="1"/>
  <c r="H16" i="1"/>
  <c r="I16" i="1"/>
  <c r="J16" i="1"/>
  <c r="K16" i="1"/>
  <c r="L16" i="1"/>
  <c r="M16" i="1"/>
  <c r="N16" i="1"/>
  <c r="O16" i="1"/>
  <c r="P16" i="1"/>
  <c r="R16" i="1"/>
  <c r="T16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R18" i="1"/>
  <c r="T18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R19" i="1"/>
  <c r="T19" i="1"/>
  <c r="D20" i="1"/>
  <c r="F20" i="1"/>
  <c r="G20" i="1"/>
  <c r="H20" i="1"/>
  <c r="I20" i="1"/>
  <c r="J20" i="1"/>
  <c r="K20" i="1"/>
  <c r="L20" i="1"/>
  <c r="M20" i="1"/>
  <c r="N20" i="1"/>
  <c r="O20" i="1"/>
  <c r="P20" i="1"/>
  <c r="R20" i="1"/>
  <c r="T20" i="1"/>
  <c r="D21" i="1"/>
  <c r="F21" i="1"/>
  <c r="G21" i="1"/>
  <c r="H21" i="1"/>
  <c r="I21" i="1"/>
  <c r="J21" i="1"/>
  <c r="K21" i="1"/>
  <c r="L21" i="1"/>
  <c r="M21" i="1"/>
  <c r="N21" i="1"/>
  <c r="O21" i="1"/>
  <c r="P21" i="1"/>
  <c r="R21" i="1"/>
  <c r="T21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R23" i="1"/>
  <c r="T23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R26" i="1"/>
  <c r="T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R27" i="1"/>
  <c r="T27" i="1"/>
  <c r="F29" i="1"/>
  <c r="G29" i="1"/>
  <c r="H29" i="1"/>
  <c r="I29" i="1"/>
  <c r="J29" i="1"/>
  <c r="K29" i="1"/>
  <c r="L29" i="1"/>
  <c r="M29" i="1"/>
  <c r="N29" i="1"/>
  <c r="O29" i="1"/>
  <c r="P29" i="1"/>
  <c r="R29" i="1"/>
  <c r="T29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R33" i="1"/>
  <c r="T33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R36" i="1"/>
  <c r="T36" i="1"/>
  <c r="F37" i="1"/>
  <c r="G37" i="1"/>
  <c r="H37" i="1"/>
  <c r="I37" i="1"/>
  <c r="J37" i="1"/>
  <c r="K37" i="1"/>
  <c r="L37" i="1"/>
  <c r="M37" i="1"/>
  <c r="N37" i="1"/>
  <c r="O37" i="1"/>
  <c r="P37" i="1"/>
  <c r="R37" i="1"/>
  <c r="T37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R42" i="1"/>
  <c r="T42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R44" i="1"/>
  <c r="T44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R45" i="1"/>
  <c r="T45" i="1"/>
  <c r="D46" i="1"/>
  <c r="D18" i="3"/>
  <c r="E46" i="1"/>
  <c r="F46" i="1"/>
  <c r="G46" i="1"/>
  <c r="H46" i="1"/>
  <c r="I46" i="1"/>
  <c r="J46" i="1"/>
  <c r="K46" i="1"/>
  <c r="L46" i="1"/>
  <c r="M46" i="1"/>
  <c r="N46" i="1"/>
  <c r="O46" i="1"/>
  <c r="P46" i="1"/>
  <c r="R46" i="1"/>
  <c r="T46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R47" i="1"/>
  <c r="T47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R49" i="1"/>
  <c r="T49" i="1"/>
  <c r="D54" i="1"/>
  <c r="D72" i="1"/>
  <c r="E54" i="1"/>
  <c r="F54" i="1"/>
  <c r="G54" i="1"/>
  <c r="H54" i="1"/>
  <c r="I54" i="1"/>
  <c r="J54" i="1"/>
  <c r="K54" i="1"/>
  <c r="L54" i="1"/>
  <c r="M54" i="1"/>
  <c r="N54" i="1"/>
  <c r="O54" i="1"/>
  <c r="P54" i="1"/>
  <c r="R54" i="1"/>
  <c r="T54" i="1"/>
  <c r="R56" i="1"/>
  <c r="T56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R60" i="1"/>
  <c r="T60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R65" i="1"/>
  <c r="T65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R66" i="1"/>
  <c r="T66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R67" i="1"/>
  <c r="T67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R68" i="1"/>
  <c r="T68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R69" i="1"/>
  <c r="T69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R70" i="1"/>
  <c r="T70" i="1"/>
  <c r="E72" i="1"/>
  <c r="F72" i="1"/>
  <c r="G72" i="1"/>
  <c r="H72" i="1"/>
  <c r="I72" i="1"/>
  <c r="J72" i="1"/>
  <c r="K72" i="1"/>
  <c r="L72" i="1"/>
  <c r="M72" i="1"/>
  <c r="N72" i="1"/>
  <c r="O72" i="1"/>
  <c r="P72" i="1"/>
  <c r="R72" i="1"/>
  <c r="T72" i="1"/>
  <c r="F78" i="1"/>
  <c r="G78" i="1"/>
  <c r="H78" i="1"/>
  <c r="I78" i="1"/>
  <c r="J78" i="1"/>
  <c r="K78" i="1"/>
  <c r="L78" i="1"/>
  <c r="M78" i="1"/>
  <c r="N78" i="1"/>
  <c r="O78" i="1"/>
  <c r="P78" i="1"/>
  <c r="R78" i="1"/>
  <c r="T78" i="1"/>
  <c r="D42" i="16"/>
  <c r="G42" i="16"/>
  <c r="G33" i="16"/>
  <c r="G17" i="16"/>
  <c r="L28" i="14"/>
  <c r="L30" i="14"/>
  <c r="F346" i="25"/>
  <c r="J30" i="14"/>
  <c r="D33" i="16"/>
  <c r="D43" i="16"/>
  <c r="D17" i="16"/>
  <c r="D15" i="3"/>
  <c r="E58" i="11"/>
  <c r="E119" i="11"/>
  <c r="E15" i="3"/>
  <c r="E29" i="1"/>
  <c r="E37" i="1"/>
  <c r="E78" i="1"/>
  <c r="E17" i="3"/>
  <c r="E19" i="3"/>
  <c r="E23" i="3"/>
  <c r="E40" i="3"/>
  <c r="E43" i="3"/>
  <c r="D42" i="3"/>
  <c r="F348" i="25"/>
  <c r="D48" i="16"/>
  <c r="G43" i="16"/>
  <c r="G48" i="16"/>
  <c r="D119" i="11"/>
  <c r="D19" i="3"/>
  <c r="D23" i="3"/>
  <c r="D40" i="3"/>
  <c r="D43" i="3"/>
  <c r="D78" i="1"/>
</calcChain>
</file>

<file path=xl/sharedStrings.xml><?xml version="1.0" encoding="utf-8"?>
<sst xmlns="http://schemas.openxmlformats.org/spreadsheetml/2006/main" count="2340" uniqueCount="1078">
  <si>
    <t>AKTlVET</t>
  </si>
  <si>
    <t>Mjete monetare</t>
  </si>
  <si>
    <t>Totali</t>
  </si>
  <si>
    <t>lnstrumente te tjera borxhi</t>
  </si>
  <si>
    <t>lnvestime te tjera financiare</t>
  </si>
  <si>
    <t>Inventari</t>
  </si>
  <si>
    <t>Prodhim ne proces</t>
  </si>
  <si>
    <t>Aktivet afatgjata</t>
  </si>
  <si>
    <t>Detyrime tatimore</t>
  </si>
  <si>
    <t>Rezerva te tjera</t>
  </si>
  <si>
    <t>Shitjet neto</t>
  </si>
  <si>
    <t>Shpenzime te personelit</t>
  </si>
  <si>
    <t>Te ardhurat dhe shpenzimet financiare</t>
  </si>
  <si>
    <t>Fitimi (humbja) para tatimit</t>
  </si>
  <si>
    <t>Shpenzimet e tatimit mbi fitimin</t>
  </si>
  <si>
    <t>Fitimi (humbja) neto e vitit financiar</t>
  </si>
  <si>
    <t>Interesi i paguar</t>
  </si>
  <si>
    <t>Tatimfitimi i paguar</t>
  </si>
  <si>
    <t>Fluksi i parave nga veprimtarite investuese</t>
  </si>
  <si>
    <t>Interesi i arketuar</t>
  </si>
  <si>
    <t>Dividendet e arketuar</t>
  </si>
  <si>
    <t>Te ardhura nga emetimi i kapitalit aksionar</t>
  </si>
  <si>
    <t>Pagesat e detyrimeve te qirase financiare</t>
  </si>
  <si>
    <t>Rritja/renia neto e mjeteve monetare</t>
  </si>
  <si>
    <t>Mjetet monetare ne fund te periudhes kontabel</t>
  </si>
  <si>
    <t>Pasqyra e fluksit te parave - Metoda indirekte</t>
  </si>
  <si>
    <t>Fluksi i parave nga veprimtarite e shfrvtezimit</t>
  </si>
  <si>
    <t>Fitimi para tatimit</t>
  </si>
  <si>
    <t>RreguIIime per:</t>
  </si>
  <si>
    <t>Amortizimin</t>
  </si>
  <si>
    <t>Humbje nga kembimet vaIutore</t>
  </si>
  <si>
    <t>Te ardhura nga investimet</t>
  </si>
  <si>
    <t>Shpenzime per interesa</t>
  </si>
  <si>
    <t>Rritie/renie ne tepricen inventarit</t>
  </si>
  <si>
    <t>Parate e perftuara nga aktivitetet</t>
  </si>
  <si>
    <t>Bleria e shoqerise se kontrolluar X minus parate e arketuara</t>
  </si>
  <si>
    <t>Blerja e aktiveve afatgiata materiale</t>
  </si>
  <si>
    <t>Te ardhura nga shitja e paiisjeve</t>
  </si>
  <si>
    <t>Te ardhura nga huamarrie afatgjata</t>
  </si>
  <si>
    <t>Kapitali</t>
  </si>
  <si>
    <t>Derivative dhe aktive financiare te mbajtura per tregtim</t>
  </si>
  <si>
    <t>Aktivet afatshkurtra</t>
  </si>
  <si>
    <t>Aktive te tjera financiare afatshkurtra</t>
  </si>
  <si>
    <t>Llogari/Kerkesa te tjera te arketueshme</t>
  </si>
  <si>
    <t>Mallra per rishitje</t>
  </si>
  <si>
    <t>Parapagesat per furnizime</t>
  </si>
  <si>
    <t>Aktivet biologjike afatshkurtra</t>
  </si>
  <si>
    <t>Aktivet afatshkurtra te mbajtura per shitje</t>
  </si>
  <si>
    <t>Parapagimet dhe shpenzimet e shtyra</t>
  </si>
  <si>
    <t>Aktivet totale afatshkurtra</t>
  </si>
  <si>
    <t>Investimet financiare afatgjata</t>
  </si>
  <si>
    <t>Llogari / Kerkesa te arketueshme</t>
  </si>
  <si>
    <t>Aktive afatgjata materiale</t>
  </si>
  <si>
    <t>Aktivet biologjike afatgjata</t>
  </si>
  <si>
    <t>Aktivet afatgjata jomateriale</t>
  </si>
  <si>
    <t>Totali i aktiveve afatgjata</t>
  </si>
  <si>
    <t>TOTALl I AKTIVEVE</t>
  </si>
  <si>
    <t>Huamarjet</t>
  </si>
  <si>
    <t>Huate dhe parapagimet</t>
  </si>
  <si>
    <t>Te pagueshme ndaj furnitoreve</t>
  </si>
  <si>
    <t>Te pagueshme ndaj punonjesve</t>
  </si>
  <si>
    <t>Hua te tjera</t>
  </si>
  <si>
    <t>Parapagime te arketuara</t>
  </si>
  <si>
    <t>Grande dhe te ardhura te shtyra</t>
  </si>
  <si>
    <t>Provizionet afatshkurter</t>
  </si>
  <si>
    <t>Totali i pasiveve Afatshkurter</t>
  </si>
  <si>
    <t>Pasivet Afatgjata</t>
  </si>
  <si>
    <t>Hua Afatgjata</t>
  </si>
  <si>
    <t>Huamarje te tjera Afatgjata</t>
  </si>
  <si>
    <t>Provizione Afatgjata</t>
  </si>
  <si>
    <t>Totali i pasiveve Afatgjata</t>
  </si>
  <si>
    <t>KAPITALI</t>
  </si>
  <si>
    <t>Rezerva Statutore</t>
  </si>
  <si>
    <t>Rezerva Ligjore</t>
  </si>
  <si>
    <t>Fitime te pa shperndara</t>
  </si>
  <si>
    <t>Fitim ( Humbj) e vitit financiar</t>
  </si>
  <si>
    <t xml:space="preserve">P ASIVET DHE KAPIT ALl </t>
  </si>
  <si>
    <t>TOTALl I PASIVEVE DHE KAPITALIT</t>
  </si>
  <si>
    <t>Te ardhura te tjera nga veprimtarite e shfrytezimit</t>
  </si>
  <si>
    <t>Ndryshimet ne inventarin e produkteve te gatshme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</si>
  <si>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</si>
  <si>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</si>
  <si>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</si>
  <si>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Renia ne vlere (zhvleresimi) dhe amortizimi</t>
  </si>
  <si>
    <t>Fitimi (humbja) nga veprimtarite e shfrytezimit</t>
  </si>
  <si>
    <t>Te ardhurat dhe shpenzimet financiare nga njesite e kontrolluara</t>
  </si>
  <si>
    <t>Te ardhurat dhe shpenzimet financiare nga pjesmarrjet</t>
  </si>
  <si>
    <t>Viti 2008</t>
  </si>
  <si>
    <t>Rritje/renie ne tepricen e kerkesave te arketueshme nga aktiviteti, si dhe kerkesave te arketueshme te tjera</t>
  </si>
  <si>
    <t>Paraja neto, e perdorur ne aktivitetet investuese</t>
  </si>
  <si>
    <t>Mjetet monetare ne tilIim te periudhes kontabel</t>
  </si>
  <si>
    <t>Fluksi i parave nga veprimtarite financiare</t>
  </si>
  <si>
    <t>Kapitali aksionar</t>
  </si>
  <si>
    <t>VITI 2008</t>
  </si>
  <si>
    <t>Te tjera detyrime</t>
  </si>
  <si>
    <t>VITI 2007</t>
  </si>
  <si>
    <t>(shumat ne Leke)</t>
  </si>
  <si>
    <t>Dif Konvertimi</t>
  </si>
  <si>
    <t>TE TJERA SHENIMET</t>
  </si>
  <si>
    <t>31 Dhjetor 2007</t>
  </si>
  <si>
    <t>Para ne dore</t>
  </si>
  <si>
    <t>Para ne Banka</t>
  </si>
  <si>
    <t>Magazinat</t>
  </si>
  <si>
    <t>Klientet</t>
  </si>
  <si>
    <t>Furnitoret</t>
  </si>
  <si>
    <t>Tatim Page</t>
  </si>
  <si>
    <t>Tatim Fitimi</t>
  </si>
  <si>
    <t>TVSH</t>
  </si>
  <si>
    <t>Sigurime shoqerore</t>
  </si>
  <si>
    <t>31 Dhjetor 2008</t>
  </si>
  <si>
    <t>Pasivet Afatshkurter</t>
  </si>
  <si>
    <t xml:space="preserve">Paga  </t>
  </si>
  <si>
    <t>Te tjera</t>
  </si>
  <si>
    <t>Fitim nga kembime valutore</t>
  </si>
  <si>
    <t>Te ardhura te tjera</t>
  </si>
  <si>
    <t>Shpenzim nga kembime valutore</t>
  </si>
  <si>
    <t>Shpenzime te tjera</t>
  </si>
  <si>
    <t>Fitim Bruto</t>
  </si>
  <si>
    <t>Shpenzime te pa njohura</t>
  </si>
  <si>
    <t>Baza llogaritjes Tatimit</t>
  </si>
  <si>
    <t>Viti  2007</t>
  </si>
  <si>
    <t>% e tatim Fitimit</t>
  </si>
  <si>
    <t>Fitimi NETO</t>
  </si>
  <si>
    <t>Ortake</t>
  </si>
  <si>
    <t>Diferenca nga kembimi</t>
  </si>
  <si>
    <t>Punonjes</t>
  </si>
  <si>
    <t>Shpenzime interesa huaje</t>
  </si>
  <si>
    <t>Te ardhura nga interesat</t>
  </si>
  <si>
    <t>Produkte te Gatshme</t>
  </si>
  <si>
    <t>Totali i kapitalit</t>
  </si>
  <si>
    <t>Rritie/renie ne tepricen e detyrimeve, per t'u paguar nga aktiviteti</t>
  </si>
  <si>
    <t>Para neto e verdorur ne aktivitetet financiare</t>
  </si>
  <si>
    <t>Hua bankare</t>
  </si>
  <si>
    <t>Kerkesa te arketueshme</t>
  </si>
  <si>
    <t>1</t>
  </si>
  <si>
    <t>2</t>
  </si>
  <si>
    <t>3</t>
  </si>
  <si>
    <t>4</t>
  </si>
  <si>
    <t>5</t>
  </si>
  <si>
    <t xml:space="preserve">Detyrimet afatshkurtra </t>
  </si>
  <si>
    <t>Te Tjera</t>
  </si>
  <si>
    <t>Produkte dhe mallra</t>
  </si>
  <si>
    <t>Sherbime bankare</t>
  </si>
  <si>
    <t>Provizione per rreziqe</t>
  </si>
  <si>
    <t>I</t>
  </si>
  <si>
    <t>II</t>
  </si>
  <si>
    <t>6</t>
  </si>
  <si>
    <t>7</t>
  </si>
  <si>
    <t>8</t>
  </si>
  <si>
    <t>a</t>
  </si>
  <si>
    <t>b</t>
  </si>
  <si>
    <t>c</t>
  </si>
  <si>
    <t>9</t>
  </si>
  <si>
    <t>d</t>
  </si>
  <si>
    <t>e</t>
  </si>
  <si>
    <t>III</t>
  </si>
  <si>
    <t>10</t>
  </si>
  <si>
    <t>11</t>
  </si>
  <si>
    <t>12</t>
  </si>
  <si>
    <t>13</t>
  </si>
  <si>
    <t>14</t>
  </si>
  <si>
    <t>IV</t>
  </si>
  <si>
    <t>V</t>
  </si>
  <si>
    <t>f</t>
  </si>
  <si>
    <t>BILANCI</t>
  </si>
  <si>
    <t>AKTIVI</t>
  </si>
  <si>
    <t>Nr</t>
  </si>
  <si>
    <t>A</t>
  </si>
  <si>
    <t>KAPITALI I NESHKRUAR I PAKERKUAR</t>
  </si>
  <si>
    <t>B</t>
  </si>
  <si>
    <t>AKTIVE TE QENDRUESHME</t>
  </si>
  <si>
    <t>Te Pa Trupezuara</t>
  </si>
  <si>
    <t>Shpenzime te nisjes dhe te zgjerimit</t>
  </si>
  <si>
    <t>Shpenzime per kerkime te aplikuara e zhvillime</t>
  </si>
  <si>
    <t>Te tjera ne Shfrytezim</t>
  </si>
  <si>
    <t>Pagesa pjesore te derdhura</t>
  </si>
  <si>
    <t>Amortizime (-)</t>
  </si>
  <si>
    <t>h</t>
  </si>
  <si>
    <t>Provizione per zhvleresim (-)</t>
  </si>
  <si>
    <t>TE TRUPEZUARA</t>
  </si>
  <si>
    <t>Toka, troje, terrene, ndertime e inst. te pergj</t>
  </si>
  <si>
    <t>Instalime teknike, makineri, pajisje, vegla pune</t>
  </si>
  <si>
    <t>Te tjera ne shfrytezim</t>
  </si>
  <si>
    <t>Ne proces dhe pagesa pjesore</t>
  </si>
  <si>
    <t>15</t>
  </si>
  <si>
    <t>16</t>
  </si>
  <si>
    <t>FINANCIARE</t>
  </si>
  <si>
    <t>17</t>
  </si>
  <si>
    <t>Pjesemarrje dhe tituj financiare te tjere</t>
  </si>
  <si>
    <t>18</t>
  </si>
  <si>
    <t>Kerkesa debitore te lidhura me pjesemarrjet</t>
  </si>
  <si>
    <t>19</t>
  </si>
  <si>
    <t>Kredi te dhena</t>
  </si>
  <si>
    <t>20</t>
  </si>
  <si>
    <t>Provizione per zhvleresime (-)</t>
  </si>
  <si>
    <t>21</t>
  </si>
  <si>
    <t>AQ te Tjera</t>
  </si>
  <si>
    <t>21/1</t>
  </si>
  <si>
    <t>C</t>
  </si>
  <si>
    <t>AKTIVE QARKULLUESE</t>
  </si>
  <si>
    <t>22</t>
  </si>
  <si>
    <t>GJENDJE E INVENTARIT DHE NE PROCES</t>
  </si>
  <si>
    <t>23</t>
  </si>
  <si>
    <t>Materiale te para dhe materiale te tjera</t>
  </si>
  <si>
    <t>24</t>
  </si>
  <si>
    <t>Prodhime, punime, sherbime ne proces</t>
  </si>
  <si>
    <t>25</t>
  </si>
  <si>
    <t>26</t>
  </si>
  <si>
    <t>Te tjera gjendje inventari</t>
  </si>
  <si>
    <t>27</t>
  </si>
  <si>
    <t>28</t>
  </si>
  <si>
    <t>KERKESA PER ARKETIM MBI DEBITORET</t>
  </si>
  <si>
    <t>29</t>
  </si>
  <si>
    <t>Nga keto me afat pas me shume se nje vit</t>
  </si>
  <si>
    <t>Kliente per shitje, sherbime</t>
  </si>
  <si>
    <t>30</t>
  </si>
  <si>
    <t>Ortake kapital i paderdhur</t>
  </si>
  <si>
    <t>31</t>
  </si>
  <si>
    <t>32</t>
  </si>
  <si>
    <t>Te tjera kerkesa</t>
  </si>
  <si>
    <t>33</t>
  </si>
  <si>
    <t>34</t>
  </si>
  <si>
    <t>LETRA ME VLERE TE VENDOSJES PERKOHSHME</t>
  </si>
  <si>
    <t>35</t>
  </si>
  <si>
    <t>Aksione, obligacione, bono thesari e te ngjashme</t>
  </si>
  <si>
    <t>36</t>
  </si>
  <si>
    <t>37</t>
  </si>
  <si>
    <t>LIKUIDITETE DHE VLERA ARKE TE TJERA</t>
  </si>
  <si>
    <t>38</t>
  </si>
  <si>
    <t>Depozita ne banke dhe ne llogari te tjera</t>
  </si>
  <si>
    <t>39</t>
  </si>
  <si>
    <t>Para ne dore (arke)</t>
  </si>
  <si>
    <t>40</t>
  </si>
  <si>
    <t>Vlera arke te tjera</t>
  </si>
  <si>
    <t>41</t>
  </si>
  <si>
    <t>SHPENZIME PAGUAR OSE REGJISTRUAR AVANC</t>
  </si>
  <si>
    <t>42</t>
  </si>
  <si>
    <t>Ne keto mbi nje vit</t>
  </si>
  <si>
    <t>D</t>
  </si>
  <si>
    <t>LLOGARI TE TJERA</t>
  </si>
  <si>
    <t>43</t>
  </si>
  <si>
    <t>Shpenzime (kosto) per tu shperndare.</t>
  </si>
  <si>
    <t>44</t>
  </si>
  <si>
    <t>Diferenca konvertimi Aktive</t>
  </si>
  <si>
    <t>45</t>
  </si>
  <si>
    <t>45/1</t>
  </si>
  <si>
    <t>TOTALI I AKTIVIT</t>
  </si>
  <si>
    <t>46</t>
  </si>
  <si>
    <t>E</t>
  </si>
  <si>
    <t>LLOGARI JASHTE BILANCIT</t>
  </si>
  <si>
    <t>47</t>
  </si>
  <si>
    <t>Aktive te Qendrueshme te Marra me Qira</t>
  </si>
  <si>
    <t>48</t>
  </si>
  <si>
    <t>Pasuri te Tjera te te Treteve</t>
  </si>
  <si>
    <t>49</t>
  </si>
  <si>
    <t>Te tjera Llogari Jashte Bilancit</t>
  </si>
  <si>
    <t>50</t>
  </si>
  <si>
    <t>KAPITALET E VETA</t>
  </si>
  <si>
    <t>51</t>
  </si>
  <si>
    <t>KAPITALI THEMELTAR, REZERVAT, FITME/HUMBJE</t>
  </si>
  <si>
    <t>52</t>
  </si>
  <si>
    <t>Nga ky i derdhur</t>
  </si>
  <si>
    <t>Kapital i Nenshkruar</t>
  </si>
  <si>
    <t>53</t>
  </si>
  <si>
    <t>Prime te lidhura me Kapitalin</t>
  </si>
  <si>
    <t>54</t>
  </si>
  <si>
    <t>Diferenca nga Rivleresimi</t>
  </si>
  <si>
    <t>55</t>
  </si>
  <si>
    <t>Rezervat</t>
  </si>
  <si>
    <t>56</t>
  </si>
  <si>
    <t>Rezervat Ligjore</t>
  </si>
  <si>
    <t>57</t>
  </si>
  <si>
    <t>Rezervat Statutore</t>
  </si>
  <si>
    <t>58</t>
  </si>
  <si>
    <t>Rezervat te Tjera</t>
  </si>
  <si>
    <t>59</t>
  </si>
  <si>
    <t>Fitime ose Humbje te Mbartura (Humbjet -)</t>
  </si>
  <si>
    <t>60</t>
  </si>
  <si>
    <t>Fitime ose Humbje te Ushtrimit (Humbjet -)</t>
  </si>
  <si>
    <t>61</t>
  </si>
  <si>
    <t>Te Tjera qe lidhen me Kapitalin</t>
  </si>
  <si>
    <t>61/1</t>
  </si>
  <si>
    <t>FONDE TE TJERA TE VETAT(Nder. Shteterore)</t>
  </si>
  <si>
    <t>62</t>
  </si>
  <si>
    <t>Fondi (Rezerva) i Zhvillimit</t>
  </si>
  <si>
    <t>63</t>
  </si>
  <si>
    <t>Fondi i Shperblimit Suplementar te Punonjesve</t>
  </si>
  <si>
    <t>64</t>
  </si>
  <si>
    <t>Fondi i Ndihmave te Menjehershme</t>
  </si>
  <si>
    <t>65</t>
  </si>
  <si>
    <t>Fonde te Tjera</t>
  </si>
  <si>
    <t>66</t>
  </si>
  <si>
    <t>SUBVENCIONE PER INVENSTIME</t>
  </si>
  <si>
    <t>67</t>
  </si>
  <si>
    <t>PROVIZIONE PER RREZIQE E SHPENZIME</t>
  </si>
  <si>
    <t>68</t>
  </si>
  <si>
    <t>Provizoine per Rreziqe</t>
  </si>
  <si>
    <t>69</t>
  </si>
  <si>
    <t>Provizione per Shpenzime</t>
  </si>
  <si>
    <t>70</t>
  </si>
  <si>
    <t>DETYRIME</t>
  </si>
  <si>
    <t>71</t>
  </si>
  <si>
    <t>Detyrime te Kerkueshme Pas Me Shume Se nje Vit</t>
  </si>
  <si>
    <t>72</t>
  </si>
  <si>
    <t>Huara nga Bankat dhe Institutet e Kreditit</t>
  </si>
  <si>
    <t>73</t>
  </si>
  <si>
    <t>Huara te Tjera</t>
  </si>
  <si>
    <t>74</t>
  </si>
  <si>
    <t>Shuma te Arketuara per Porosi</t>
  </si>
  <si>
    <t>75</t>
  </si>
  <si>
    <t>Furnitore per Blerje e Sherbime</t>
  </si>
  <si>
    <t>76</t>
  </si>
  <si>
    <t>Shteti</t>
  </si>
  <si>
    <t>77</t>
  </si>
  <si>
    <t>78</t>
  </si>
  <si>
    <t>Te tjera Detyrime</t>
  </si>
  <si>
    <t>79</t>
  </si>
  <si>
    <t>DETYRIME TE KERKUESHME DERI NE NJE VIT</t>
  </si>
  <si>
    <t>80</t>
  </si>
  <si>
    <t>81</t>
  </si>
  <si>
    <t>82</t>
  </si>
  <si>
    <t>Shuma te Arketuara me Porosi</t>
  </si>
  <si>
    <t>83</t>
  </si>
  <si>
    <t>84</t>
  </si>
  <si>
    <t>Personeli</t>
  </si>
  <si>
    <t>85</t>
  </si>
  <si>
    <t>Sigurime Shoqerore dhe te Ngjashme</t>
  </si>
  <si>
    <t>86</t>
  </si>
  <si>
    <t>Shteti - Tatime dhe Taksa</t>
  </si>
  <si>
    <t>87</t>
  </si>
  <si>
    <t>g</t>
  </si>
  <si>
    <t>88</t>
  </si>
  <si>
    <t>i</t>
  </si>
  <si>
    <t>89</t>
  </si>
  <si>
    <t>Te Ardhura Te Marra Ose Te Regjistruara Avance</t>
  </si>
  <si>
    <t>90</t>
  </si>
  <si>
    <t>91</t>
  </si>
  <si>
    <t>Diferenca Konvertimi Pasive</t>
  </si>
  <si>
    <t>92</t>
  </si>
  <si>
    <t>93</t>
  </si>
  <si>
    <t>TOTALI I PASIVIT</t>
  </si>
  <si>
    <t>94</t>
  </si>
  <si>
    <t>95</t>
  </si>
  <si>
    <t>Llogari jashte bilancit</t>
  </si>
  <si>
    <t>96</t>
  </si>
  <si>
    <t>Llogari te Sendeve me Qira</t>
  </si>
  <si>
    <t>97</t>
  </si>
  <si>
    <t>Te Tjera Jashte Bilancit</t>
  </si>
  <si>
    <t>98</t>
  </si>
  <si>
    <t>99</t>
  </si>
  <si>
    <t>Makineri Pajisje</t>
  </si>
  <si>
    <t>Te Ardhurat e Shpenzimet</t>
  </si>
  <si>
    <t>( Llogaria e Fitimimeve dhe e Humbjeve )</t>
  </si>
  <si>
    <t>Numri</t>
  </si>
  <si>
    <t>TE ARDHURAT</t>
  </si>
  <si>
    <t>TE ARDHURA QE HYJNE NE SHIFREN E AFARIZMIT</t>
  </si>
  <si>
    <t>Nga Shitja e Produkteve te Prodhimit te Vete</t>
  </si>
  <si>
    <t>Nga Kryerja e Sherbimeve</t>
  </si>
  <si>
    <t>Nga Shitja e Mallrave</t>
  </si>
  <si>
    <t>Te Tjera Shitje e Sherbime</t>
  </si>
  <si>
    <t>TOTALI I SHIFRA NETO E AFARIZEM</t>
  </si>
  <si>
    <t>NGA TOTALI PER EKSPORT</t>
  </si>
  <si>
    <t>TE ARDHURA TE TJERA ( PERVEC ATYRE FINANCIARE )</t>
  </si>
  <si>
    <t>Shtesa e Gjendjeve te Prodhimit te Vete</t>
  </si>
  <si>
    <t>Prodhimi i Aktiveve te Qendrueshme</t>
  </si>
  <si>
    <t>Subvencione te Shfrytezimit</t>
  </si>
  <si>
    <t>Te Ardhura te Tjera Rrjedhese</t>
  </si>
  <si>
    <t>Çmimi i Shitjes se aktiveve te qendrueshme</t>
  </si>
  <si>
    <t>Arketimi i debitoreve te shlyer</t>
  </si>
  <si>
    <t>Rimarrje Amortizimi dhe Provizionesh</t>
  </si>
  <si>
    <t>Rimarrje amortizimi per aktivet e qendrushme</t>
  </si>
  <si>
    <t>Rimarrje provizionesh per aktivet e qendrueshme</t>
  </si>
  <si>
    <t>Rimarrje provizionesh per aktivet qarkulluese</t>
  </si>
  <si>
    <t>Rimarrje provizionesh per rreziqe e shpenzime</t>
  </si>
  <si>
    <t>Rimarrje te tjera</t>
  </si>
  <si>
    <t>TOTALI  ( I + II )</t>
  </si>
  <si>
    <t>TE ARDHURA FINANCIARE</t>
  </si>
  <si>
    <t>Interesa te Fituara dhe te Ngjajshme</t>
  </si>
  <si>
    <t>PlusVlera e Shitjes Letrave me Vlere te Vends.</t>
  </si>
  <si>
    <t>Diferenca pozitive nga Kembimi</t>
  </si>
  <si>
    <t>Rimarrje Provizionesh per Aktivet Financiare</t>
  </si>
  <si>
    <t>Te Tjera te Ardhura Financiare</t>
  </si>
  <si>
    <t>TOTALI ( I + II + III )</t>
  </si>
  <si>
    <t>REZULTATI NGA VEPRIMET E ZAKONSHME</t>
  </si>
  <si>
    <t>- HUMBJE</t>
  </si>
  <si>
    <t>TE ARDHURA TE JASHTEZAKONSHME</t>
  </si>
  <si>
    <t>REZULTATI I JASHTEZAKONSHEM</t>
  </si>
  <si>
    <t>REZULTATI I BILANCIT</t>
  </si>
  <si>
    <t>SHPENZIMET</t>
  </si>
  <si>
    <t>PAKESIMI I GJENDJES TE PRODHIMIT</t>
  </si>
  <si>
    <t>SHPENZIME SHFRYTEZIMI E TE TJERA RRJEDHESE</t>
  </si>
  <si>
    <t>Materiale te Para dhe Materiale te Tjera</t>
  </si>
  <si>
    <t>Blerje gjate ushtimit</t>
  </si>
  <si>
    <t>Ndryshimi i Gjendjeve (+ -)</t>
  </si>
  <si>
    <t>Mallra</t>
  </si>
  <si>
    <t>Blerje gjate ushtrimit</t>
  </si>
  <si>
    <t>Nryshimi i Gjendjeve (+ -)</t>
  </si>
  <si>
    <t>Furnitura, Nentrajtime dhe Sherbime</t>
  </si>
  <si>
    <t>Shpenzime per Personelin</t>
  </si>
  <si>
    <t>Pagat</t>
  </si>
  <si>
    <t>Trajtime dhe shperblime te tjera</t>
  </si>
  <si>
    <t>Sigurime shoqerore dhe te ngjashme</t>
  </si>
  <si>
    <t>Tatime, Taksa e Derdhje te Ngjashme</t>
  </si>
  <si>
    <t>Shpenzime te Tjera Rrjedhese</t>
  </si>
  <si>
    <t>Vlera kontabel e A.Q te shitura</t>
  </si>
  <si>
    <t>Humbje nga mos arketimi i debitoreve</t>
  </si>
  <si>
    <t>Amortizime dhe Provizione</t>
  </si>
  <si>
    <t>Amortizimi i A.Q.</t>
  </si>
  <si>
    <t>Provizione te zhvleresimit te aktiveve te qend</t>
  </si>
  <si>
    <t>Provisione zhvleresimi te aktiveve qarkullimi</t>
  </si>
  <si>
    <t>Kuota e shpenzimeve per shperndarje</t>
  </si>
  <si>
    <t>SHPENZIME FINANCIARE</t>
  </si>
  <si>
    <t>Interesa te Paguara dhe per t'u Paguar</t>
  </si>
  <si>
    <t>Minusvlera nga Shitja e Letra me Vlere te Vendos.</t>
  </si>
  <si>
    <t>Diferenca Negative nga Shkembimi</t>
  </si>
  <si>
    <t>Provizione e Aktive Financiare te Qendrue. Qark.</t>
  </si>
  <si>
    <t>Te tjera Shpenzime Financiare</t>
  </si>
  <si>
    <t>TOTALI  ( I + II + III )</t>
  </si>
  <si>
    <t>REZULTATI NGA VEPRIMTARIA E ZAKONSHME</t>
  </si>
  <si>
    <t>SHPENZIME TE JASHTEZAKONSHME</t>
  </si>
  <si>
    <t>FITIMI PARA TATIMIT</t>
  </si>
  <si>
    <t>VI</t>
  </si>
  <si>
    <t>TATIMI MBI FITIMIN DHE TE NGJASHME</t>
  </si>
  <si>
    <t>Tatim mbi Fitimin</t>
  </si>
  <si>
    <t>-Per fitimin nga veprimtaria e zakonshme</t>
  </si>
  <si>
    <t>Zbritje te Tjera</t>
  </si>
  <si>
    <t>VII</t>
  </si>
  <si>
    <t>FITIMI NETO (ose i Bilancit) V - VI</t>
  </si>
  <si>
    <t>( Monedha:LEK)</t>
  </si>
  <si>
    <t>Primi kapitalit</t>
  </si>
  <si>
    <t>Kliente</t>
  </si>
  <si>
    <t>Shuma te arketuara per porosi</t>
  </si>
  <si>
    <t>Diferenca konvertimi</t>
  </si>
  <si>
    <t>Hua Bankare</t>
  </si>
  <si>
    <t>Hua afatgjata</t>
  </si>
  <si>
    <t>Shpenzimet e shtyra</t>
  </si>
  <si>
    <t>Te ardhura nga shitja e AQ</t>
  </si>
  <si>
    <t>Blerje mallra dhe te tjera</t>
  </si>
  <si>
    <t>Mallra dhe te ardhura nga sherbime</t>
  </si>
  <si>
    <t>3.c</t>
  </si>
  <si>
    <t>3.b</t>
  </si>
  <si>
    <t>3.a</t>
  </si>
  <si>
    <t>3.d</t>
  </si>
  <si>
    <t>3.e</t>
  </si>
  <si>
    <t>5.a</t>
  </si>
  <si>
    <t>5.b</t>
  </si>
  <si>
    <t>5.c</t>
  </si>
  <si>
    <t>5.d</t>
  </si>
  <si>
    <t>5.e</t>
  </si>
  <si>
    <t>Shenime</t>
  </si>
  <si>
    <t>Viti 2007  (riklasifikuar)</t>
  </si>
  <si>
    <t>ADMINISTRATORI</t>
  </si>
  <si>
    <t>KONTABILISTE</t>
  </si>
  <si>
    <t xml:space="preserve"> Shoqeria  "Benimpex &amp; Co "    sh p k </t>
  </si>
  <si>
    <t xml:space="preserve"> Shoqeria  "Benimpex &amp; Co"    sh p k </t>
  </si>
  <si>
    <t>Vlefta 2008</t>
  </si>
  <si>
    <t>Vlefta 2007</t>
  </si>
  <si>
    <t>Kapitali aksionar që i përket aksionarëve të shoqërisë mëmë</t>
  </si>
  <si>
    <t>Primi I aksioni</t>
  </si>
  <si>
    <t>Aksionet e thesarit</t>
  </si>
  <si>
    <t>Rezerva statusore dhe  ligjore</t>
  </si>
  <si>
    <t>Rezerva të konvertimit të  monedhave të huaja</t>
  </si>
  <si>
    <t>Fitimi I Pashpërndarë</t>
  </si>
  <si>
    <t>Zotërimet e aksionarëve të pakicës</t>
  </si>
  <si>
    <t>Efekti i ndryshimeve në politikat  kontabël</t>
  </si>
  <si>
    <t>Pozicioni i rregulluar</t>
  </si>
  <si>
    <t>Efektet e ndryshimit të kurseve të këmbimit gjatë konsolidimit</t>
  </si>
  <si>
    <t>Totali i të ardhuraveapo I shpenzimeve, që nuk janë njohur  në pasqyrën e të ardhurave dhe  shpenzimeve</t>
  </si>
  <si>
    <t>Fitimi neto i vitit financiar</t>
  </si>
  <si>
    <t>Dividendët e paguar</t>
  </si>
  <si>
    <t>Transferime në rezervën e detyrueshme statusore</t>
  </si>
  <si>
    <t xml:space="preserve">Emetim i kapitalit aksionar </t>
  </si>
  <si>
    <t>Efekte të ndryshime të kurseve të këmbimit gjatë konsolidimit</t>
  </si>
  <si>
    <t>Totali i të ardhurave apo  shpenzimeve, që nuk janë njohur  në pasqyrën e të ardhurave dhe  shpenzimeve</t>
  </si>
  <si>
    <t>Fitimi neto për periudhën kontabël</t>
  </si>
  <si>
    <t>Emetim i kapitalit aksionar</t>
  </si>
  <si>
    <t>Aksione të thesarit të riblera</t>
  </si>
  <si>
    <t xml:space="preserve">I </t>
  </si>
  <si>
    <t>Pershkrimi</t>
  </si>
  <si>
    <t>Toka</t>
  </si>
  <si>
    <t>Ndertesat</t>
  </si>
  <si>
    <t>Automjetet</t>
  </si>
  <si>
    <t>Ne Proces</t>
  </si>
  <si>
    <t>TOTAL</t>
  </si>
  <si>
    <t>Kontroll 
me FS</t>
  </si>
  <si>
    <t>Opening bal</t>
  </si>
  <si>
    <t>Gross value</t>
  </si>
  <si>
    <t>AQT Vlera Bruto</t>
  </si>
  <si>
    <t>+</t>
  </si>
  <si>
    <t>Amortization</t>
  </si>
  <si>
    <t>Amortiz Akumul</t>
  </si>
  <si>
    <t>Provision</t>
  </si>
  <si>
    <t>Provizione</t>
  </si>
  <si>
    <t>Inflow</t>
  </si>
  <si>
    <t>Vlera Bruto</t>
  </si>
  <si>
    <t>Outflow</t>
  </si>
  <si>
    <t>-</t>
  </si>
  <si>
    <t>Restructuration</t>
  </si>
  <si>
    <t>flow</t>
  </si>
  <si>
    <t>Riklasifikim i Aktiveve</t>
  </si>
  <si>
    <t>+ / -</t>
  </si>
  <si>
    <t>Provizionet</t>
  </si>
  <si>
    <t>Depreciation</t>
  </si>
  <si>
    <t>Amortizimi i Vitit Ushtrimor</t>
  </si>
  <si>
    <t>Reversal</t>
  </si>
  <si>
    <t xml:space="preserve">Rimarje e Amortizimit </t>
  </si>
  <si>
    <t>Rimarje e Provizioneve</t>
  </si>
  <si>
    <t>Flow</t>
  </si>
  <si>
    <t>Riklasifikim i Amortizimeve</t>
  </si>
  <si>
    <t>Closing balance</t>
  </si>
  <si>
    <t>gross value</t>
  </si>
  <si>
    <t>amortization</t>
  </si>
  <si>
    <t>provision</t>
  </si>
  <si>
    <t>AQT Vlera Neto</t>
  </si>
  <si>
    <t>Likujditete</t>
  </si>
  <si>
    <t>Antea Cement</t>
  </si>
  <si>
    <t>Albanian Chrome</t>
  </si>
  <si>
    <t>Amadeus Group</t>
  </si>
  <si>
    <t>Food Service Albania</t>
  </si>
  <si>
    <t>Frali shpk</t>
  </si>
  <si>
    <t>Genex International</t>
  </si>
  <si>
    <t>Gerondi</t>
  </si>
  <si>
    <t>Kredi Usd -Fondi Amerikan Nderrmarrjeve</t>
  </si>
  <si>
    <t>Page Punonjesh</t>
  </si>
  <si>
    <t>Kerkese mbi debitoret Shteti</t>
  </si>
  <si>
    <t>Te ardhura nga kryerja e sherbimeve</t>
  </si>
  <si>
    <t>Te Ardhurat</t>
  </si>
  <si>
    <t>Bl.energji,avull,uje</t>
  </si>
  <si>
    <t>Qira</t>
  </si>
  <si>
    <t>Personel nga jashte ndermarjes</t>
  </si>
  <si>
    <t>Reklame, publicitet</t>
  </si>
  <si>
    <t>Shpz.postare e telekom.</t>
  </si>
  <si>
    <t>Te tjera tatime e taksa</t>
  </si>
  <si>
    <t>Penalitete,gjoba,demshperblime</t>
  </si>
  <si>
    <t>Blerje Kancelari dhe shtypshkrime doganore</t>
  </si>
  <si>
    <t>Amortizime dhe provizione</t>
  </si>
  <si>
    <t>Amortizimi AQT</t>
  </si>
  <si>
    <t>Shpenzime Siguracione Agjenise doganore dhe te tj</t>
  </si>
  <si>
    <t>Vlefta 2006</t>
  </si>
  <si>
    <t>Ushtrimi 2006</t>
  </si>
  <si>
    <t>Viti 2006  (riklasifikuar)</t>
  </si>
  <si>
    <t>Pasqyra e Aktiveve dhe Amortizimeve</t>
  </si>
  <si>
    <t xml:space="preserve">Emërtimi   dhe   Forma ligjore </t>
  </si>
  <si>
    <t>NIPT-i</t>
  </si>
  <si>
    <t>Adresa e Selisë</t>
  </si>
  <si>
    <t xml:space="preserve">Data    e   krijimit   </t>
  </si>
  <si>
    <t xml:space="preserve">Nr.  i   Regjistrit  tregtar   </t>
  </si>
  <si>
    <r>
      <t>Veprimtaria Kryesore</t>
    </r>
    <r>
      <rPr>
        <b/>
        <u/>
        <sz val="12"/>
        <rFont val="Arial Narrow"/>
        <family val="2"/>
      </rPr>
      <t xml:space="preserve"> </t>
    </r>
  </si>
  <si>
    <t>PASQYRAT         FINANCIARE</t>
  </si>
  <si>
    <t>Pasqyrat Financiare janë individuale</t>
  </si>
  <si>
    <t xml:space="preserve">Pasqyrat Financiare janë të shprehura </t>
  </si>
  <si>
    <t>në vlerë reale leku</t>
  </si>
  <si>
    <t xml:space="preserve">Periudha Kontabël e Pasqyrave Financiare </t>
  </si>
  <si>
    <t xml:space="preserve">Data e mbylljes së Pasqyrave Financiare </t>
  </si>
  <si>
    <t xml:space="preserve">BENIMPEX &amp; CO, Shoqëri  me   përgjegjesi  të  kufizuar </t>
  </si>
  <si>
    <t>J61827087M</t>
  </si>
  <si>
    <t xml:space="preserve">Rr.Abdyl Frashëri,Pall I Ri Jeshil 2/2- Tirana </t>
  </si>
  <si>
    <t>18 Janar 1996</t>
  </si>
  <si>
    <t>Agjensi Doganore Dhe Spedicion</t>
  </si>
  <si>
    <r>
      <t>Lendet e para</t>
    </r>
    <r>
      <rPr>
        <i/>
        <sz val="12"/>
        <rFont val="Times New Roman"/>
        <family val="1"/>
      </rPr>
      <t xml:space="preserve"> </t>
    </r>
  </si>
  <si>
    <t>dhe ligjit Nr. 9228, datë 29.04.2004 "Për Kontabilitetin dhe Pasqyrat Financiare")</t>
  </si>
  <si>
    <t xml:space="preserve">(Në zbatim të Standartit Kombetar të Kontabilitetit nr.2                                                                            </t>
  </si>
  <si>
    <t>Ushtrimi   07</t>
  </si>
  <si>
    <t>Ushtrimi 08</t>
  </si>
  <si>
    <t>Ushtrimi 09</t>
  </si>
  <si>
    <t>Vlefta 2009</t>
  </si>
  <si>
    <t>Viti 2009</t>
  </si>
  <si>
    <t>VITI 2009</t>
  </si>
  <si>
    <t>31 Dhjetor 2009</t>
  </si>
  <si>
    <t xml:space="preserve"> </t>
  </si>
  <si>
    <t>Ortaku</t>
  </si>
  <si>
    <t>Ngurtesim Banke</t>
  </si>
  <si>
    <t>Pajisje zyre</t>
  </si>
  <si>
    <t>dhe te tjera</t>
  </si>
  <si>
    <t>Gio &amp; Shoes</t>
  </si>
  <si>
    <t>Galeria Komb Arteve</t>
  </si>
  <si>
    <t>Go Distribution Al</t>
  </si>
  <si>
    <t>Shaga</t>
  </si>
  <si>
    <t>Tirana</t>
  </si>
  <si>
    <t>Vlefta 2010</t>
  </si>
  <si>
    <t>Te tjera-gjoba</t>
  </si>
  <si>
    <t>Ushtrimi 10</t>
  </si>
  <si>
    <t>Viti 2010</t>
  </si>
  <si>
    <t>VITI 2010</t>
  </si>
  <si>
    <t>31 Dhjetor 2010</t>
  </si>
  <si>
    <t>Emertimi</t>
  </si>
  <si>
    <t>Sasia</t>
  </si>
  <si>
    <t>Gjendje</t>
  </si>
  <si>
    <t>Shtesa</t>
  </si>
  <si>
    <t>Pakesime</t>
  </si>
  <si>
    <t>Ndertime</t>
  </si>
  <si>
    <t>Makineri,paisje</t>
  </si>
  <si>
    <t>Mjete transporti</t>
  </si>
  <si>
    <t xml:space="preserve">             TOTALI</t>
  </si>
  <si>
    <t>Makineri,paisje,vegla</t>
  </si>
  <si>
    <t>Administratori</t>
  </si>
  <si>
    <r>
      <t xml:space="preserve">Shoqeria </t>
    </r>
    <r>
      <rPr>
        <b/>
        <i/>
        <u/>
        <sz val="12"/>
        <rFont val="Arial"/>
        <family val="2"/>
      </rPr>
      <t>Benimpex &amp; Co</t>
    </r>
  </si>
  <si>
    <r>
      <t xml:space="preserve">NIPTI </t>
    </r>
    <r>
      <rPr>
        <b/>
        <i/>
        <u/>
        <sz val="10"/>
        <rFont val="Arial"/>
        <family val="2"/>
      </rPr>
      <t>J61827087M</t>
    </r>
  </si>
  <si>
    <t>kompjuterike,zyre,etj</t>
  </si>
  <si>
    <t>2 At</t>
  </si>
  <si>
    <t>Joan 2000</t>
  </si>
  <si>
    <t>La Mozarela</t>
  </si>
  <si>
    <t xml:space="preserve">Inventari   i   automjeteve  ne  pronesi   te  Subjektit </t>
  </si>
  <si>
    <t>Kapaciteti</t>
  </si>
  <si>
    <t>Per Drejtimin e Shoqerise</t>
  </si>
  <si>
    <t xml:space="preserve">I N V E N T A R I  i </t>
  </si>
  <si>
    <t xml:space="preserve">Mallrave </t>
  </si>
  <si>
    <t>Nr.</t>
  </si>
  <si>
    <t>Artikulli</t>
  </si>
  <si>
    <t>Nj / M</t>
  </si>
  <si>
    <t>Kosto</t>
  </si>
  <si>
    <t>Vlera</t>
  </si>
  <si>
    <t>Shuma</t>
  </si>
  <si>
    <t xml:space="preserve">Per Drejtimin e Shoqerise </t>
  </si>
  <si>
    <t>V.O.Kjo pasqyre do te plotesohet e vecante per</t>
  </si>
  <si>
    <t>Lenden e Pare ; Mallrat ; Produktin e Gateshem dhe Prodhimin ne Proces</t>
  </si>
  <si>
    <t>Kamion</t>
  </si>
  <si>
    <r>
      <t xml:space="preserve">Subjekti   </t>
    </r>
    <r>
      <rPr>
        <u/>
        <sz val="14"/>
        <rFont val="Arial"/>
        <family val="2"/>
      </rPr>
      <t>Benimpex &amp; Co</t>
    </r>
  </si>
  <si>
    <r>
      <t xml:space="preserve">NIPT   </t>
    </r>
    <r>
      <rPr>
        <u/>
        <sz val="14"/>
        <rFont val="Arial"/>
        <family val="2"/>
      </rPr>
      <t>J61827087M</t>
    </r>
  </si>
  <si>
    <r>
      <t xml:space="preserve">Aktiviteti   </t>
    </r>
    <r>
      <rPr>
        <u/>
        <sz val="14"/>
        <rFont val="Arial"/>
        <family val="2"/>
      </rPr>
      <t>Sherbim Doganor dhe Spedicion</t>
    </r>
  </si>
  <si>
    <r>
      <t xml:space="preserve">Telefoni  </t>
    </r>
    <r>
      <rPr>
        <b/>
        <u/>
        <sz val="12"/>
        <rFont val="Arial"/>
        <family val="2"/>
      </rPr>
      <t>2248309</t>
    </r>
    <r>
      <rPr>
        <sz val="12"/>
        <rFont val="Arial"/>
        <family val="2"/>
      </rPr>
      <t xml:space="preserve"> </t>
    </r>
  </si>
  <si>
    <r>
      <t xml:space="preserve">Adresa Vep. </t>
    </r>
    <r>
      <rPr>
        <u/>
        <sz val="14"/>
        <rFont val="Arial"/>
        <family val="2"/>
      </rPr>
      <t xml:space="preserve"> Abdyl Frasheri,Pall I Ri Jeshil 2/2</t>
    </r>
  </si>
  <si>
    <t>Vlefta 2011</t>
  </si>
  <si>
    <t>Ushtrimi 11</t>
  </si>
  <si>
    <t>Viti 2011</t>
  </si>
  <si>
    <t>VITI 2011</t>
  </si>
  <si>
    <t>31 Dhjetor 2011</t>
  </si>
  <si>
    <t>30 Dhjetor 2011</t>
  </si>
  <si>
    <t>Favina</t>
  </si>
  <si>
    <t>Kriket 1</t>
  </si>
  <si>
    <t>AEE shpk</t>
  </si>
  <si>
    <t>Diamant</t>
  </si>
  <si>
    <t>Vlera kontabel e aktiveve te shitura</t>
  </si>
  <si>
    <t>Vlefta 2012</t>
  </si>
  <si>
    <t>Ushtrimi 12</t>
  </si>
  <si>
    <t>Te Tjera Detyrime sigal uniqa</t>
  </si>
  <si>
    <t>Viti 2012</t>
  </si>
  <si>
    <t>VITI 2012</t>
  </si>
  <si>
    <t xml:space="preserve">                              KONTABILISTE</t>
  </si>
  <si>
    <t>31 Dhjetor 2012</t>
  </si>
  <si>
    <t>Alpiros Group 2007 shpk</t>
  </si>
  <si>
    <t>Bledi shpk</t>
  </si>
  <si>
    <t>CMB Albania</t>
  </si>
  <si>
    <t>Korporata Energjitike Shqiptare</t>
  </si>
  <si>
    <t>Alpha Bank</t>
  </si>
  <si>
    <t>Sigurime Suplementare</t>
  </si>
  <si>
    <t>Miranda Kapllani</t>
  </si>
  <si>
    <t>Shpenzime per shtypshkrime doganore</t>
  </si>
  <si>
    <t>Vlefta 2013</t>
  </si>
  <si>
    <t>Ushtrimi 13</t>
  </si>
  <si>
    <t>Viti 2013</t>
  </si>
  <si>
    <t>VITI 2013</t>
  </si>
  <si>
    <t>31 Dhjetor 2013</t>
  </si>
  <si>
    <t>FDP</t>
  </si>
  <si>
    <t>Shitje</t>
  </si>
  <si>
    <t>Blerje</t>
  </si>
  <si>
    <t>PAGUAR</t>
  </si>
  <si>
    <t>Muaj</t>
  </si>
  <si>
    <t>Export</t>
  </si>
  <si>
    <t>Pa Tvsh</t>
  </si>
  <si>
    <t>Tvsh</t>
  </si>
  <si>
    <t>Perjashtuara</t>
  </si>
  <si>
    <t>Janar</t>
  </si>
  <si>
    <t>Shkurt</t>
  </si>
  <si>
    <t>Mars</t>
  </si>
  <si>
    <t>Prill</t>
  </si>
  <si>
    <t>Maj</t>
  </si>
  <si>
    <t xml:space="preserve">Qershor </t>
  </si>
  <si>
    <t>Korrik</t>
  </si>
  <si>
    <t>Gusht</t>
  </si>
  <si>
    <t>Shtator</t>
  </si>
  <si>
    <t xml:space="preserve">Tetor </t>
  </si>
  <si>
    <t>Nentor</t>
  </si>
  <si>
    <t>Dhjetor</t>
  </si>
  <si>
    <t>ToTale</t>
  </si>
  <si>
    <t>Totale</t>
  </si>
  <si>
    <t>Pa tvsh</t>
  </si>
  <si>
    <t>Importe</t>
  </si>
  <si>
    <t>Blerje Fur.Vendas</t>
  </si>
  <si>
    <t>Agonset</t>
  </si>
  <si>
    <t>Arol Plast</t>
  </si>
  <si>
    <t>Almegifarma</t>
  </si>
  <si>
    <t>Albitalia System</t>
  </si>
  <si>
    <t>Coevita shpk</t>
  </si>
  <si>
    <t>Digitalb</t>
  </si>
  <si>
    <t>Kappa Oil</t>
  </si>
  <si>
    <t>Nardi Petrol sha</t>
  </si>
  <si>
    <t>Bozo &amp; Associates</t>
  </si>
  <si>
    <t>Te ndryshme dhe transporte nga te trete dhe spedion anije</t>
  </si>
  <si>
    <t xml:space="preserve">Per periudhen: </t>
  </si>
  <si>
    <t>Leke</t>
  </si>
  <si>
    <t>Pershkimi</t>
  </si>
  <si>
    <t>Vlefta 2014</t>
  </si>
  <si>
    <t>Ushtrimi 14</t>
  </si>
  <si>
    <t>31.12.2014</t>
  </si>
  <si>
    <t>Viti 2014</t>
  </si>
  <si>
    <t>VITI 2014</t>
  </si>
  <si>
    <t>31 Dhjetor 2014</t>
  </si>
  <si>
    <t>KMON</t>
  </si>
  <si>
    <t>GJENDJEMV</t>
  </si>
  <si>
    <t>A06</t>
  </si>
  <si>
    <t>A10</t>
  </si>
  <si>
    <t>A103</t>
  </si>
  <si>
    <t>A108</t>
  </si>
  <si>
    <t>A110</t>
  </si>
  <si>
    <t>A119</t>
  </si>
  <si>
    <t>A121</t>
  </si>
  <si>
    <t>A18</t>
  </si>
  <si>
    <t>B05</t>
  </si>
  <si>
    <t>B26</t>
  </si>
  <si>
    <t>C19</t>
  </si>
  <si>
    <t>C25</t>
  </si>
  <si>
    <t>D18</t>
  </si>
  <si>
    <t>D29</t>
  </si>
  <si>
    <t>E49</t>
  </si>
  <si>
    <t>Elmed</t>
  </si>
  <si>
    <t>E56</t>
  </si>
  <si>
    <t>Elektrotherm</t>
  </si>
  <si>
    <t>F03</t>
  </si>
  <si>
    <t>F04</t>
  </si>
  <si>
    <t>F28</t>
  </si>
  <si>
    <t>G03</t>
  </si>
  <si>
    <t>G04</t>
  </si>
  <si>
    <t>G06</t>
  </si>
  <si>
    <t>G08</t>
  </si>
  <si>
    <t>G10</t>
  </si>
  <si>
    <t>J04</t>
  </si>
  <si>
    <t>K02</t>
  </si>
  <si>
    <t>K04</t>
  </si>
  <si>
    <t>K19</t>
  </si>
  <si>
    <t>L08</t>
  </si>
  <si>
    <t>L21</t>
  </si>
  <si>
    <t>Logjistik Benimpeks Ltd</t>
  </si>
  <si>
    <t>M04</t>
  </si>
  <si>
    <t>M06</t>
  </si>
  <si>
    <t>N12</t>
  </si>
  <si>
    <t>O07</t>
  </si>
  <si>
    <t>S03</t>
  </si>
  <si>
    <t>S08</t>
  </si>
  <si>
    <t>S30</t>
  </si>
  <si>
    <t>Screan Ad shpk</t>
  </si>
  <si>
    <t>T07</t>
  </si>
  <si>
    <t>Treg Auto</t>
  </si>
  <si>
    <t>A68</t>
  </si>
  <si>
    <t>TOTALE</t>
  </si>
  <si>
    <t xml:space="preserve"> Hua te tjera,Sigal Uniqa Group </t>
  </si>
  <si>
    <t>Sigurime shoqerore,Tap</t>
  </si>
  <si>
    <t xml:space="preserve">BENIMPEX &amp; CO </t>
  </si>
  <si>
    <t xml:space="preserve">INVENTARI  MATERIALE  ,ORENDI DHE MJETE TRANSPORTI </t>
  </si>
  <si>
    <t>NR</t>
  </si>
  <si>
    <t>EMERTIMI</t>
  </si>
  <si>
    <t xml:space="preserve">NJESIA </t>
  </si>
  <si>
    <t xml:space="preserve">SASIA </t>
  </si>
  <si>
    <t>CMIMI</t>
  </si>
  <si>
    <t>Vlera Kontabel</t>
  </si>
  <si>
    <t xml:space="preserve">Komjutera </t>
  </si>
  <si>
    <t>cope</t>
  </si>
  <si>
    <t>Kondicionere</t>
  </si>
  <si>
    <t>Tavolina</t>
  </si>
  <si>
    <t>Komodina</t>
  </si>
  <si>
    <t>Karrike</t>
  </si>
  <si>
    <t>Dollape</t>
  </si>
  <si>
    <t>Rafte</t>
  </si>
  <si>
    <t>Dollap gjneneratori</t>
  </si>
  <si>
    <t>Gjenerator</t>
  </si>
  <si>
    <t>Plafoniere</t>
  </si>
  <si>
    <t>Kasaforte</t>
  </si>
  <si>
    <t>Aparat  faxi</t>
  </si>
  <si>
    <t>Central telefonik</t>
  </si>
  <si>
    <t>Telefona</t>
  </si>
  <si>
    <t>Printer me ngjyra</t>
  </si>
  <si>
    <t>Printer lazer</t>
  </si>
  <si>
    <t>Printermatriz</t>
  </si>
  <si>
    <t>Tavolina levizese</t>
  </si>
  <si>
    <t>Perde</t>
  </si>
  <si>
    <t>Skulptura</t>
  </si>
  <si>
    <t xml:space="preserve">Ore muri </t>
  </si>
  <si>
    <t>Expres kafeje</t>
  </si>
  <si>
    <t>Koketurku</t>
  </si>
  <si>
    <t>Frigorifer</t>
  </si>
  <si>
    <t>Ndricues</t>
  </si>
  <si>
    <t>Mak.Llogaritese</t>
  </si>
  <si>
    <t>Fax.Bradher mfc</t>
  </si>
  <si>
    <t>Monitor komjuteri</t>
  </si>
  <si>
    <t>Mak.Hap.Vrimash</t>
  </si>
  <si>
    <t>Kosha plerash</t>
  </si>
  <si>
    <t>Kompjut compaq</t>
  </si>
  <si>
    <t>Lap top</t>
  </si>
  <si>
    <t>Modem</t>
  </si>
  <si>
    <t>Printer</t>
  </si>
  <si>
    <t>Fikse Zjarri</t>
  </si>
  <si>
    <t>Bateri Akumulator</t>
  </si>
  <si>
    <t>Gjenerator 8kva</t>
  </si>
  <si>
    <t>Komplet kolltuqe</t>
  </si>
  <si>
    <t>Kompjuer 2.8ghz</t>
  </si>
  <si>
    <t>Ups Kompjuteri</t>
  </si>
  <si>
    <t>Printer lq-680</t>
  </si>
  <si>
    <t>Kompjuer pen -3</t>
  </si>
  <si>
    <t>Printer lazer hp-1020</t>
  </si>
  <si>
    <t>Fotokopje Toshiba-1360</t>
  </si>
  <si>
    <t>Fax sharp uxb-30</t>
  </si>
  <si>
    <t>Printer lazer hp-1022</t>
  </si>
  <si>
    <t>Tavoline bordi</t>
  </si>
  <si>
    <t>Kolltuk rrotullues</t>
  </si>
  <si>
    <t>Fotokopje Hp</t>
  </si>
  <si>
    <t>kompjutera</t>
  </si>
  <si>
    <t>printera</t>
  </si>
  <si>
    <t>Kompjutera</t>
  </si>
  <si>
    <t>Majtjesa compjutera</t>
  </si>
  <si>
    <t>komp</t>
  </si>
  <si>
    <t>Fax</t>
  </si>
  <si>
    <t>Flesh driver</t>
  </si>
  <si>
    <t>Monitor LCD</t>
  </si>
  <si>
    <t>Rafte Metalike</t>
  </si>
  <si>
    <t>Tapete</t>
  </si>
  <si>
    <t>Radio</t>
  </si>
  <si>
    <t>Gjenerator 25 kva</t>
  </si>
  <si>
    <t>Raft</t>
  </si>
  <si>
    <t xml:space="preserve">Komo </t>
  </si>
  <si>
    <t>Komodine</t>
  </si>
  <si>
    <t>Dollap Zyre</t>
  </si>
  <si>
    <t>Fax Canon L100</t>
  </si>
  <si>
    <t>Gjenerator 18 Kva</t>
  </si>
  <si>
    <t>Dollap Zyrash</t>
  </si>
  <si>
    <t>Tavoline Pune</t>
  </si>
  <si>
    <t>Karrige</t>
  </si>
  <si>
    <t xml:space="preserve">Kasa </t>
  </si>
  <si>
    <t>Televizore</t>
  </si>
  <si>
    <t>Hp Printer</t>
  </si>
  <si>
    <t>Fotokopje</t>
  </si>
  <si>
    <t>Kopjuter</t>
  </si>
  <si>
    <t>Brother Hl 5240</t>
  </si>
  <si>
    <t>Ups--Apc</t>
  </si>
  <si>
    <t>Kompjutera Dx7300</t>
  </si>
  <si>
    <t>Monitor</t>
  </si>
  <si>
    <t>Madher Bord</t>
  </si>
  <si>
    <t>Fotokopje e Thjeshte</t>
  </si>
  <si>
    <t>Note book</t>
  </si>
  <si>
    <t>Fotokopje dell</t>
  </si>
  <si>
    <t>Printer Laser Hp</t>
  </si>
  <si>
    <t>Printer hl 5240</t>
  </si>
  <si>
    <t>Ups 1250VA</t>
  </si>
  <si>
    <t>Fax Brother 2920</t>
  </si>
  <si>
    <t>Skaner Hp4890</t>
  </si>
  <si>
    <t>Web Cam Labtec</t>
  </si>
  <si>
    <t>Fax Brother 1360</t>
  </si>
  <si>
    <t>Aparat Telefoni Sip</t>
  </si>
  <si>
    <t>Printer Epson-Lq-680</t>
  </si>
  <si>
    <t>Cante dipllomatike</t>
  </si>
  <si>
    <t>Cante pune</t>
  </si>
  <si>
    <t xml:space="preserve">Harta e shoqerise </t>
  </si>
  <si>
    <t>Zbukurime</t>
  </si>
  <si>
    <t>Pikture</t>
  </si>
  <si>
    <t>Glob</t>
  </si>
  <si>
    <t>Harte  bote</t>
  </si>
  <si>
    <t>Makina llogaritese</t>
  </si>
  <si>
    <t>Pirun levizes</t>
  </si>
  <si>
    <t>Pirun  mekanik</t>
  </si>
  <si>
    <t xml:space="preserve">Tavolina </t>
  </si>
  <si>
    <t xml:space="preserve">Radio </t>
  </si>
  <si>
    <t>Fikesa Zjarri</t>
  </si>
  <si>
    <t>Reklama</t>
  </si>
  <si>
    <t>Kolltuqe</t>
  </si>
  <si>
    <t>Kompjuer Kompaq</t>
  </si>
  <si>
    <t>Skaner hp-3500</t>
  </si>
  <si>
    <t>Flash Driver</t>
  </si>
  <si>
    <t>Ups compjuteri</t>
  </si>
  <si>
    <t>Printer Epson lq</t>
  </si>
  <si>
    <t>Makine llogaritese</t>
  </si>
  <si>
    <t xml:space="preserve">Kjoska </t>
  </si>
  <si>
    <t>Makina shkrimi</t>
  </si>
  <si>
    <t>Telefon</t>
  </si>
  <si>
    <t>Instalime (asecuda)</t>
  </si>
  <si>
    <t>Mak.kapese akte</t>
  </si>
  <si>
    <t>Mak.Llog.Casio</t>
  </si>
  <si>
    <t>Kosha letre</t>
  </si>
  <si>
    <t>Mbajtese kancelarie</t>
  </si>
  <si>
    <t>Stabilizator</t>
  </si>
  <si>
    <t>ups compjuteri</t>
  </si>
  <si>
    <t>Iutopan(server)</t>
  </si>
  <si>
    <t>Printer-Lq680</t>
  </si>
  <si>
    <t>Inverter Kompjuteri</t>
  </si>
  <si>
    <t>Tabele reklame</t>
  </si>
  <si>
    <t>Makin  shkrimi</t>
  </si>
  <si>
    <t>Ventilator</t>
  </si>
  <si>
    <t xml:space="preserve">Karrike </t>
  </si>
  <si>
    <t>Makine shkrimi</t>
  </si>
  <si>
    <t>Koke turku</t>
  </si>
  <si>
    <t>Printer matric</t>
  </si>
  <si>
    <t>Kompjuter compaq</t>
  </si>
  <si>
    <t>Printer Lq-680</t>
  </si>
  <si>
    <t>Ups</t>
  </si>
  <si>
    <t>Kompjuter P-III</t>
  </si>
  <si>
    <t>Aparat telefoni</t>
  </si>
  <si>
    <t>Aparate  celulari</t>
  </si>
  <si>
    <t>Karta aparatesh</t>
  </si>
  <si>
    <t>Koka terheqese</t>
  </si>
  <si>
    <t>Fotokopje studio E165</t>
  </si>
  <si>
    <t>Kasa</t>
  </si>
  <si>
    <t>Kondicioner</t>
  </si>
  <si>
    <t>Laptop</t>
  </si>
  <si>
    <t>Fotokopje E studio</t>
  </si>
  <si>
    <t>Gjenerator 18 KVA</t>
  </si>
  <si>
    <t>Server</t>
  </si>
  <si>
    <t>Inverter</t>
  </si>
  <si>
    <t>Aparat Celulari</t>
  </si>
  <si>
    <t>Printer Epson 690</t>
  </si>
  <si>
    <t>Njesi comjuteri</t>
  </si>
  <si>
    <t>Monitore</t>
  </si>
  <si>
    <t>Kasetiere</t>
  </si>
  <si>
    <t>Mobl Printeri</t>
  </si>
  <si>
    <t>Etazher</t>
  </si>
  <si>
    <t>Karige Rrotulluese</t>
  </si>
  <si>
    <t>Fikse</t>
  </si>
  <si>
    <t>Televizor</t>
  </si>
  <si>
    <t>Fotkopje Toshiba</t>
  </si>
  <si>
    <t>Karrige rrotulluese</t>
  </si>
  <si>
    <t>Komjuter</t>
  </si>
  <si>
    <t>SamSung Not3</t>
  </si>
  <si>
    <t>SamSung S5</t>
  </si>
  <si>
    <t>Permiresim Investim Kioske</t>
  </si>
  <si>
    <t>Samsung TAB3</t>
  </si>
  <si>
    <t>Fotokopje 2505</t>
  </si>
  <si>
    <t>Kasa Fiskale Aclass</t>
  </si>
  <si>
    <t>Amortizimi I Akumuluar</t>
  </si>
  <si>
    <t>Ekonomist</t>
  </si>
  <si>
    <t>Ervin Droboniku</t>
  </si>
  <si>
    <t>Benimpex 2015</t>
  </si>
  <si>
    <t>Blerje Fur.Venda-Invest</t>
  </si>
  <si>
    <t>ToT-Tvsh</t>
  </si>
  <si>
    <t>Vlefta 2015</t>
  </si>
  <si>
    <t>Ushtrimi 15</t>
  </si>
  <si>
    <t>Viti 2015</t>
  </si>
  <si>
    <t>VITI 2015</t>
  </si>
  <si>
    <t>Mobilje Zyre</t>
  </si>
  <si>
    <t>Celulare</t>
  </si>
  <si>
    <t>Kase</t>
  </si>
  <si>
    <t>Orendi</t>
  </si>
  <si>
    <t>31 Dhjetor 2015</t>
  </si>
  <si>
    <t>Benimpex 2016</t>
  </si>
  <si>
    <t>Vlefta 2016</t>
  </si>
  <si>
    <t>Ushtrimi 16</t>
  </si>
  <si>
    <t>Viti 2016</t>
  </si>
  <si>
    <t>VITI 2016</t>
  </si>
  <si>
    <t>31 Dhjetor 2016</t>
  </si>
  <si>
    <t>Cel Bberry</t>
  </si>
  <si>
    <t>Iphone 6+</t>
  </si>
  <si>
    <t>Samsung Galaxy</t>
  </si>
  <si>
    <t>Kompjuter</t>
  </si>
  <si>
    <t>Kod</t>
  </si>
  <si>
    <t>A03</t>
  </si>
  <si>
    <t>Air Bp sha</t>
  </si>
  <si>
    <t>A136</t>
  </si>
  <si>
    <t>Aspi Tekstil</t>
  </si>
  <si>
    <t>A155</t>
  </si>
  <si>
    <t>Arnisa Culaji</t>
  </si>
  <si>
    <t>B34</t>
  </si>
  <si>
    <t>Besniku shpk</t>
  </si>
  <si>
    <t>C33</t>
  </si>
  <si>
    <t>Carpathia Albania</t>
  </si>
  <si>
    <t>D39</t>
  </si>
  <si>
    <t>Dashi - Hd</t>
  </si>
  <si>
    <t>D54</t>
  </si>
  <si>
    <t>Desaret Company</t>
  </si>
  <si>
    <t>D57</t>
  </si>
  <si>
    <t>Drejtoria Rajonale Kukes</t>
  </si>
  <si>
    <t>E43</t>
  </si>
  <si>
    <t>Ermila shpk</t>
  </si>
  <si>
    <t>F40</t>
  </si>
  <si>
    <t>Federata Shqiptare e Fubollit</t>
  </si>
  <si>
    <t>H02</t>
  </si>
  <si>
    <t>Hellas Service</t>
  </si>
  <si>
    <t>H14</t>
  </si>
  <si>
    <t>Haliti shpk</t>
  </si>
  <si>
    <t>K23</t>
  </si>
  <si>
    <t>Kantina e Pijeve Skenderbeu</t>
  </si>
  <si>
    <t>L18</t>
  </si>
  <si>
    <t>Luani</t>
  </si>
  <si>
    <t>M21</t>
  </si>
  <si>
    <t>Msp Trade</t>
  </si>
  <si>
    <t>Operatori i Shperndarrjes se Energjise Elektrike</t>
  </si>
  <si>
    <t>A01</t>
  </si>
  <si>
    <t>Autoriteti Portual Durres</t>
  </si>
  <si>
    <t>B11</t>
  </si>
  <si>
    <t>Bailiff Services-1.813 m</t>
  </si>
  <si>
    <t>C01</t>
  </si>
  <si>
    <t>Ccs shpk</t>
  </si>
  <si>
    <t>C07</t>
  </si>
  <si>
    <t>Continental Group</t>
  </si>
  <si>
    <t>D04</t>
  </si>
  <si>
    <t>E16</t>
  </si>
  <si>
    <t>Emr Kancelari</t>
  </si>
  <si>
    <t>I04</t>
  </si>
  <si>
    <t>Ispp shpk</t>
  </si>
  <si>
    <t>MobilBox ALbania</t>
  </si>
  <si>
    <t>Mirlin</t>
  </si>
  <si>
    <t>Sigal Uniqa Group Austria</t>
  </si>
  <si>
    <t>T01</t>
  </si>
  <si>
    <t>Tirana International Airport</t>
  </si>
  <si>
    <t>Monedha</t>
  </si>
  <si>
    <t xml:space="preserve"> Hua te tjera,Sigal Uniqa Group 41500 euro</t>
  </si>
  <si>
    <t xml:space="preserve">Tatim Fitimi </t>
  </si>
  <si>
    <t>Te tjera kerkesa te arketueshme   Tatim Fitimi</t>
  </si>
  <si>
    <t>Benimpex 2017</t>
  </si>
  <si>
    <t>Vlefta 2017</t>
  </si>
  <si>
    <t>Ushtrimi 17</t>
  </si>
  <si>
    <t>Viti 2017</t>
  </si>
  <si>
    <t>VITI 2017</t>
  </si>
  <si>
    <t>31 Dhjetor 2017</t>
  </si>
  <si>
    <t>Dere</t>
  </si>
  <si>
    <t>Skaner</t>
  </si>
  <si>
    <t>Tavoline</t>
  </si>
  <si>
    <t>Kompjuterike,zyre,inst,etj</t>
  </si>
  <si>
    <t>Mirembajtje dhe riparime,dietaetj</t>
  </si>
  <si>
    <t>Viti 2018</t>
  </si>
  <si>
    <t>Ushtrimi 18</t>
  </si>
  <si>
    <t>Vlefta 2018</t>
  </si>
  <si>
    <t>Benimpex 2018</t>
  </si>
  <si>
    <t>31 Dhjetor 2018</t>
  </si>
  <si>
    <t>VITI 2018</t>
  </si>
  <si>
    <t>printer</t>
  </si>
  <si>
    <t>parket</t>
  </si>
  <si>
    <t>aksesore</t>
  </si>
  <si>
    <t>veshje</t>
  </si>
  <si>
    <t>element</t>
  </si>
  <si>
    <t>punime</t>
  </si>
  <si>
    <t>karrige</t>
  </si>
  <si>
    <t>komjuter</t>
  </si>
  <si>
    <t>hp kompjuter</t>
  </si>
  <si>
    <t>mobilim</t>
  </si>
  <si>
    <t>kioske</t>
  </si>
  <si>
    <t>fit</t>
  </si>
  <si>
    <t>TATim Fitimi</t>
  </si>
  <si>
    <t>Benimpex 2019</t>
  </si>
  <si>
    <t>Vlefta 2019</t>
  </si>
  <si>
    <t>Ushtrimi 19</t>
  </si>
  <si>
    <t>Viti 2019</t>
  </si>
  <si>
    <t>VITI 2019</t>
  </si>
  <si>
    <t>Pozicioni më 31 dhjetor 2019</t>
  </si>
  <si>
    <t>Vl. totale e inventarit  31/12/2019</t>
  </si>
  <si>
    <t>Pc Kompjuer</t>
  </si>
  <si>
    <t>NIPT</t>
  </si>
  <si>
    <t>Emri I Tatimpaguesit</t>
  </si>
  <si>
    <t>Lloji i mjetit</t>
  </si>
  <si>
    <t>Tipi/Markë</t>
  </si>
  <si>
    <t>Targë</t>
  </si>
  <si>
    <t>Pronësia</t>
  </si>
  <si>
    <t>Leje qarkullimi</t>
  </si>
  <si>
    <t>Vlera kontabël</t>
  </si>
  <si>
    <t>Vlera e mjetit e rregjistruar</t>
  </si>
  <si>
    <t>Viti i prodhimit</t>
  </si>
  <si>
    <t>Bara siguruar e mjetit.</t>
  </si>
  <si>
    <t>Benimpex 2020</t>
  </si>
  <si>
    <t>Vlefta 2020</t>
  </si>
  <si>
    <t>Ushtrimi 20</t>
  </si>
  <si>
    <t>VITI  2020</t>
  </si>
  <si>
    <t>Nga 01.01.2020 deri 31.12.2020</t>
  </si>
  <si>
    <t>31.12.2020</t>
  </si>
  <si>
    <t>Viti 2020</t>
  </si>
  <si>
    <t>Bilanci   Kontabel  me  31 Dhjetor  2020</t>
  </si>
  <si>
    <t>Llogaria te Ardhura &amp; Shpenzime per vitin e mbyllur me 31 Dhjetor 2020</t>
  </si>
  <si>
    <t>VITI 2020</t>
  </si>
  <si>
    <t>Periudha kontabel     01 Janar - 31 Dhjetor  2020</t>
  </si>
  <si>
    <t>Pasqyra e levizjes se kapitaleve te veta  me 31 Dhjetor  2018  -  31 Dhjetor 2020</t>
  </si>
  <si>
    <t>Pozicioni më 31 Dhjetor  2018</t>
  </si>
  <si>
    <t>Pozicioni më 31 dhjetor 2020</t>
  </si>
  <si>
    <t>Periudha kontabel     01 Janar - 31 Dhjetor 2020</t>
  </si>
  <si>
    <t>Bilanci i Celjes     01.01.2020</t>
  </si>
  <si>
    <t>Hyrjet  2020</t>
  </si>
  <si>
    <t>Daljet  2020</t>
  </si>
  <si>
    <t>Bilanci i Mbylljes 31.12.2020</t>
  </si>
  <si>
    <t>Aktivet Afatgjata Materiale  me vlere fillestare   2020</t>
  </si>
  <si>
    <t>Amortizimi A.A.Materiale   2020</t>
  </si>
  <si>
    <t>Vlera Kontabel Neto e A.A.Materiale  2020</t>
  </si>
  <si>
    <t>31,12,2020</t>
  </si>
  <si>
    <t>Fotokopje Toshiba</t>
  </si>
  <si>
    <t>Tavolina dhe rafte</t>
  </si>
  <si>
    <t>Vl. E Mbetur e aktiveve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</si>
</sst>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(* #,##0_);_(* \(#,##0\);_(* &quot;-&quot;_);_(@_)"/>
    <numFmt numFmtId="43" formatCode="_(* #,##0.00_);_(* \(#,##0.00\);_(* &quot;-&quot;??_);_(@_)"/>
    <numFmt numFmtId="169" formatCode="_-* #,##0_-;\-* #,##0_-;_-* &quot;-&quot;_-;_-@_-"/>
    <numFmt numFmtId="171" formatCode="_-* #,##0.00_-;\-* #,##0.00_-;_-* &quot;-&quot;??_-;_-@_-"/>
    <numFmt numFmtId="182" formatCode="#,##0.00_);\-#,##0.00"/>
    <numFmt numFmtId="183" formatCode="_(* #,##0_);_(* \(#,##0\);_(* &quot;-&quot;??_);_(@_)"/>
    <numFmt numFmtId="185" formatCode="dd\/mm\/yyyy"/>
    <numFmt numFmtId="193" formatCode="#,##0.00_ ;\-#,##0.00\ "/>
    <numFmt numFmtId="196" formatCode="&quot; &quot;#,##0&quot; &quot;;\(#,##0\)"/>
    <numFmt numFmtId="197" formatCode="_-* #,##0\ _€_-;\-* #,##0\ _€_-;_-* &quot;-&quot;??\ _€_-;_-@_-"/>
    <numFmt numFmtId="198" formatCode="_-* #,##0.00\ _€_-;\-* #,##0.00\ _€_-;_-* &quot;-&quot;??\ _€_-;_-@_-"/>
  </numFmts>
  <fonts count="87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b/>
      <sz val="10"/>
      <name val="Times New Roman"/>
      <family val="1"/>
    </font>
    <font>
      <i/>
      <sz val="13"/>
      <name val="Garamond"/>
      <family val="1"/>
    </font>
    <font>
      <sz val="11"/>
      <name val="Times New Roman"/>
      <family val="1"/>
    </font>
    <font>
      <i/>
      <sz val="11"/>
      <name val="Times New Roman"/>
      <family val="1"/>
    </font>
    <font>
      <i/>
      <sz val="12"/>
      <name val="Garamond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10"/>
      <color indexed="8"/>
      <name val="MS Sans Serif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2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i/>
      <sz val="11.05"/>
      <color indexed="8"/>
      <name val="Times New Roman"/>
      <family val="1"/>
    </font>
    <font>
      <sz val="9"/>
      <color indexed="8"/>
      <name val="Arial"/>
      <family val="2"/>
    </font>
    <font>
      <b/>
      <i/>
      <sz val="9.85"/>
      <color indexed="8"/>
      <name val="Times New Roman"/>
      <family val="1"/>
    </font>
    <font>
      <b/>
      <sz val="9"/>
      <color indexed="8"/>
      <name val="Arial"/>
      <family val="2"/>
    </font>
    <font>
      <b/>
      <i/>
      <sz val="12.6"/>
      <color indexed="8"/>
      <name val="Arial"/>
      <family val="2"/>
    </font>
    <font>
      <sz val="9.85"/>
      <color indexed="8"/>
      <name val="Times New Roman"/>
      <family val="1"/>
    </font>
    <font>
      <b/>
      <i/>
      <sz val="8.9"/>
      <color indexed="8"/>
      <name val="Arial"/>
      <family val="2"/>
    </font>
    <font>
      <b/>
      <i/>
      <sz val="9.9499999999999993"/>
      <color indexed="8"/>
      <name val="Arial"/>
      <family val="2"/>
    </font>
    <font>
      <b/>
      <i/>
      <sz val="13.45"/>
      <color indexed="8"/>
      <name val="Times New Roman"/>
      <family val="1"/>
    </font>
    <font>
      <b/>
      <i/>
      <sz val="10.7"/>
      <color indexed="8"/>
      <name val="Times New Roman"/>
      <family val="1"/>
    </font>
    <font>
      <b/>
      <sz val="9"/>
      <color indexed="8"/>
      <name val="Arial"/>
      <family val="2"/>
    </font>
    <font>
      <b/>
      <sz val="11"/>
      <color indexed="10"/>
      <name val="Times New Roman"/>
      <family val="1"/>
    </font>
    <font>
      <b/>
      <sz val="10.5"/>
      <color indexed="10"/>
      <name val="Times New Roman"/>
      <family val="1"/>
    </font>
    <font>
      <b/>
      <sz val="10"/>
      <color indexed="8"/>
      <name val="Times New Roman"/>
      <family val="1"/>
    </font>
    <font>
      <sz val="10"/>
      <name val="Tahoma"/>
      <family val="2"/>
    </font>
    <font>
      <sz val="10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sz val="10"/>
      <color indexed="8"/>
      <name val="Arial Narrow"/>
      <family val="2"/>
    </font>
    <font>
      <b/>
      <sz val="14"/>
      <name val="Arial Narrow"/>
      <family val="2"/>
    </font>
    <font>
      <b/>
      <sz val="20"/>
      <name val="Arial Narrow"/>
      <family val="2"/>
    </font>
    <font>
      <b/>
      <u/>
      <sz val="22"/>
      <name val="Arial Narrow"/>
      <family val="2"/>
    </font>
    <font>
      <b/>
      <sz val="12"/>
      <name val="Arial Narrow"/>
      <family val="2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14"/>
      <name val="Times New Roman"/>
      <family val="1"/>
    </font>
    <font>
      <b/>
      <i/>
      <sz val="10"/>
      <color indexed="10"/>
      <name val="Times New Roman"/>
      <family val="1"/>
    </font>
    <font>
      <b/>
      <sz val="10"/>
      <name val="Arial"/>
      <family val="2"/>
    </font>
    <font>
      <b/>
      <sz val="12"/>
      <color indexed="8"/>
      <name val="Arial Narrow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i/>
      <sz val="8"/>
      <name val="Arial"/>
      <family val="2"/>
    </font>
    <font>
      <u/>
      <sz val="14"/>
      <name val="Arial"/>
      <family val="2"/>
    </font>
    <font>
      <b/>
      <sz val="14"/>
      <name val="Arial"/>
      <family val="2"/>
    </font>
    <font>
      <b/>
      <i/>
      <u/>
      <sz val="12"/>
      <name val="Arial"/>
      <family val="2"/>
    </font>
    <font>
      <b/>
      <i/>
      <u/>
      <sz val="10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u/>
      <sz val="16"/>
      <name val="Times New Roman"/>
      <family val="1"/>
    </font>
    <font>
      <b/>
      <sz val="8"/>
      <name val="Times New Roman"/>
      <family val="1"/>
    </font>
    <font>
      <b/>
      <sz val="11"/>
      <name val="Arial Narrow"/>
      <family val="2"/>
    </font>
    <font>
      <b/>
      <sz val="12"/>
      <color indexed="10"/>
      <name val="Times New Roman"/>
      <family val="1"/>
    </font>
    <font>
      <b/>
      <i/>
      <u/>
      <sz val="8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8"/>
      <color rgb="FF00B050"/>
      <name val="Arial"/>
      <family val="2"/>
    </font>
    <font>
      <sz val="11"/>
      <color rgb="FFFF0000"/>
      <name val="Times New Roman"/>
      <family val="1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12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171" fontId="59" fillId="0" borderId="0" applyFont="0" applyFill="0" applyBorder="0" applyAlignment="0" applyProtection="0"/>
    <xf numFmtId="198" fontId="33" fillId="0" borderId="0" applyFont="0" applyFill="0" applyBorder="0" applyAlignment="0" applyProtection="0"/>
    <xf numFmtId="0" fontId="78" fillId="0" borderId="0"/>
    <xf numFmtId="0" fontId="78" fillId="0" borderId="0"/>
    <xf numFmtId="0" fontId="78" fillId="0" borderId="0"/>
    <xf numFmtId="0" fontId="78" fillId="0" borderId="0"/>
    <xf numFmtId="0" fontId="11" fillId="0" borderId="0"/>
    <xf numFmtId="0" fontId="11" fillId="0" borderId="0"/>
    <xf numFmtId="0" fontId="34" fillId="0" borderId="0"/>
    <xf numFmtId="0" fontId="33" fillId="0" borderId="0"/>
  </cellStyleXfs>
  <cellXfs count="596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2" fillId="0" borderId="0" xfId="0" applyFont="1" applyAlignment="1">
      <alignment horizontal="left" vertical="justify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43" fontId="2" fillId="0" borderId="0" xfId="1" applyFont="1"/>
    <xf numFmtId="43" fontId="2" fillId="0" borderId="1" xfId="1" applyFont="1" applyBorder="1"/>
    <xf numFmtId="43" fontId="2" fillId="0" borderId="0" xfId="1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8" fillId="0" borderId="0" xfId="0" applyFont="1"/>
    <xf numFmtId="40" fontId="2" fillId="0" borderId="1" xfId="0" applyNumberFormat="1" applyFont="1" applyBorder="1"/>
    <xf numFmtId="43" fontId="4" fillId="0" borderId="2" xfId="1" applyFont="1" applyBorder="1" applyAlignment="1">
      <alignment horizontal="center"/>
    </xf>
    <xf numFmtId="40" fontId="6" fillId="0" borderId="0" xfId="0" applyNumberFormat="1" applyFont="1" applyFill="1"/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3" fontId="6" fillId="0" borderId="0" xfId="0" applyNumberFormat="1" applyFont="1" applyFill="1"/>
    <xf numFmtId="43" fontId="2" fillId="0" borderId="0" xfId="1" applyFont="1" applyFill="1"/>
    <xf numFmtId="0" fontId="2" fillId="0" borderId="0" xfId="0" applyFont="1" applyFill="1"/>
    <xf numFmtId="40" fontId="2" fillId="0" borderId="1" xfId="0" applyNumberFormat="1" applyFont="1" applyFill="1" applyBorder="1"/>
    <xf numFmtId="0" fontId="2" fillId="0" borderId="0" xfId="0" applyFont="1" applyFill="1" applyBorder="1"/>
    <xf numFmtId="39" fontId="6" fillId="0" borderId="0" xfId="0" applyNumberFormat="1" applyFont="1" applyFill="1"/>
    <xf numFmtId="0" fontId="0" fillId="0" borderId="0" xfId="0" applyNumberFormat="1" applyFill="1" applyBorder="1" applyAlignment="1" applyProtection="1"/>
    <xf numFmtId="182" fontId="13" fillId="0" borderId="0" xfId="0" applyNumberFormat="1" applyFont="1" applyFill="1" applyAlignment="1">
      <alignment horizontal="right" vertical="center"/>
    </xf>
    <xf numFmtId="182" fontId="14" fillId="0" borderId="0" xfId="0" applyNumberFormat="1" applyFont="1" applyFill="1" applyAlignment="1">
      <alignment horizontal="right" vertical="center"/>
    </xf>
    <xf numFmtId="0" fontId="15" fillId="0" borderId="0" xfId="0" applyFont="1"/>
    <xf numFmtId="182" fontId="18" fillId="0" borderId="0" xfId="0" applyNumberFormat="1" applyFont="1" applyFill="1" applyAlignment="1">
      <alignment horizontal="right"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185" fontId="20" fillId="0" borderId="0" xfId="0" applyNumberFormat="1" applyFont="1" applyFill="1" applyAlignment="1">
      <alignment horizontal="center" vertical="center"/>
    </xf>
    <xf numFmtId="0" fontId="20" fillId="0" borderId="0" xfId="0" applyFont="1" applyFill="1" applyAlignment="1">
      <alignment vertical="center"/>
    </xf>
    <xf numFmtId="182" fontId="20" fillId="0" borderId="0" xfId="0" applyNumberFormat="1" applyFont="1" applyFill="1" applyAlignment="1">
      <alignment horizontal="right" vertical="center"/>
    </xf>
    <xf numFmtId="0" fontId="21" fillId="0" borderId="0" xfId="0" applyFont="1" applyFill="1" applyAlignment="1">
      <alignment horizontal="right" vertical="center"/>
    </xf>
    <xf numFmtId="182" fontId="22" fillId="0" borderId="0" xfId="0" applyNumberFormat="1" applyFont="1" applyFill="1" applyAlignment="1">
      <alignment horizontal="right" vertical="center"/>
    </xf>
    <xf numFmtId="43" fontId="2" fillId="0" borderId="0" xfId="0" applyNumberFormat="1" applyFont="1" applyFill="1"/>
    <xf numFmtId="0" fontId="11" fillId="0" borderId="0" xfId="9" applyNumberFormat="1" applyFill="1" applyBorder="1" applyAlignment="1" applyProtection="1"/>
    <xf numFmtId="0" fontId="24" fillId="0" borderId="0" xfId="9" applyFont="1" applyAlignment="1">
      <alignment vertical="center"/>
    </xf>
    <xf numFmtId="0" fontId="21" fillId="0" borderId="0" xfId="9" applyFont="1" applyAlignment="1">
      <alignment horizontal="center" vertical="center"/>
    </xf>
    <xf numFmtId="0" fontId="21" fillId="0" borderId="0" xfId="9" applyFont="1" applyAlignment="1">
      <alignment horizontal="left" vertical="center"/>
    </xf>
    <xf numFmtId="0" fontId="20" fillId="0" borderId="0" xfId="9" applyFont="1" applyAlignment="1">
      <alignment horizontal="center" vertical="center"/>
    </xf>
    <xf numFmtId="0" fontId="20" fillId="0" borderId="0" xfId="9" applyFont="1" applyAlignment="1">
      <alignment vertical="center"/>
    </xf>
    <xf numFmtId="182" fontId="20" fillId="0" borderId="0" xfId="9" applyNumberFormat="1" applyFont="1" applyAlignment="1">
      <alignment horizontal="right" vertical="center"/>
    </xf>
    <xf numFmtId="0" fontId="26" fillId="0" borderId="0" xfId="9" applyFont="1" applyAlignment="1">
      <alignment vertical="center"/>
    </xf>
    <xf numFmtId="0" fontId="11" fillId="0" borderId="0" xfId="8" applyNumberFormat="1" applyFill="1" applyBorder="1" applyAlignment="1" applyProtection="1"/>
    <xf numFmtId="0" fontId="27" fillId="0" borderId="0" xfId="8" applyFont="1" applyAlignment="1">
      <alignment horizontal="center" vertical="center"/>
    </xf>
    <xf numFmtId="0" fontId="28" fillId="0" borderId="0" xfId="8" applyFont="1" applyAlignment="1">
      <alignment horizontal="center" vertical="center"/>
    </xf>
    <xf numFmtId="0" fontId="21" fillId="0" borderId="0" xfId="8" applyFont="1" applyAlignment="1">
      <alignment horizontal="center" vertical="center"/>
    </xf>
    <xf numFmtId="0" fontId="19" fillId="0" borderId="0" xfId="8" applyFont="1" applyAlignment="1">
      <alignment horizontal="center" vertical="center"/>
    </xf>
    <xf numFmtId="0" fontId="20" fillId="0" borderId="0" xfId="8" applyFont="1" applyAlignment="1">
      <alignment horizontal="center" vertical="center"/>
    </xf>
    <xf numFmtId="0" fontId="20" fillId="0" borderId="0" xfId="8" applyFont="1" applyAlignment="1">
      <alignment vertical="center"/>
    </xf>
    <xf numFmtId="182" fontId="20" fillId="0" borderId="0" xfId="8" applyNumberFormat="1" applyFont="1" applyAlignment="1">
      <alignment horizontal="right" vertical="center"/>
    </xf>
    <xf numFmtId="0" fontId="21" fillId="0" borderId="0" xfId="8" applyFont="1" applyAlignment="1">
      <alignment vertical="center"/>
    </xf>
    <xf numFmtId="0" fontId="25" fillId="0" borderId="0" xfId="9" applyFont="1" applyAlignment="1">
      <alignment horizontal="left" vertical="center"/>
    </xf>
    <xf numFmtId="0" fontId="23" fillId="0" borderId="0" xfId="9" applyFont="1" applyAlignment="1">
      <alignment horizontal="left" vertical="center"/>
    </xf>
    <xf numFmtId="182" fontId="29" fillId="0" borderId="0" xfId="9" applyNumberFormat="1" applyFont="1" applyAlignment="1">
      <alignment horizontal="right" vertical="center"/>
    </xf>
    <xf numFmtId="0" fontId="29" fillId="2" borderId="0" xfId="9" applyFont="1" applyFill="1" applyAlignment="1">
      <alignment vertical="center"/>
    </xf>
    <xf numFmtId="0" fontId="19" fillId="2" borderId="0" xfId="9" applyFont="1" applyFill="1" applyAlignment="1">
      <alignment horizontal="center" vertical="center"/>
    </xf>
    <xf numFmtId="182" fontId="20" fillId="2" borderId="0" xfId="9" applyNumberFormat="1" applyFont="1" applyFill="1" applyAlignment="1">
      <alignment horizontal="right" vertical="center"/>
    </xf>
    <xf numFmtId="0" fontId="11" fillId="2" borderId="0" xfId="9" applyNumberFormat="1" applyFill="1" applyBorder="1" applyAlignment="1" applyProtection="1"/>
    <xf numFmtId="182" fontId="29" fillId="0" borderId="0" xfId="8" applyNumberFormat="1" applyFont="1" applyAlignment="1">
      <alignment horizontal="right" vertical="center"/>
    </xf>
    <xf numFmtId="182" fontId="20" fillId="3" borderId="0" xfId="8" applyNumberFormat="1" applyFont="1" applyFill="1" applyAlignment="1">
      <alignment horizontal="right" vertical="center"/>
    </xf>
    <xf numFmtId="43" fontId="4" fillId="0" borderId="2" xfId="1" applyFont="1" applyBorder="1" applyAlignment="1">
      <alignment horizontal="center" wrapText="1"/>
    </xf>
    <xf numFmtId="43" fontId="6" fillId="0" borderId="0" xfId="0" applyNumberFormat="1" applyFont="1" applyFill="1" applyAlignment="1">
      <alignment horizontal="center"/>
    </xf>
    <xf numFmtId="0" fontId="9" fillId="0" borderId="0" xfId="0" applyFont="1" applyFill="1"/>
    <xf numFmtId="43" fontId="9" fillId="0" borderId="0" xfId="0" applyNumberFormat="1" applyFont="1" applyFill="1" applyAlignment="1">
      <alignment horizontal="center"/>
    </xf>
    <xf numFmtId="2" fontId="11" fillId="0" borderId="0" xfId="9" applyNumberFormat="1" applyFill="1" applyBorder="1" applyAlignment="1" applyProtection="1"/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32" fillId="0" borderId="3" xfId="0" applyNumberFormat="1" applyFont="1" applyFill="1" applyBorder="1" applyAlignment="1" applyProtection="1">
      <alignment wrapText="1"/>
    </xf>
    <xf numFmtId="3" fontId="2" fillId="0" borderId="3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>
      <alignment wrapText="1"/>
    </xf>
    <xf numFmtId="0" fontId="10" fillId="0" borderId="0" xfId="0" applyFont="1" applyFill="1"/>
    <xf numFmtId="0" fontId="36" fillId="0" borderId="4" xfId="0" applyFont="1" applyBorder="1"/>
    <xf numFmtId="0" fontId="35" fillId="0" borderId="0" xfId="0" applyFont="1"/>
    <xf numFmtId="0" fontId="36" fillId="0" borderId="5" xfId="0" applyFont="1" applyBorder="1"/>
    <xf numFmtId="0" fontId="36" fillId="0" borderId="6" xfId="0" applyFont="1" applyBorder="1"/>
    <xf numFmtId="0" fontId="36" fillId="0" borderId="7" xfId="0" applyFont="1" applyBorder="1"/>
    <xf numFmtId="0" fontId="36" fillId="0" borderId="8" xfId="0" applyFont="1" applyBorder="1"/>
    <xf numFmtId="0" fontId="37" fillId="0" borderId="0" xfId="0" applyFont="1" applyBorder="1"/>
    <xf numFmtId="0" fontId="37" fillId="0" borderId="0" xfId="0" applyFont="1" applyBorder="1" applyAlignment="1">
      <alignment horizontal="left"/>
    </xf>
    <xf numFmtId="0" fontId="37" fillId="0" borderId="4" xfId="0" applyFont="1" applyBorder="1"/>
    <xf numFmtId="0" fontId="36" fillId="0" borderId="0" xfId="0" applyFont="1" applyBorder="1"/>
    <xf numFmtId="0" fontId="39" fillId="0" borderId="0" xfId="0" applyNumberFormat="1" applyFont="1" applyFill="1" applyBorder="1" applyAlignment="1" applyProtection="1"/>
    <xf numFmtId="0" fontId="40" fillId="0" borderId="0" xfId="0" applyFont="1" applyBorder="1"/>
    <xf numFmtId="0" fontId="36" fillId="0" borderId="8" xfId="0" applyFont="1" applyBorder="1" applyAlignment="1">
      <alignment horizontal="left"/>
    </xf>
    <xf numFmtId="0" fontId="42" fillId="0" borderId="0" xfId="0" applyFont="1" applyBorder="1"/>
    <xf numFmtId="0" fontId="36" fillId="0" borderId="9" xfId="0" applyFont="1" applyBorder="1"/>
    <xf numFmtId="0" fontId="36" fillId="0" borderId="10" xfId="0" applyFont="1" applyBorder="1"/>
    <xf numFmtId="0" fontId="36" fillId="0" borderId="11" xfId="0" applyFont="1" applyBorder="1"/>
    <xf numFmtId="0" fontId="36" fillId="0" borderId="0" xfId="0" applyFont="1"/>
    <xf numFmtId="0" fontId="43" fillId="0" borderId="0" xfId="0" applyFont="1" applyBorder="1" applyAlignment="1">
      <alignment horizontal="left"/>
    </xf>
    <xf numFmtId="182" fontId="11" fillId="0" borderId="0" xfId="9" applyNumberFormat="1" applyFill="1" applyBorder="1" applyAlignment="1" applyProtection="1"/>
    <xf numFmtId="0" fontId="44" fillId="0" borderId="0" xfId="0" applyFont="1" applyBorder="1"/>
    <xf numFmtId="0" fontId="44" fillId="0" borderId="0" xfId="0" applyFont="1" applyBorder="1" applyAlignment="1">
      <alignment horizontal="center"/>
    </xf>
    <xf numFmtId="0" fontId="44" fillId="0" borderId="0" xfId="0" applyFont="1" applyFill="1"/>
    <xf numFmtId="0" fontId="44" fillId="0" borderId="0" xfId="0" applyFont="1"/>
    <xf numFmtId="0" fontId="45" fillId="0" borderId="0" xfId="0" applyFont="1"/>
    <xf numFmtId="0" fontId="15" fillId="0" borderId="0" xfId="0" applyFont="1" applyBorder="1"/>
    <xf numFmtId="0" fontId="15" fillId="0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wrapText="1"/>
    </xf>
    <xf numFmtId="43" fontId="44" fillId="0" borderId="0" xfId="1" applyFont="1" applyFill="1"/>
    <xf numFmtId="43" fontId="46" fillId="0" borderId="0" xfId="1" applyFont="1" applyFill="1" applyAlignment="1">
      <alignment horizontal="right" vertical="center"/>
    </xf>
    <xf numFmtId="43" fontId="44" fillId="0" borderId="0" xfId="0" applyNumberFormat="1" applyFont="1" applyFill="1"/>
    <xf numFmtId="43" fontId="44" fillId="0" borderId="12" xfId="1" applyFont="1" applyFill="1" applyBorder="1"/>
    <xf numFmtId="182" fontId="46" fillId="0" borderId="0" xfId="0" applyNumberFormat="1" applyFont="1" applyFill="1" applyAlignment="1">
      <alignment horizontal="right" vertical="center"/>
    </xf>
    <xf numFmtId="40" fontId="44" fillId="0" borderId="0" xfId="0" applyNumberFormat="1" applyFont="1" applyFill="1"/>
    <xf numFmtId="0" fontId="15" fillId="0" borderId="0" xfId="0" applyFont="1" applyBorder="1" applyAlignment="1">
      <alignment horizontal="center"/>
    </xf>
    <xf numFmtId="43" fontId="44" fillId="0" borderId="1" xfId="1" applyFont="1" applyFill="1" applyBorder="1"/>
    <xf numFmtId="43" fontId="15" fillId="0" borderId="0" xfId="1" applyFont="1" applyFill="1"/>
    <xf numFmtId="39" fontId="44" fillId="0" borderId="1" xfId="1" applyNumberFormat="1" applyFont="1" applyFill="1" applyBorder="1"/>
    <xf numFmtId="43" fontId="44" fillId="0" borderId="0" xfId="0" applyNumberFormat="1" applyFont="1"/>
    <xf numFmtId="43" fontId="44" fillId="0" borderId="0" xfId="1" applyFont="1" applyFill="1" applyBorder="1"/>
    <xf numFmtId="0" fontId="15" fillId="0" borderId="0" xfId="0" applyFont="1" applyFill="1"/>
    <xf numFmtId="43" fontId="15" fillId="0" borderId="0" xfId="0" applyNumberFormat="1" applyFont="1" applyFill="1" applyAlignment="1">
      <alignment horizontal="center"/>
    </xf>
    <xf numFmtId="43" fontId="44" fillId="0" borderId="0" xfId="0" applyNumberFormat="1" applyFont="1" applyFill="1" applyAlignment="1">
      <alignment horizontal="center"/>
    </xf>
    <xf numFmtId="0" fontId="44" fillId="0" borderId="0" xfId="0" applyFont="1" applyFill="1" applyBorder="1"/>
    <xf numFmtId="39" fontId="44" fillId="0" borderId="0" xfId="0" applyNumberFormat="1" applyFont="1" applyFill="1"/>
    <xf numFmtId="4" fontId="44" fillId="0" borderId="0" xfId="0" applyNumberFormat="1" applyFont="1"/>
    <xf numFmtId="0" fontId="47" fillId="0" borderId="0" xfId="0" applyFont="1" applyBorder="1"/>
    <xf numFmtId="0" fontId="45" fillId="0" borderId="0" xfId="0" applyFont="1" applyBorder="1"/>
    <xf numFmtId="39" fontId="44" fillId="0" borderId="0" xfId="0" applyNumberFormat="1" applyFont="1" applyFill="1" applyBorder="1"/>
    <xf numFmtId="4" fontId="44" fillId="0" borderId="0" xfId="0" applyNumberFormat="1" applyFont="1" applyBorder="1"/>
    <xf numFmtId="0" fontId="44" fillId="0" borderId="0" xfId="0" applyFont="1" applyBorder="1" applyAlignment="1">
      <alignment horizontal="left" wrapText="1"/>
    </xf>
    <xf numFmtId="39" fontId="44" fillId="0" borderId="0" xfId="0" applyNumberFormat="1" applyFont="1" applyFill="1" applyBorder="1" applyAlignment="1">
      <alignment horizontal="left" wrapText="1"/>
    </xf>
    <xf numFmtId="39" fontId="15" fillId="0" borderId="2" xfId="0" applyNumberFormat="1" applyFont="1" applyFill="1" applyBorder="1" applyAlignment="1">
      <alignment horizontal="center" wrapText="1"/>
    </xf>
    <xf numFmtId="39" fontId="44" fillId="0" borderId="0" xfId="0" applyNumberFormat="1" applyFont="1" applyFill="1" applyBorder="1" applyAlignment="1">
      <alignment horizontal="right" wrapText="1"/>
    </xf>
    <xf numFmtId="0" fontId="44" fillId="0" borderId="0" xfId="0" applyFont="1" applyAlignment="1">
      <alignment horizontal="left" vertical="justify"/>
    </xf>
    <xf numFmtId="4" fontId="44" fillId="0" borderId="0" xfId="0" applyNumberFormat="1" applyFont="1" applyFill="1" applyBorder="1"/>
    <xf numFmtId="4" fontId="44" fillId="0" borderId="0" xfId="0" applyNumberFormat="1" applyFont="1" applyBorder="1" applyAlignment="1">
      <alignment horizontal="left" wrapText="1"/>
    </xf>
    <xf numFmtId="4" fontId="44" fillId="0" borderId="0" xfId="0" applyNumberFormat="1" applyFont="1" applyFill="1" applyBorder="1" applyAlignment="1">
      <alignment horizontal="right" wrapText="1"/>
    </xf>
    <xf numFmtId="39" fontId="44" fillId="0" borderId="10" xfId="0" applyNumberFormat="1" applyFont="1" applyFill="1" applyBorder="1" applyAlignment="1">
      <alignment horizontal="right" wrapText="1"/>
    </xf>
    <xf numFmtId="4" fontId="44" fillId="0" borderId="0" xfId="0" applyNumberFormat="1" applyFont="1" applyBorder="1" applyAlignment="1">
      <alignment horizontal="right" wrapText="1"/>
    </xf>
    <xf numFmtId="39" fontId="44" fillId="0" borderId="0" xfId="0" applyNumberFormat="1" applyFont="1" applyBorder="1"/>
    <xf numFmtId="0" fontId="15" fillId="0" borderId="0" xfId="0" applyFont="1" applyBorder="1" applyAlignment="1">
      <alignment horizontal="left"/>
    </xf>
    <xf numFmtId="39" fontId="44" fillId="0" borderId="10" xfId="0" applyNumberFormat="1" applyFont="1" applyFill="1" applyBorder="1"/>
    <xf numFmtId="43" fontId="44" fillId="0" borderId="0" xfId="1" applyFont="1" applyFill="1" applyBorder="1" applyAlignment="1">
      <alignment horizontal="center" wrapText="1"/>
    </xf>
    <xf numFmtId="39" fontId="44" fillId="0" borderId="12" xfId="0" applyNumberFormat="1" applyFont="1" applyFill="1" applyBorder="1" applyAlignment="1">
      <alignment horizontal="right" wrapText="1"/>
    </xf>
    <xf numFmtId="39" fontId="15" fillId="0" borderId="0" xfId="0" applyNumberFormat="1" applyFont="1" applyFill="1" applyBorder="1" applyAlignment="1">
      <alignment horizontal="right" wrapText="1"/>
    </xf>
    <xf numFmtId="4" fontId="15" fillId="0" borderId="0" xfId="0" applyNumberFormat="1" applyFont="1" applyBorder="1" applyAlignment="1">
      <alignment horizontal="left" wrapText="1"/>
    </xf>
    <xf numFmtId="39" fontId="15" fillId="0" borderId="0" xfId="0" applyNumberFormat="1" applyFont="1" applyFill="1" applyBorder="1" applyAlignment="1"/>
    <xf numFmtId="4" fontId="15" fillId="0" borderId="0" xfId="0" applyNumberFormat="1" applyFont="1" applyBorder="1" applyAlignment="1"/>
    <xf numFmtId="0" fontId="13" fillId="0" borderId="0" xfId="9" applyFont="1" applyAlignment="1">
      <alignment vertical="center"/>
    </xf>
    <xf numFmtId="3" fontId="2" fillId="0" borderId="13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>
      <alignment horizontal="center" vertical="center"/>
    </xf>
    <xf numFmtId="3" fontId="2" fillId="0" borderId="15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>
      <alignment wrapText="1"/>
    </xf>
    <xf numFmtId="3" fontId="2" fillId="0" borderId="14" xfId="0" applyNumberFormat="1" applyFont="1" applyFill="1" applyBorder="1" applyAlignment="1" applyProtection="1"/>
    <xf numFmtId="3" fontId="2" fillId="0" borderId="5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0" fontId="32" fillId="0" borderId="17" xfId="0" applyNumberFormat="1" applyFont="1" applyFill="1" applyBorder="1" applyAlignment="1" applyProtection="1">
      <alignment wrapText="1"/>
    </xf>
    <xf numFmtId="3" fontId="2" fillId="0" borderId="18" xfId="0" applyNumberFormat="1" applyFont="1" applyFill="1" applyBorder="1" applyAlignment="1" applyProtection="1"/>
    <xf numFmtId="3" fontId="2" fillId="0" borderId="19" xfId="0" applyNumberFormat="1" applyFont="1" applyFill="1" applyBorder="1" applyAlignment="1" applyProtection="1"/>
    <xf numFmtId="3" fontId="4" fillId="0" borderId="20" xfId="0" applyNumberFormat="1" applyFont="1" applyFill="1" applyBorder="1" applyAlignment="1" applyProtection="1"/>
    <xf numFmtId="0" fontId="6" fillId="0" borderId="0" xfId="0" applyFont="1" applyFill="1" applyBorder="1"/>
    <xf numFmtId="39" fontId="7" fillId="0" borderId="0" xfId="0" applyNumberFormat="1" applyFont="1" applyFill="1" applyBorder="1" applyAlignment="1">
      <alignment horizontal="center"/>
    </xf>
    <xf numFmtId="43" fontId="6" fillId="0" borderId="0" xfId="1" applyFont="1" applyFill="1" applyBorder="1"/>
    <xf numFmtId="0" fontId="9" fillId="0" borderId="0" xfId="0" applyFont="1" applyFill="1" applyBorder="1" applyAlignment="1">
      <alignment horizontal="center"/>
    </xf>
    <xf numFmtId="196" fontId="4" fillId="0" borderId="21" xfId="11" applyNumberFormat="1" applyFont="1" applyFill="1" applyBorder="1" applyAlignment="1" applyProtection="1">
      <alignment horizontal="center" vertical="center" wrapText="1"/>
      <protection locked="0"/>
    </xf>
    <xf numFmtId="0" fontId="48" fillId="0" borderId="0" xfId="0" applyFont="1" applyBorder="1"/>
    <xf numFmtId="0" fontId="49" fillId="0" borderId="0" xfId="0" applyFont="1" applyBorder="1"/>
    <xf numFmtId="0" fontId="2" fillId="0" borderId="0" xfId="11" applyFont="1" applyBorder="1" applyAlignment="1">
      <alignment horizontal="left"/>
    </xf>
    <xf numFmtId="0" fontId="49" fillId="0" borderId="0" xfId="0" applyFont="1"/>
    <xf numFmtId="0" fontId="2" fillId="0" borderId="0" xfId="11" applyFont="1" applyBorder="1"/>
    <xf numFmtId="196" fontId="4" fillId="0" borderId="0" xfId="10" applyNumberFormat="1" applyFont="1" applyFill="1" applyBorder="1" applyAlignment="1">
      <alignment horizontal="center" vertical="center"/>
    </xf>
    <xf numFmtId="196" fontId="4" fillId="0" borderId="22" xfId="10" applyNumberFormat="1" applyFont="1" applyFill="1" applyBorder="1" applyAlignment="1">
      <alignment horizontal="center" vertical="center"/>
    </xf>
    <xf numFmtId="0" fontId="50" fillId="0" borderId="23" xfId="0" applyNumberFormat="1" applyFont="1" applyFill="1" applyBorder="1" applyAlignment="1" applyProtection="1"/>
    <xf numFmtId="196" fontId="2" fillId="0" borderId="0" xfId="10" applyNumberFormat="1" applyFont="1" applyFill="1" applyBorder="1" applyAlignment="1" applyProtection="1">
      <alignment horizontal="center" vertical="center"/>
    </xf>
    <xf numFmtId="196" fontId="4" fillId="0" borderId="24" xfId="11" applyNumberFormat="1" applyFont="1" applyFill="1" applyBorder="1" applyAlignment="1" applyProtection="1">
      <alignment horizontal="center" vertical="center"/>
      <protection locked="0"/>
    </xf>
    <xf numFmtId="196" fontId="4" fillId="0" borderId="25" xfId="11" applyNumberFormat="1" applyFont="1" applyFill="1" applyBorder="1" applyAlignment="1" applyProtection="1">
      <alignment horizontal="center" vertical="center"/>
      <protection locked="0"/>
    </xf>
    <xf numFmtId="196" fontId="4" fillId="0" borderId="25" xfId="11" applyNumberFormat="1" applyFont="1" applyFill="1" applyBorder="1" applyAlignment="1" applyProtection="1">
      <alignment horizontal="center" vertical="center" wrapText="1"/>
      <protection locked="0"/>
    </xf>
    <xf numFmtId="196" fontId="4" fillId="0" borderId="26" xfId="11" applyNumberFormat="1" applyFont="1" applyFill="1" applyBorder="1" applyAlignment="1" applyProtection="1">
      <alignment horizontal="center" vertical="center" wrapText="1"/>
      <protection locked="0"/>
    </xf>
    <xf numFmtId="196" fontId="4" fillId="0" borderId="21" xfId="10" applyNumberFormat="1" applyFont="1" applyFill="1" applyBorder="1" applyAlignment="1" applyProtection="1">
      <alignment horizontal="center" vertical="center"/>
      <protection locked="0"/>
    </xf>
    <xf numFmtId="196" fontId="4" fillId="0" borderId="0" xfId="10" applyNumberFormat="1" applyFont="1" applyFill="1" applyBorder="1" applyAlignment="1" applyProtection="1">
      <alignment horizontal="center" vertical="center"/>
      <protection locked="0"/>
    </xf>
    <xf numFmtId="0" fontId="2" fillId="0" borderId="0" xfId="11" applyFont="1" applyBorder="1" applyAlignment="1">
      <alignment horizontal="center" vertical="center"/>
    </xf>
    <xf numFmtId="0" fontId="50" fillId="0" borderId="27" xfId="0" applyNumberFormat="1" applyFont="1" applyFill="1" applyBorder="1" applyAlignment="1" applyProtection="1"/>
    <xf numFmtId="0" fontId="50" fillId="0" borderId="28" xfId="0" applyNumberFormat="1" applyFont="1" applyFill="1" applyBorder="1" applyAlignment="1" applyProtection="1"/>
    <xf numFmtId="0" fontId="50" fillId="0" borderId="29" xfId="0" applyNumberFormat="1" applyFont="1" applyFill="1" applyBorder="1" applyAlignment="1" applyProtection="1"/>
    <xf numFmtId="0" fontId="50" fillId="0" borderId="30" xfId="0" applyNumberFormat="1" applyFont="1" applyFill="1" applyBorder="1" applyAlignment="1" applyProtection="1"/>
    <xf numFmtId="0" fontId="50" fillId="0" borderId="31" xfId="0" applyNumberFormat="1" applyFont="1" applyFill="1" applyBorder="1" applyAlignment="1" applyProtection="1"/>
    <xf numFmtId="196" fontId="4" fillId="0" borderId="0" xfId="11" applyNumberFormat="1" applyFont="1" applyFill="1" applyBorder="1" applyAlignment="1" applyProtection="1">
      <alignment horizontal="center" vertical="center"/>
      <protection locked="0"/>
    </xf>
    <xf numFmtId="196" fontId="4" fillId="0" borderId="0" xfId="11" applyNumberFormat="1" applyFont="1" applyFill="1" applyBorder="1" applyAlignment="1" applyProtection="1">
      <alignment horizontal="center" vertical="center" wrapText="1"/>
      <protection locked="0"/>
    </xf>
    <xf numFmtId="196" fontId="51" fillId="0" borderId="0" xfId="10" applyNumberFormat="1" applyFont="1" applyBorder="1" applyAlignment="1" applyProtection="1">
      <alignment horizontal="center" vertical="center" wrapText="1"/>
      <protection locked="0"/>
    </xf>
    <xf numFmtId="196" fontId="4" fillId="0" borderId="32" xfId="10" applyNumberFormat="1" applyFont="1" applyFill="1" applyBorder="1" applyAlignment="1">
      <alignment horizontal="center" vertical="center"/>
    </xf>
    <xf numFmtId="196" fontId="4" fillId="0" borderId="33" xfId="10" applyNumberFormat="1" applyFont="1" applyFill="1" applyBorder="1" applyAlignment="1">
      <alignment horizontal="center" vertical="center"/>
    </xf>
    <xf numFmtId="196" fontId="4" fillId="0" borderId="34" xfId="11" applyNumberFormat="1" applyFont="1" applyFill="1" applyBorder="1" applyAlignment="1" applyProtection="1">
      <alignment horizontal="center" vertical="center"/>
      <protection locked="0"/>
    </xf>
    <xf numFmtId="196" fontId="4" fillId="0" borderId="35" xfId="11" applyNumberFormat="1" applyFont="1" applyFill="1" applyBorder="1" applyAlignment="1" applyProtection="1">
      <alignment horizontal="center" vertical="center"/>
      <protection locked="0"/>
    </xf>
    <xf numFmtId="196" fontId="4" fillId="0" borderId="36" xfId="11" applyNumberFormat="1" applyFont="1" applyFill="1" applyBorder="1" applyAlignment="1" applyProtection="1">
      <alignment horizontal="center" vertical="center" wrapText="1"/>
      <protection locked="0"/>
    </xf>
    <xf numFmtId="196" fontId="4" fillId="0" borderId="35" xfId="11" applyNumberFormat="1" applyFont="1" applyFill="1" applyBorder="1" applyAlignment="1" applyProtection="1">
      <alignment horizontal="center" vertical="center" wrapText="1"/>
      <protection locked="0"/>
    </xf>
    <xf numFmtId="196" fontId="4" fillId="0" borderId="37" xfId="10" applyNumberFormat="1" applyFont="1" applyFill="1" applyBorder="1" applyAlignment="1" applyProtection="1">
      <alignment horizontal="center" vertical="center"/>
      <protection locked="0"/>
    </xf>
    <xf numFmtId="196" fontId="4" fillId="0" borderId="37" xfId="10" applyNumberFormat="1" applyFont="1" applyBorder="1" applyAlignment="1" applyProtection="1">
      <alignment horizontal="center" vertical="center" wrapText="1"/>
      <protection locked="0"/>
    </xf>
    <xf numFmtId="196" fontId="4" fillId="0" borderId="38" xfId="10" applyNumberFormat="1" applyFont="1" applyFill="1" applyBorder="1" applyAlignment="1">
      <alignment horizontal="center" vertical="center"/>
    </xf>
    <xf numFmtId="196" fontId="4" fillId="0" borderId="39" xfId="10" applyNumberFormat="1" applyFont="1" applyFill="1" applyBorder="1" applyAlignment="1">
      <alignment horizontal="center" vertical="center"/>
    </xf>
    <xf numFmtId="196" fontId="4" fillId="0" borderId="40" xfId="11" applyNumberFormat="1" applyFont="1" applyFill="1" applyBorder="1" applyAlignment="1" applyProtection="1">
      <alignment horizontal="center" vertical="center"/>
      <protection locked="0"/>
    </xf>
    <xf numFmtId="196" fontId="4" fillId="0" borderId="41" xfId="11" applyNumberFormat="1" applyFont="1" applyFill="1" applyBorder="1" applyAlignment="1" applyProtection="1">
      <alignment horizontal="center" vertical="center"/>
      <protection locked="0"/>
    </xf>
    <xf numFmtId="196" fontId="4" fillId="0" borderId="42" xfId="11" applyNumberFormat="1" applyFont="1" applyFill="1" applyBorder="1" applyAlignment="1" applyProtection="1">
      <alignment horizontal="center" vertical="center" wrapText="1"/>
      <protection locked="0"/>
    </xf>
    <xf numFmtId="196" fontId="4" fillId="0" borderId="41" xfId="11" applyNumberFormat="1" applyFont="1" applyFill="1" applyBorder="1" applyAlignment="1" applyProtection="1">
      <alignment horizontal="center" vertical="center" wrapText="1"/>
      <protection locked="0"/>
    </xf>
    <xf numFmtId="196" fontId="4" fillId="0" borderId="43" xfId="10" applyNumberFormat="1" applyFont="1" applyFill="1" applyBorder="1" applyAlignment="1" applyProtection="1">
      <alignment horizontal="center" vertical="center"/>
      <protection locked="0"/>
    </xf>
    <xf numFmtId="196" fontId="4" fillId="0" borderId="43" xfId="10" applyNumberFormat="1" applyFont="1" applyBorder="1" applyAlignment="1" applyProtection="1">
      <alignment horizontal="center" vertical="center" wrapText="1"/>
      <protection locked="0"/>
    </xf>
    <xf numFmtId="196" fontId="2" fillId="0" borderId="0" xfId="10" applyNumberFormat="1" applyFont="1" applyFill="1" applyBorder="1" applyAlignment="1" applyProtection="1">
      <alignment horizontal="center" vertical="center"/>
      <protection locked="0"/>
    </xf>
    <xf numFmtId="196" fontId="4" fillId="0" borderId="44" xfId="11" applyNumberFormat="1" applyFont="1" applyFill="1" applyBorder="1" applyAlignment="1" applyProtection="1">
      <alignment horizontal="center" vertical="center"/>
      <protection locked="0"/>
    </xf>
    <xf numFmtId="196" fontId="4" fillId="0" borderId="45" xfId="11" applyNumberFormat="1" applyFont="1" applyFill="1" applyBorder="1" applyAlignment="1" applyProtection="1">
      <alignment horizontal="center" vertical="center"/>
      <protection locked="0"/>
    </xf>
    <xf numFmtId="196" fontId="4" fillId="0" borderId="46" xfId="11" applyNumberFormat="1" applyFont="1" applyFill="1" applyBorder="1" applyAlignment="1" applyProtection="1">
      <alignment horizontal="center" vertical="center" wrapText="1"/>
      <protection locked="0"/>
    </xf>
    <xf numFmtId="196" fontId="4" fillId="0" borderId="45" xfId="11" applyNumberFormat="1" applyFont="1" applyFill="1" applyBorder="1" applyAlignment="1" applyProtection="1">
      <alignment horizontal="center" vertical="center" wrapText="1"/>
      <protection locked="0"/>
    </xf>
    <xf numFmtId="196" fontId="4" fillId="0" borderId="47" xfId="10" applyNumberFormat="1" applyFont="1" applyFill="1" applyBorder="1" applyAlignment="1" applyProtection="1">
      <alignment horizontal="center" vertical="center"/>
      <protection locked="0"/>
    </xf>
    <xf numFmtId="196" fontId="4" fillId="0" borderId="47" xfId="10" applyNumberFormat="1" applyFont="1" applyBorder="1" applyAlignment="1" applyProtection="1">
      <alignment horizontal="center" vertical="center"/>
      <protection locked="0"/>
    </xf>
    <xf numFmtId="196" fontId="4" fillId="0" borderId="0" xfId="10" applyNumberFormat="1" applyFont="1" applyFill="1" applyBorder="1" applyAlignment="1">
      <alignment horizontal="left"/>
    </xf>
    <xf numFmtId="196" fontId="4" fillId="0" borderId="48" xfId="10" applyNumberFormat="1" applyFont="1" applyFill="1" applyBorder="1" applyAlignment="1">
      <alignment horizontal="left"/>
    </xf>
    <xf numFmtId="196" fontId="4" fillId="0" borderId="49" xfId="10" applyNumberFormat="1" applyFont="1" applyFill="1" applyBorder="1" applyAlignment="1">
      <alignment horizontal="left"/>
    </xf>
    <xf numFmtId="196" fontId="52" fillId="0" borderId="0" xfId="10" quotePrefix="1" applyNumberFormat="1" applyFont="1" applyFill="1" applyBorder="1" applyAlignment="1">
      <alignment horizontal="center"/>
    </xf>
    <xf numFmtId="196" fontId="4" fillId="0" borderId="50" xfId="10" applyNumberFormat="1" applyFont="1" applyFill="1" applyBorder="1" applyAlignment="1" applyProtection="1">
      <alignment horizontal="right"/>
    </xf>
    <xf numFmtId="196" fontId="4" fillId="0" borderId="0" xfId="10" applyNumberFormat="1" applyFont="1" applyFill="1" applyBorder="1" applyAlignment="1" applyProtection="1">
      <alignment horizontal="right"/>
    </xf>
    <xf numFmtId="0" fontId="2" fillId="0" borderId="0" xfId="11" applyFont="1" applyFill="1" applyBorder="1"/>
    <xf numFmtId="196" fontId="4" fillId="0" borderId="0" xfId="10" applyNumberFormat="1" applyFont="1" applyFill="1" applyBorder="1" applyAlignment="1">
      <alignment horizontal="left" vertical="top"/>
    </xf>
    <xf numFmtId="196" fontId="4" fillId="0" borderId="40" xfId="10" applyNumberFormat="1" applyFont="1" applyFill="1" applyBorder="1" applyAlignment="1">
      <alignment horizontal="left" vertical="top"/>
    </xf>
    <xf numFmtId="196" fontId="4" fillId="0" borderId="51" xfId="10" applyNumberFormat="1" applyFont="1" applyFill="1" applyBorder="1" applyAlignment="1">
      <alignment horizontal="left" vertical="top"/>
    </xf>
    <xf numFmtId="196" fontId="4" fillId="0" borderId="43" xfId="10" applyNumberFormat="1" applyFont="1" applyFill="1" applyBorder="1" applyAlignment="1" applyProtection="1">
      <alignment horizontal="right"/>
    </xf>
    <xf numFmtId="196" fontId="4" fillId="0" borderId="52" xfId="10" applyNumberFormat="1" applyFont="1" applyFill="1" applyBorder="1" applyAlignment="1">
      <alignment horizontal="left" vertical="top"/>
    </xf>
    <xf numFmtId="196" fontId="4" fillId="0" borderId="53" xfId="10" applyNumberFormat="1" applyFont="1" applyFill="1" applyBorder="1" applyAlignment="1">
      <alignment horizontal="left" vertical="top"/>
    </xf>
    <xf numFmtId="196" fontId="4" fillId="0" borderId="54" xfId="10" applyNumberFormat="1" applyFont="1" applyFill="1" applyBorder="1" applyAlignment="1" applyProtection="1">
      <alignment horizontal="right"/>
    </xf>
    <xf numFmtId="196" fontId="2" fillId="0" borderId="0" xfId="0" applyNumberFormat="1" applyFont="1" applyFill="1" applyBorder="1" applyAlignment="1" applyProtection="1"/>
    <xf numFmtId="196" fontId="4" fillId="0" borderId="55" xfId="10" applyNumberFormat="1" applyFont="1" applyFill="1" applyBorder="1" applyAlignment="1">
      <alignment horizontal="left" vertical="top"/>
    </xf>
    <xf numFmtId="196" fontId="4" fillId="0" borderId="56" xfId="10" applyNumberFormat="1" applyFont="1" applyFill="1" applyBorder="1" applyAlignment="1">
      <alignment horizontal="left" vertical="top"/>
    </xf>
    <xf numFmtId="196" fontId="2" fillId="0" borderId="55" xfId="10" applyNumberFormat="1" applyFont="1" applyFill="1" applyBorder="1" applyAlignment="1" applyProtection="1">
      <protection locked="0"/>
    </xf>
    <xf numFmtId="196" fontId="2" fillId="0" borderId="57" xfId="10" applyNumberFormat="1" applyFont="1" applyFill="1" applyBorder="1" applyAlignment="1" applyProtection="1">
      <protection locked="0"/>
    </xf>
    <xf numFmtId="196" fontId="2" fillId="0" borderId="58" xfId="10" applyNumberFormat="1" applyFont="1" applyFill="1" applyBorder="1" applyAlignment="1" applyProtection="1">
      <alignment wrapText="1"/>
      <protection locked="0"/>
    </xf>
    <xf numFmtId="196" fontId="2" fillId="0" borderId="59" xfId="10" applyNumberFormat="1" applyFont="1" applyFill="1" applyBorder="1" applyAlignment="1" applyProtection="1">
      <protection locked="0"/>
    </xf>
    <xf numFmtId="196" fontId="2" fillId="0" borderId="60" xfId="10" applyNumberFormat="1" applyFont="1" applyFill="1" applyBorder="1" applyAlignment="1" applyProtection="1">
      <protection locked="0"/>
    </xf>
    <xf numFmtId="196" fontId="2" fillId="0" borderId="61" xfId="10" applyNumberFormat="1" applyFont="1" applyFill="1" applyBorder="1" applyAlignment="1" applyProtection="1">
      <alignment horizontal="right"/>
    </xf>
    <xf numFmtId="196" fontId="2" fillId="0" borderId="0" xfId="10" applyNumberFormat="1" applyFont="1" applyFill="1" applyBorder="1" applyAlignment="1" applyProtection="1">
      <alignment horizontal="right"/>
    </xf>
    <xf numFmtId="196" fontId="4" fillId="0" borderId="40" xfId="10" applyNumberFormat="1" applyFont="1" applyFill="1" applyBorder="1" applyAlignment="1">
      <alignment horizontal="left"/>
    </xf>
    <xf numFmtId="196" fontId="4" fillId="0" borderId="51" xfId="10" applyNumberFormat="1" applyFont="1" applyFill="1" applyBorder="1" applyAlignment="1">
      <alignment horizontal="left"/>
    </xf>
    <xf numFmtId="196" fontId="2" fillId="0" borderId="40" xfId="10" applyNumberFormat="1" applyFont="1" applyFill="1" applyBorder="1" applyAlignment="1" applyProtection="1">
      <protection locked="0"/>
    </xf>
    <xf numFmtId="196" fontId="2" fillId="0" borderId="41" xfId="10" applyNumberFormat="1" applyFont="1" applyFill="1" applyBorder="1" applyAlignment="1" applyProtection="1">
      <protection locked="0"/>
    </xf>
    <xf numFmtId="196" fontId="2" fillId="0" borderId="42" xfId="10" applyNumberFormat="1" applyFont="1" applyFill="1" applyBorder="1" applyAlignment="1" applyProtection="1">
      <alignment wrapText="1"/>
      <protection locked="0"/>
    </xf>
    <xf numFmtId="196" fontId="2" fillId="0" borderId="62" xfId="10" applyNumberFormat="1" applyFont="1" applyFill="1" applyBorder="1" applyAlignment="1" applyProtection="1">
      <protection locked="0"/>
    </xf>
    <xf numFmtId="196" fontId="2" fillId="0" borderId="63" xfId="10" applyNumberFormat="1" applyFont="1" applyFill="1" applyBorder="1" applyAlignment="1" applyProtection="1">
      <protection locked="0"/>
    </xf>
    <xf numFmtId="196" fontId="2" fillId="0" borderId="43" xfId="10" applyNumberFormat="1" applyFont="1" applyFill="1" applyBorder="1" applyAlignment="1" applyProtection="1">
      <alignment horizontal="right"/>
    </xf>
    <xf numFmtId="3" fontId="2" fillId="0" borderId="63" xfId="10" applyNumberFormat="1" applyFont="1" applyFill="1" applyBorder="1" applyAlignment="1" applyProtection="1">
      <protection locked="0"/>
    </xf>
    <xf numFmtId="196" fontId="4" fillId="0" borderId="38" xfId="10" applyNumberFormat="1" applyFont="1" applyFill="1" applyBorder="1" applyAlignment="1">
      <alignment horizontal="left"/>
    </xf>
    <xf numFmtId="196" fontId="4" fillId="0" borderId="39" xfId="10" applyNumberFormat="1" applyFont="1" applyFill="1" applyBorder="1" applyAlignment="1">
      <alignment horizontal="left"/>
    </xf>
    <xf numFmtId="196" fontId="2" fillId="0" borderId="27" xfId="10" applyNumberFormat="1" applyFont="1" applyFill="1" applyBorder="1" applyAlignment="1" applyProtection="1">
      <protection locked="0"/>
    </xf>
    <xf numFmtId="196" fontId="2" fillId="0" borderId="30" xfId="10" applyNumberFormat="1" applyFont="1" applyFill="1" applyBorder="1" applyAlignment="1" applyProtection="1">
      <protection locked="0"/>
    </xf>
    <xf numFmtId="196" fontId="2" fillId="0" borderId="64" xfId="10" applyNumberFormat="1" applyFont="1" applyFill="1" applyBorder="1" applyAlignment="1" applyProtection="1">
      <alignment wrapText="1"/>
      <protection locked="0"/>
    </xf>
    <xf numFmtId="196" fontId="2" fillId="0" borderId="65" xfId="10" applyNumberFormat="1" applyFont="1" applyFill="1" applyBorder="1" applyAlignment="1" applyProtection="1">
      <protection locked="0"/>
    </xf>
    <xf numFmtId="196" fontId="2" fillId="0" borderId="66" xfId="10" applyNumberFormat="1" applyFont="1" applyFill="1" applyBorder="1" applyAlignment="1" applyProtection="1">
      <protection locked="0"/>
    </xf>
    <xf numFmtId="196" fontId="2" fillId="0" borderId="54" xfId="10" applyNumberFormat="1" applyFont="1" applyFill="1" applyBorder="1" applyAlignment="1" applyProtection="1">
      <alignment horizontal="right"/>
    </xf>
    <xf numFmtId="196" fontId="4" fillId="0" borderId="22" xfId="10" applyNumberFormat="1" applyFont="1" applyFill="1" applyBorder="1" applyAlignment="1">
      <alignment horizontal="left"/>
    </xf>
    <xf numFmtId="196" fontId="4" fillId="0" borderId="23" xfId="10" applyNumberFormat="1" applyFont="1" applyFill="1" applyBorder="1" applyAlignment="1">
      <alignment horizontal="left"/>
    </xf>
    <xf numFmtId="196" fontId="52" fillId="0" borderId="0" xfId="10" applyNumberFormat="1" applyFont="1" applyFill="1" applyBorder="1" applyAlignment="1">
      <alignment horizontal="center"/>
    </xf>
    <xf numFmtId="196" fontId="4" fillId="0" borderId="67" xfId="10" applyNumberFormat="1" applyFont="1" applyFill="1" applyBorder="1" applyAlignment="1" applyProtection="1"/>
    <xf numFmtId="196" fontId="4" fillId="0" borderId="68" xfId="10" applyNumberFormat="1" applyFont="1" applyFill="1" applyBorder="1" applyAlignment="1" applyProtection="1"/>
    <xf numFmtId="196" fontId="4" fillId="0" borderId="69" xfId="10" applyNumberFormat="1" applyFont="1" applyFill="1" applyBorder="1" applyAlignment="1" applyProtection="1"/>
    <xf numFmtId="196" fontId="4" fillId="0" borderId="70" xfId="10" applyNumberFormat="1" applyFont="1" applyFill="1" applyBorder="1" applyAlignment="1" applyProtection="1"/>
    <xf numFmtId="196" fontId="4" fillId="0" borderId="38" xfId="10" applyNumberFormat="1" applyFont="1" applyFill="1" applyBorder="1" applyAlignment="1">
      <alignment horizontal="left" vertical="top"/>
    </xf>
    <xf numFmtId="196" fontId="4" fillId="0" borderId="71" xfId="10" applyNumberFormat="1" applyFont="1" applyFill="1" applyBorder="1" applyAlignment="1" applyProtection="1"/>
    <xf numFmtId="196" fontId="4" fillId="0" borderId="41" xfId="10" applyNumberFormat="1" applyFont="1" applyFill="1" applyBorder="1" applyAlignment="1" applyProtection="1"/>
    <xf numFmtId="196" fontId="4" fillId="0" borderId="62" xfId="10" applyNumberFormat="1" applyFont="1" applyFill="1" applyBorder="1" applyAlignment="1" applyProtection="1"/>
    <xf numFmtId="196" fontId="4" fillId="0" borderId="63" xfId="10" applyNumberFormat="1" applyFont="1" applyFill="1" applyBorder="1" applyAlignment="1" applyProtection="1"/>
    <xf numFmtId="196" fontId="4" fillId="0" borderId="0" xfId="10" applyNumberFormat="1" applyFont="1" applyFill="1" applyBorder="1" applyAlignment="1" applyProtection="1">
      <alignment horizontal="left"/>
      <protection locked="0"/>
    </xf>
    <xf numFmtId="196" fontId="4" fillId="0" borderId="27" xfId="10" applyNumberFormat="1" applyFont="1" applyFill="1" applyBorder="1" applyAlignment="1">
      <alignment horizontal="left" vertical="top"/>
    </xf>
    <xf numFmtId="196" fontId="4" fillId="0" borderId="28" xfId="10" applyNumberFormat="1" applyFont="1" applyFill="1" applyBorder="1" applyAlignment="1">
      <alignment horizontal="left"/>
    </xf>
    <xf numFmtId="196" fontId="2" fillId="0" borderId="0" xfId="10" applyNumberFormat="1" applyFont="1" applyFill="1" applyBorder="1"/>
    <xf numFmtId="196" fontId="4" fillId="0" borderId="72" xfId="10" applyNumberFormat="1" applyFont="1" applyFill="1" applyBorder="1" applyAlignment="1" applyProtection="1"/>
    <xf numFmtId="196" fontId="4" fillId="0" borderId="73" xfId="10" applyNumberFormat="1" applyFont="1" applyFill="1" applyBorder="1" applyAlignment="1" applyProtection="1"/>
    <xf numFmtId="196" fontId="4" fillId="0" borderId="74" xfId="10" applyNumberFormat="1" applyFont="1" applyFill="1" applyBorder="1" applyAlignment="1" applyProtection="1"/>
    <xf numFmtId="196" fontId="4" fillId="0" borderId="75" xfId="10" applyNumberFormat="1" applyFont="1" applyFill="1" applyBorder="1" applyAlignment="1" applyProtection="1"/>
    <xf numFmtId="0" fontId="2" fillId="0" borderId="0" xfId="11" applyFont="1" applyFill="1" applyBorder="1" applyAlignment="1">
      <alignment horizontal="left"/>
    </xf>
    <xf numFmtId="196" fontId="2" fillId="0" borderId="0" xfId="11" applyNumberFormat="1" applyFont="1" applyFill="1" applyBorder="1"/>
    <xf numFmtId="196" fontId="2" fillId="0" borderId="0" xfId="11" applyNumberFormat="1" applyFont="1" applyBorder="1"/>
    <xf numFmtId="0" fontId="32" fillId="0" borderId="66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/>
    <xf numFmtId="182" fontId="13" fillId="0" borderId="0" xfId="8" applyNumberFormat="1" applyFont="1" applyAlignment="1">
      <alignment horizontal="right" vertical="center"/>
    </xf>
    <xf numFmtId="196" fontId="4" fillId="0" borderId="76" xfId="10" applyNumberFormat="1" applyFont="1" applyFill="1" applyBorder="1" applyAlignment="1" applyProtection="1">
      <protection locked="0"/>
    </xf>
    <xf numFmtId="196" fontId="4" fillId="0" borderId="76" xfId="10" applyNumberFormat="1" applyFont="1" applyFill="1" applyBorder="1" applyAlignment="1" applyProtection="1">
      <alignment wrapText="1"/>
      <protection locked="0"/>
    </xf>
    <xf numFmtId="196" fontId="4" fillId="0" borderId="77" xfId="10" applyNumberFormat="1" applyFont="1" applyFill="1" applyBorder="1" applyAlignment="1" applyProtection="1">
      <protection locked="0"/>
    </xf>
    <xf numFmtId="197" fontId="4" fillId="0" borderId="78" xfId="3" applyNumberFormat="1" applyFont="1" applyFill="1" applyBorder="1" applyAlignment="1" applyProtection="1">
      <protection locked="0"/>
    </xf>
    <xf numFmtId="196" fontId="4" fillId="0" borderId="78" xfId="10" applyNumberFormat="1" applyFont="1" applyFill="1" applyBorder="1" applyAlignment="1" applyProtection="1">
      <alignment wrapText="1"/>
      <protection locked="0"/>
    </xf>
    <xf numFmtId="196" fontId="4" fillId="0" borderId="78" xfId="10" applyNumberFormat="1" applyFont="1" applyFill="1" applyBorder="1" applyAlignment="1" applyProtection="1">
      <protection locked="0"/>
    </xf>
    <xf numFmtId="196" fontId="4" fillId="0" borderId="79" xfId="10" applyNumberFormat="1" applyFont="1" applyFill="1" applyBorder="1" applyAlignment="1" applyProtection="1">
      <protection locked="0"/>
    </xf>
    <xf numFmtId="196" fontId="4" fillId="0" borderId="80" xfId="10" applyNumberFormat="1" applyFont="1" applyFill="1" applyBorder="1" applyAlignment="1" applyProtection="1">
      <protection locked="0"/>
    </xf>
    <xf numFmtId="196" fontId="4" fillId="0" borderId="81" xfId="10" applyNumberFormat="1" applyFont="1" applyFill="1" applyBorder="1" applyAlignment="1" applyProtection="1">
      <protection locked="0"/>
    </xf>
    <xf numFmtId="196" fontId="4" fillId="0" borderId="81" xfId="10" applyNumberFormat="1" applyFont="1" applyFill="1" applyBorder="1" applyAlignment="1" applyProtection="1">
      <alignment wrapText="1"/>
      <protection locked="0"/>
    </xf>
    <xf numFmtId="196" fontId="4" fillId="0" borderId="82" xfId="10" applyNumberFormat="1" applyFont="1" applyFill="1" applyBorder="1" applyAlignment="1" applyProtection="1">
      <protection locked="0"/>
    </xf>
    <xf numFmtId="196" fontId="4" fillId="0" borderId="83" xfId="10" applyNumberFormat="1" applyFont="1" applyFill="1" applyBorder="1" applyAlignment="1" applyProtection="1">
      <protection locked="0"/>
    </xf>
    <xf numFmtId="196" fontId="4" fillId="0" borderId="84" xfId="10" applyNumberFormat="1" applyFont="1" applyFill="1" applyBorder="1" applyAlignment="1" applyProtection="1">
      <protection locked="0"/>
    </xf>
    <xf numFmtId="196" fontId="4" fillId="0" borderId="54" xfId="10" applyNumberFormat="1" applyFont="1" applyFill="1" applyBorder="1" applyAlignment="1" applyProtection="1">
      <alignment wrapText="1"/>
      <protection locked="0"/>
    </xf>
    <xf numFmtId="0" fontId="54" fillId="0" borderId="0" xfId="0" applyNumberFormat="1" applyFont="1" applyFill="1" applyBorder="1" applyAlignment="1" applyProtection="1"/>
    <xf numFmtId="0" fontId="13" fillId="0" borderId="0" xfId="8" applyFont="1" applyAlignment="1">
      <alignment vertical="center"/>
    </xf>
    <xf numFmtId="0" fontId="55" fillId="0" borderId="0" xfId="0" applyFont="1" applyAlignment="1">
      <alignment horizontal="left" vertical="center"/>
    </xf>
    <xf numFmtId="0" fontId="56" fillId="0" borderId="0" xfId="0" applyFont="1"/>
    <xf numFmtId="0" fontId="0" fillId="0" borderId="0" xfId="0" applyBorder="1"/>
    <xf numFmtId="0" fontId="0" fillId="0" borderId="3" xfId="0" applyBorder="1" applyAlignment="1">
      <alignment horizontal="center"/>
    </xf>
    <xf numFmtId="0" fontId="3" fillId="0" borderId="0" xfId="0" applyFont="1"/>
    <xf numFmtId="3" fontId="59" fillId="0" borderId="3" xfId="2" applyNumberFormat="1" applyBorder="1"/>
    <xf numFmtId="3" fontId="3" fillId="0" borderId="0" xfId="0" applyNumberFormat="1" applyFont="1" applyBorder="1"/>
    <xf numFmtId="3" fontId="0" fillId="0" borderId="0" xfId="0" applyNumberFormat="1" applyBorder="1"/>
    <xf numFmtId="0" fontId="3" fillId="0" borderId="3" xfId="0" applyFont="1" applyBorder="1"/>
    <xf numFmtId="0" fontId="0" fillId="0" borderId="3" xfId="0" applyBorder="1"/>
    <xf numFmtId="0" fontId="0" fillId="0" borderId="14" xfId="0" applyBorder="1" applyAlignment="1">
      <alignment horizontal="center"/>
    </xf>
    <xf numFmtId="0" fontId="0" fillId="0" borderId="14" xfId="0" applyBorder="1"/>
    <xf numFmtId="3" fontId="59" fillId="0" borderId="14" xfId="2" applyNumberFormat="1" applyBorder="1"/>
    <xf numFmtId="0" fontId="12" fillId="0" borderId="17" xfId="0" applyFont="1" applyBorder="1" applyAlignment="1">
      <alignment vertical="center"/>
    </xf>
    <xf numFmtId="0" fontId="60" fillId="0" borderId="18" xfId="0" applyFont="1" applyBorder="1" applyAlignment="1">
      <alignment vertical="center"/>
    </xf>
    <xf numFmtId="0" fontId="60" fillId="0" borderId="18" xfId="0" applyFont="1" applyBorder="1" applyAlignment="1">
      <alignment horizontal="center" vertical="center"/>
    </xf>
    <xf numFmtId="3" fontId="60" fillId="0" borderId="18" xfId="2" applyNumberFormat="1" applyFont="1" applyBorder="1" applyAlignment="1">
      <alignment vertical="center"/>
    </xf>
    <xf numFmtId="3" fontId="60" fillId="0" borderId="85" xfId="2" applyNumberFormat="1" applyFont="1" applyBorder="1" applyAlignment="1">
      <alignment vertical="center"/>
    </xf>
    <xf numFmtId="3" fontId="0" fillId="0" borderId="0" xfId="0" applyNumberFormat="1"/>
    <xf numFmtId="1" fontId="0" fillId="0" borderId="0" xfId="0" applyNumberFormat="1"/>
    <xf numFmtId="0" fontId="53" fillId="0" borderId="0" xfId="0" applyFont="1" applyBorder="1"/>
    <xf numFmtId="3" fontId="59" fillId="0" borderId="0" xfId="2" applyNumberFormat="1" applyFill="1" applyBorder="1"/>
    <xf numFmtId="0" fontId="53" fillId="0" borderId="0" xfId="0" applyFont="1"/>
    <xf numFmtId="0" fontId="3" fillId="0" borderId="0" xfId="0" applyFont="1" applyBorder="1"/>
    <xf numFmtId="0" fontId="0" fillId="0" borderId="13" xfId="0" applyBorder="1"/>
    <xf numFmtId="0" fontId="0" fillId="0" borderId="86" xfId="0" applyBorder="1"/>
    <xf numFmtId="41" fontId="12" fillId="0" borderId="3" xfId="0" applyNumberFormat="1" applyFont="1" applyBorder="1"/>
    <xf numFmtId="41" fontId="0" fillId="0" borderId="3" xfId="0" applyNumberFormat="1" applyBorder="1"/>
    <xf numFmtId="41" fontId="59" fillId="0" borderId="3" xfId="2" applyNumberFormat="1" applyBorder="1"/>
    <xf numFmtId="41" fontId="0" fillId="0" borderId="0" xfId="0" applyNumberFormat="1"/>
    <xf numFmtId="0" fontId="53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58" fillId="0" borderId="0" xfId="0" applyFont="1"/>
    <xf numFmtId="0" fontId="63" fillId="0" borderId="0" xfId="0" applyFont="1"/>
    <xf numFmtId="0" fontId="0" fillId="0" borderId="87" xfId="0" applyBorder="1"/>
    <xf numFmtId="0" fontId="0" fillId="0" borderId="88" xfId="0" applyBorder="1"/>
    <xf numFmtId="0" fontId="0" fillId="0" borderId="89" xfId="0" applyBorder="1"/>
    <xf numFmtId="0" fontId="0" fillId="0" borderId="76" xfId="0" applyBorder="1"/>
    <xf numFmtId="0" fontId="68" fillId="0" borderId="0" xfId="0" applyFont="1"/>
    <xf numFmtId="0" fontId="64" fillId="0" borderId="10" xfId="0" applyFont="1" applyBorder="1"/>
    <xf numFmtId="0" fontId="57" fillId="0" borderId="0" xfId="0" applyFont="1"/>
    <xf numFmtId="0" fontId="69" fillId="0" borderId="17" xfId="0" applyFont="1" applyBorder="1" applyAlignment="1">
      <alignment horizontal="center" wrapText="1"/>
    </xf>
    <xf numFmtId="0" fontId="69" fillId="0" borderId="18" xfId="0" applyFont="1" applyBorder="1" applyAlignment="1">
      <alignment horizontal="center" wrapText="1"/>
    </xf>
    <xf numFmtId="0" fontId="58" fillId="0" borderId="85" xfId="0" applyFont="1" applyBorder="1" applyAlignment="1">
      <alignment horizontal="right" vertical="top" wrapText="1"/>
    </xf>
    <xf numFmtId="0" fontId="67" fillId="0" borderId="86" xfId="0" applyFont="1" applyBorder="1" applyAlignment="1">
      <alignment horizontal="center" wrapText="1"/>
    </xf>
    <xf numFmtId="0" fontId="0" fillId="0" borderId="9" xfId="0" applyBorder="1"/>
    <xf numFmtId="41" fontId="67" fillId="0" borderId="86" xfId="0" applyNumberFormat="1" applyFont="1" applyBorder="1" applyAlignment="1">
      <alignment horizontal="right" wrapText="1"/>
    </xf>
    <xf numFmtId="0" fontId="67" fillId="0" borderId="3" xfId="0" applyFont="1" applyBorder="1" applyAlignment="1">
      <alignment horizontal="center" wrapText="1"/>
    </xf>
    <xf numFmtId="0" fontId="58" fillId="0" borderId="3" xfId="0" applyFont="1" applyBorder="1" applyAlignment="1">
      <alignment horizontal="center" vertical="top" wrapText="1"/>
    </xf>
    <xf numFmtId="41" fontId="67" fillId="0" borderId="3" xfId="0" applyNumberFormat="1" applyFont="1" applyBorder="1" applyAlignment="1">
      <alignment horizontal="right" wrapText="1"/>
    </xf>
    <xf numFmtId="0" fontId="67" fillId="0" borderId="14" xfId="0" applyFont="1" applyBorder="1" applyAlignment="1">
      <alignment horizontal="center" wrapText="1"/>
    </xf>
    <xf numFmtId="0" fontId="58" fillId="0" borderId="14" xfId="0" applyFont="1" applyBorder="1" applyAlignment="1">
      <alignment horizontal="center" vertical="top" wrapText="1"/>
    </xf>
    <xf numFmtId="41" fontId="67" fillId="0" borderId="14" xfId="0" applyNumberFormat="1" applyFont="1" applyBorder="1" applyAlignment="1">
      <alignment horizontal="right" wrapText="1"/>
    </xf>
    <xf numFmtId="0" fontId="61" fillId="0" borderId="17" xfId="0" applyFont="1" applyBorder="1" applyAlignment="1">
      <alignment horizontal="center" vertical="top" wrapText="1"/>
    </xf>
    <xf numFmtId="0" fontId="70" fillId="0" borderId="18" xfId="0" applyFont="1" applyBorder="1" applyAlignment="1">
      <alignment horizontal="center" wrapText="1"/>
    </xf>
    <xf numFmtId="0" fontId="61" fillId="0" borderId="18" xfId="0" applyFont="1" applyBorder="1" applyAlignment="1">
      <alignment horizontal="center" vertical="top" wrapText="1"/>
    </xf>
    <xf numFmtId="41" fontId="71" fillId="0" borderId="85" xfId="0" applyNumberFormat="1" applyFont="1" applyBorder="1" applyAlignment="1">
      <alignment horizontal="right" wrapText="1"/>
    </xf>
    <xf numFmtId="0" fontId="72" fillId="0" borderId="0" xfId="0" applyFont="1"/>
    <xf numFmtId="0" fontId="73" fillId="0" borderId="0" xfId="0" applyFont="1"/>
    <xf numFmtId="0" fontId="0" fillId="0" borderId="90" xfId="0" applyBorder="1"/>
    <xf numFmtId="0" fontId="0" fillId="0" borderId="91" xfId="0" applyBorder="1"/>
    <xf numFmtId="182" fontId="11" fillId="0" borderId="0" xfId="8" applyNumberFormat="1" applyFill="1" applyBorder="1" applyAlignment="1" applyProtection="1"/>
    <xf numFmtId="4" fontId="11" fillId="0" borderId="0" xfId="9" applyNumberFormat="1" applyFill="1" applyBorder="1" applyAlignment="1" applyProtection="1"/>
    <xf numFmtId="4" fontId="11" fillId="0" borderId="0" xfId="8" applyNumberFormat="1" applyFill="1" applyBorder="1" applyAlignment="1" applyProtection="1"/>
    <xf numFmtId="0" fontId="32" fillId="0" borderId="13" xfId="0" applyNumberFormat="1" applyFont="1" applyFill="1" applyBorder="1" applyAlignment="1" applyProtection="1">
      <alignment wrapText="1"/>
    </xf>
    <xf numFmtId="0" fontId="32" fillId="0" borderId="14" xfId="0" applyNumberFormat="1" applyFont="1" applyFill="1" applyBorder="1" applyAlignment="1" applyProtection="1">
      <alignment horizontal="center" vertical="center" wrapText="1"/>
    </xf>
    <xf numFmtId="0" fontId="32" fillId="0" borderId="5" xfId="0" applyNumberFormat="1" applyFont="1" applyFill="1" applyBorder="1" applyAlignment="1" applyProtection="1">
      <alignment horizontal="center" vertical="center" wrapText="1"/>
    </xf>
    <xf numFmtId="0" fontId="32" fillId="0" borderId="21" xfId="0" applyNumberFormat="1" applyFont="1" applyFill="1" applyBorder="1" applyAlignment="1" applyProtection="1">
      <alignment horizontal="center" vertical="center" wrapText="1"/>
    </xf>
    <xf numFmtId="3" fontId="2" fillId="0" borderId="86" xfId="0" applyNumberFormat="1" applyFont="1" applyFill="1" applyBorder="1" applyAlignment="1" applyProtection="1"/>
    <xf numFmtId="3" fontId="2" fillId="0" borderId="9" xfId="0" applyNumberFormat="1" applyFont="1" applyFill="1" applyBorder="1" applyAlignment="1" applyProtection="1"/>
    <xf numFmtId="3" fontId="2" fillId="0" borderId="92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43" fontId="2" fillId="0" borderId="0" xfId="0" applyNumberFormat="1" applyFont="1" applyFill="1" applyBorder="1" applyAlignment="1" applyProtection="1"/>
    <xf numFmtId="0" fontId="0" fillId="0" borderId="86" xfId="0" applyBorder="1" applyAlignment="1">
      <alignment horizontal="center"/>
    </xf>
    <xf numFmtId="3" fontId="59" fillId="0" borderId="86" xfId="2" applyNumberFormat="1" applyBorder="1"/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14" fontId="12" fillId="0" borderId="30" xfId="0" applyNumberFormat="1" applyFont="1" applyBorder="1" applyAlignment="1">
      <alignment horizontal="center"/>
    </xf>
    <xf numFmtId="14" fontId="12" fillId="0" borderId="66" xfId="0" applyNumberFormat="1" applyFont="1" applyBorder="1" applyAlignment="1">
      <alignment horizontal="center"/>
    </xf>
    <xf numFmtId="39" fontId="9" fillId="0" borderId="0" xfId="0" applyNumberFormat="1" applyFont="1" applyFill="1"/>
    <xf numFmtId="0" fontId="6" fillId="0" borderId="0" xfId="0" applyFont="1" applyFill="1"/>
    <xf numFmtId="39" fontId="7" fillId="0" borderId="10" xfId="0" applyNumberFormat="1" applyFont="1" applyFill="1" applyBorder="1" applyAlignment="1">
      <alignment horizontal="center"/>
    </xf>
    <xf numFmtId="39" fontId="7" fillId="0" borderId="0" xfId="0" applyNumberFormat="1" applyFont="1" applyFill="1" applyAlignment="1">
      <alignment horizontal="center"/>
    </xf>
    <xf numFmtId="43" fontId="6" fillId="0" borderId="0" xfId="1" applyFont="1" applyFill="1"/>
    <xf numFmtId="0" fontId="9" fillId="0" borderId="0" xfId="0" applyFont="1" applyFill="1" applyAlignment="1">
      <alignment horizontal="center"/>
    </xf>
    <xf numFmtId="43" fontId="9" fillId="0" borderId="1" xfId="1" applyFont="1" applyFill="1" applyBorder="1"/>
    <xf numFmtId="43" fontId="6" fillId="0" borderId="1" xfId="1" applyFont="1" applyFill="1" applyBorder="1"/>
    <xf numFmtId="43" fontId="10" fillId="0" borderId="0" xfId="0" applyNumberFormat="1" applyFont="1" applyFill="1"/>
    <xf numFmtId="0" fontId="30" fillId="0" borderId="0" xfId="0" applyFont="1" applyFill="1"/>
    <xf numFmtId="182" fontId="1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center"/>
    </xf>
    <xf numFmtId="39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left"/>
    </xf>
    <xf numFmtId="43" fontId="6" fillId="0" borderId="0" xfId="1" applyFont="1" applyFill="1" applyAlignment="1">
      <alignment horizontal="right"/>
    </xf>
    <xf numFmtId="43" fontId="9" fillId="0" borderId="1" xfId="1" applyFont="1" applyFill="1" applyBorder="1" applyAlignment="1">
      <alignment horizontal="center"/>
    </xf>
    <xf numFmtId="43" fontId="6" fillId="0" borderId="1" xfId="1" applyFont="1" applyFill="1" applyBorder="1" applyAlignment="1">
      <alignment horizontal="center"/>
    </xf>
    <xf numFmtId="43" fontId="6" fillId="0" borderId="0" xfId="1" applyFont="1" applyFill="1" applyAlignment="1">
      <alignment horizontal="center"/>
    </xf>
    <xf numFmtId="43" fontId="10" fillId="0" borderId="0" xfId="1" applyFont="1" applyFill="1" applyBorder="1"/>
    <xf numFmtId="39" fontId="6" fillId="0" borderId="0" xfId="1" applyNumberFormat="1" applyFont="1" applyFill="1"/>
    <xf numFmtId="39" fontId="9" fillId="0" borderId="0" xfId="0" applyNumberFormat="1" applyFont="1" applyFill="1" applyAlignment="1">
      <alignment horizontal="center"/>
    </xf>
    <xf numFmtId="39" fontId="9" fillId="0" borderId="1" xfId="0" applyNumberFormat="1" applyFont="1" applyFill="1" applyBorder="1"/>
    <xf numFmtId="39" fontId="9" fillId="0" borderId="0" xfId="0" applyNumberFormat="1" applyFont="1" applyFill="1" applyBorder="1"/>
    <xf numFmtId="0" fontId="31" fillId="0" borderId="0" xfId="0" applyFont="1" applyFill="1"/>
    <xf numFmtId="43" fontId="10" fillId="0" borderId="0" xfId="1" applyFont="1" applyFill="1"/>
    <xf numFmtId="39" fontId="30" fillId="0" borderId="0" xfId="0" applyNumberFormat="1" applyFont="1" applyFill="1"/>
    <xf numFmtId="43" fontId="6" fillId="0" borderId="0" xfId="1" applyNumberFormat="1" applyFont="1" applyFill="1" applyAlignment="1">
      <alignment horizontal="right"/>
    </xf>
    <xf numFmtId="39" fontId="7" fillId="0" borderId="2" xfId="0" applyNumberFormat="1" applyFont="1" applyFill="1" applyBorder="1" applyAlignment="1">
      <alignment horizontal="center"/>
    </xf>
    <xf numFmtId="39" fontId="10" fillId="0" borderId="0" xfId="0" applyNumberFormat="1" applyFont="1" applyFill="1" applyAlignment="1">
      <alignment horizontal="center"/>
    </xf>
    <xf numFmtId="43" fontId="6" fillId="0" borderId="0" xfId="1" applyNumberFormat="1" applyFont="1" applyFill="1" applyAlignment="1"/>
    <xf numFmtId="43" fontId="10" fillId="0" borderId="0" xfId="1" applyNumberFormat="1" applyFont="1" applyFill="1" applyAlignment="1">
      <alignment horizontal="right"/>
    </xf>
    <xf numFmtId="39" fontId="10" fillId="0" borderId="0" xfId="0" applyNumberFormat="1" applyFont="1" applyFill="1"/>
    <xf numFmtId="2" fontId="0" fillId="0" borderId="0" xfId="0" applyNumberFormat="1" applyFill="1"/>
    <xf numFmtId="43" fontId="0" fillId="0" borderId="0" xfId="0" applyNumberFormat="1" applyFill="1"/>
    <xf numFmtId="37" fontId="9" fillId="0" borderId="1" xfId="0" applyNumberFormat="1" applyFont="1" applyFill="1" applyBorder="1"/>
    <xf numFmtId="41" fontId="0" fillId="0" borderId="0" xfId="0" applyNumberFormat="1" applyFill="1"/>
    <xf numFmtId="39" fontId="6" fillId="0" borderId="0" xfId="0" applyNumberFormat="1" applyFont="1" applyFill="1" applyAlignment="1">
      <alignment horizontal="right"/>
    </xf>
    <xf numFmtId="39" fontId="6" fillId="0" borderId="0" xfId="0" applyNumberFormat="1" applyFont="1" applyFill="1" applyBorder="1" applyAlignment="1">
      <alignment horizontal="left"/>
    </xf>
    <xf numFmtId="182" fontId="17" fillId="0" borderId="0" xfId="0" applyNumberFormat="1" applyFont="1" applyFill="1" applyAlignment="1">
      <alignment horizontal="right" vertical="center"/>
    </xf>
    <xf numFmtId="43" fontId="2" fillId="0" borderId="0" xfId="1" applyFont="1" applyFill="1" applyAlignment="1">
      <alignment horizontal="right"/>
    </xf>
    <xf numFmtId="39" fontId="6" fillId="0" borderId="12" xfId="0" applyNumberFormat="1" applyFont="1" applyFill="1" applyBorder="1"/>
    <xf numFmtId="37" fontId="6" fillId="0" borderId="0" xfId="0" applyNumberFormat="1" applyFont="1" applyFill="1" applyBorder="1" applyAlignment="1">
      <alignment horizontal="center"/>
    </xf>
    <xf numFmtId="37" fontId="6" fillId="0" borderId="0" xfId="0" applyNumberFormat="1" applyFont="1" applyFill="1" applyAlignment="1">
      <alignment horizontal="center"/>
    </xf>
    <xf numFmtId="41" fontId="9" fillId="0" borderId="0" xfId="0" applyNumberFormat="1" applyFont="1" applyFill="1" applyAlignment="1">
      <alignment horizontal="right"/>
    </xf>
    <xf numFmtId="41" fontId="6" fillId="0" borderId="0" xfId="0" applyNumberFormat="1" applyFont="1" applyFill="1" applyAlignment="1">
      <alignment horizontal="right"/>
    </xf>
    <xf numFmtId="193" fontId="11" fillId="0" borderId="0" xfId="8" applyNumberFormat="1" applyFill="1" applyBorder="1" applyAlignment="1" applyProtection="1"/>
    <xf numFmtId="0" fontId="79" fillId="0" borderId="0" xfId="5" applyFont="1" applyBorder="1"/>
    <xf numFmtId="169" fontId="79" fillId="0" borderId="0" xfId="5" applyNumberFormat="1" applyFont="1" applyBorder="1"/>
    <xf numFmtId="0" fontId="74" fillId="0" borderId="0" xfId="0" applyFont="1" applyBorder="1"/>
    <xf numFmtId="0" fontId="4" fillId="0" borderId="0" xfId="0" applyFont="1" applyBorder="1"/>
    <xf numFmtId="3" fontId="4" fillId="0" borderId="0" xfId="0" applyNumberFormat="1" applyFont="1" applyFill="1" applyBorder="1" applyAlignment="1" applyProtection="1"/>
    <xf numFmtId="0" fontId="4" fillId="0" borderId="0" xfId="11" applyFont="1" applyFill="1" applyBorder="1"/>
    <xf numFmtId="182" fontId="22" fillId="0" borderId="0" xfId="9" applyNumberFormat="1" applyFont="1" applyAlignment="1">
      <alignment horizontal="right" vertical="center"/>
    </xf>
    <xf numFmtId="0" fontId="79" fillId="0" borderId="0" xfId="0" applyFont="1"/>
    <xf numFmtId="0" fontId="79" fillId="0" borderId="17" xfId="0" applyFont="1" applyBorder="1"/>
    <xf numFmtId="0" fontId="79" fillId="0" borderId="18" xfId="0" applyFont="1" applyBorder="1"/>
    <xf numFmtId="0" fontId="79" fillId="0" borderId="85" xfId="0" applyFont="1" applyBorder="1"/>
    <xf numFmtId="0" fontId="0" fillId="0" borderId="21" xfId="0" applyBorder="1"/>
    <xf numFmtId="41" fontId="0" fillId="0" borderId="86" xfId="0" applyNumberFormat="1" applyBorder="1"/>
    <xf numFmtId="41" fontId="0" fillId="0" borderId="9" xfId="0" applyNumberFormat="1" applyBorder="1"/>
    <xf numFmtId="41" fontId="0" fillId="0" borderId="93" xfId="0" applyNumberFormat="1" applyBorder="1"/>
    <xf numFmtId="0" fontId="0" fillId="0" borderId="94" xfId="0" applyBorder="1"/>
    <xf numFmtId="41" fontId="0" fillId="0" borderId="95" xfId="0" applyNumberFormat="1" applyBorder="1"/>
    <xf numFmtId="41" fontId="0" fillId="0" borderId="96" xfId="0" applyNumberFormat="1" applyBorder="1"/>
    <xf numFmtId="41" fontId="0" fillId="0" borderId="13" xfId="0" applyNumberFormat="1" applyBorder="1"/>
    <xf numFmtId="41" fontId="0" fillId="0" borderId="15" xfId="0" applyNumberFormat="1" applyBorder="1"/>
    <xf numFmtId="0" fontId="0" fillId="0" borderId="97" xfId="0" applyBorder="1"/>
    <xf numFmtId="41" fontId="0" fillId="0" borderId="14" xfId="0" applyNumberFormat="1" applyBorder="1"/>
    <xf numFmtId="41" fontId="0" fillId="0" borderId="5" xfId="0" applyNumberFormat="1" applyBorder="1"/>
    <xf numFmtId="41" fontId="0" fillId="0" borderId="16" xfId="0" applyNumberFormat="1" applyBorder="1"/>
    <xf numFmtId="41" fontId="0" fillId="0" borderId="98" xfId="0" applyNumberFormat="1" applyBorder="1"/>
    <xf numFmtId="0" fontId="0" fillId="0" borderId="17" xfId="0" applyBorder="1"/>
    <xf numFmtId="41" fontId="0" fillId="0" borderId="18" xfId="0" applyNumberFormat="1" applyBorder="1"/>
    <xf numFmtId="41" fontId="0" fillId="0" borderId="19" xfId="0" applyNumberFormat="1" applyBorder="1"/>
    <xf numFmtId="41" fontId="0" fillId="0" borderId="20" xfId="0" applyNumberFormat="1" applyBorder="1"/>
    <xf numFmtId="41" fontId="79" fillId="0" borderId="20" xfId="0" applyNumberFormat="1" applyFont="1" applyBorder="1"/>
    <xf numFmtId="41" fontId="80" fillId="0" borderId="0" xfId="0" applyNumberFormat="1" applyFont="1"/>
    <xf numFmtId="41" fontId="81" fillId="0" borderId="0" xfId="0" applyNumberFormat="1" applyFont="1"/>
    <xf numFmtId="0" fontId="0" fillId="0" borderId="99" xfId="0" applyBorder="1"/>
    <xf numFmtId="0" fontId="6" fillId="0" borderId="3" xfId="0" applyFont="1" applyFill="1" applyBorder="1"/>
    <xf numFmtId="39" fontId="7" fillId="0" borderId="3" xfId="0" applyNumberFormat="1" applyFont="1" applyFill="1" applyBorder="1" applyAlignment="1">
      <alignment horizontal="center"/>
    </xf>
    <xf numFmtId="43" fontId="6" fillId="0" borderId="3" xfId="1" applyFont="1" applyFill="1" applyBorder="1"/>
    <xf numFmtId="0" fontId="9" fillId="0" borderId="3" xfId="0" applyFont="1" applyFill="1" applyBorder="1" applyAlignment="1">
      <alignment horizontal="center"/>
    </xf>
    <xf numFmtId="43" fontId="9" fillId="0" borderId="3" xfId="1" applyFont="1" applyFill="1" applyBorder="1"/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43" fontId="6" fillId="0" borderId="3" xfId="1" applyFont="1" applyFill="1" applyBorder="1" applyAlignment="1">
      <alignment horizontal="right"/>
    </xf>
    <xf numFmtId="43" fontId="9" fillId="0" borderId="3" xfId="1" applyFont="1" applyFill="1" applyBorder="1" applyAlignment="1">
      <alignment horizontal="center"/>
    </xf>
    <xf numFmtId="39" fontId="6" fillId="0" borderId="3" xfId="0" applyNumberFormat="1" applyFont="1" applyFill="1" applyBorder="1"/>
    <xf numFmtId="41" fontId="0" fillId="0" borderId="3" xfId="0" applyNumberFormat="1" applyFill="1" applyBorder="1"/>
    <xf numFmtId="39" fontId="9" fillId="0" borderId="3" xfId="0" applyNumberFormat="1" applyFont="1" applyFill="1" applyBorder="1" applyAlignment="1">
      <alignment horizontal="center"/>
    </xf>
    <xf numFmtId="39" fontId="9" fillId="0" borderId="3" xfId="0" applyNumberFormat="1" applyFont="1" applyFill="1" applyBorder="1"/>
    <xf numFmtId="43" fontId="6" fillId="0" borderId="3" xfId="0" applyNumberFormat="1" applyFont="1" applyFill="1" applyBorder="1"/>
    <xf numFmtId="171" fontId="6" fillId="0" borderId="3" xfId="0" applyNumberFormat="1" applyFont="1" applyFill="1" applyBorder="1"/>
    <xf numFmtId="43" fontId="6" fillId="0" borderId="3" xfId="1" applyNumberFormat="1" applyFont="1" applyFill="1" applyBorder="1" applyAlignment="1">
      <alignment horizontal="right"/>
    </xf>
    <xf numFmtId="2" fontId="0" fillId="0" borderId="3" xfId="0" applyNumberFormat="1" applyFill="1" applyBorder="1"/>
    <xf numFmtId="43" fontId="0" fillId="0" borderId="3" xfId="0" applyNumberFormat="1" applyFill="1" applyBorder="1"/>
    <xf numFmtId="2" fontId="12" fillId="0" borderId="3" xfId="0" applyNumberFormat="1" applyFont="1" applyFill="1" applyBorder="1"/>
    <xf numFmtId="37" fontId="9" fillId="0" borderId="3" xfId="0" applyNumberFormat="1" applyFont="1" applyFill="1" applyBorder="1"/>
    <xf numFmtId="39" fontId="6" fillId="0" borderId="3" xfId="0" applyNumberFormat="1" applyFont="1" applyFill="1" applyBorder="1" applyAlignment="1">
      <alignment horizontal="left"/>
    </xf>
    <xf numFmtId="0" fontId="0" fillId="0" borderId="97" xfId="0" applyBorder="1" applyAlignment="1">
      <alignment horizontal="center"/>
    </xf>
    <xf numFmtId="3" fontId="59" fillId="0" borderId="100" xfId="2" applyNumberFormat="1" applyBorder="1"/>
    <xf numFmtId="0" fontId="0" fillId="0" borderId="99" xfId="0" applyBorder="1" applyAlignment="1">
      <alignment horizontal="center"/>
    </xf>
    <xf numFmtId="3" fontId="59" fillId="0" borderId="101" xfId="2" applyNumberFormat="1" applyBorder="1"/>
    <xf numFmtId="0" fontId="0" fillId="0" borderId="102" xfId="0" applyBorder="1" applyAlignment="1">
      <alignment horizontal="center"/>
    </xf>
    <xf numFmtId="3" fontId="59" fillId="0" borderId="103" xfId="2" applyNumberFormat="1" applyBorder="1"/>
    <xf numFmtId="0" fontId="21" fillId="0" borderId="0" xfId="9" applyFont="1" applyFill="1" applyAlignment="1">
      <alignment horizontal="center" vertical="center"/>
    </xf>
    <xf numFmtId="182" fontId="22" fillId="0" borderId="0" xfId="9" applyNumberFormat="1" applyFont="1" applyFill="1" applyAlignment="1">
      <alignment horizontal="right" vertical="center"/>
    </xf>
    <xf numFmtId="182" fontId="20" fillId="0" borderId="0" xfId="9" applyNumberFormat="1" applyFont="1" applyFill="1" applyAlignment="1">
      <alignment horizontal="right" vertical="center"/>
    </xf>
    <xf numFmtId="182" fontId="29" fillId="0" borderId="0" xfId="9" applyNumberFormat="1" applyFont="1" applyFill="1" applyAlignment="1">
      <alignment horizontal="right" vertical="center"/>
    </xf>
    <xf numFmtId="0" fontId="78" fillId="0" borderId="3" xfId="4" applyBorder="1"/>
    <xf numFmtId="0" fontId="79" fillId="0" borderId="3" xfId="4" applyFont="1" applyBorder="1"/>
    <xf numFmtId="0" fontId="82" fillId="0" borderId="0" xfId="7" applyFont="1" applyBorder="1"/>
    <xf numFmtId="169" fontId="82" fillId="0" borderId="0" xfId="7" applyNumberFormat="1" applyFont="1" applyBorder="1"/>
    <xf numFmtId="0" fontId="30" fillId="0" borderId="0" xfId="0" applyFont="1" applyFill="1" applyBorder="1"/>
    <xf numFmtId="0" fontId="2" fillId="0" borderId="3" xfId="0" applyFont="1" applyFill="1" applyBorder="1"/>
    <xf numFmtId="183" fontId="2" fillId="0" borderId="3" xfId="0" applyNumberFormat="1" applyFont="1" applyFill="1" applyBorder="1"/>
    <xf numFmtId="0" fontId="79" fillId="0" borderId="26" xfId="0" applyFont="1" applyBorder="1"/>
    <xf numFmtId="41" fontId="0" fillId="0" borderId="31" xfId="0" applyNumberFormat="1" applyBorder="1"/>
    <xf numFmtId="0" fontId="76" fillId="0" borderId="0" xfId="0" applyFont="1"/>
    <xf numFmtId="0" fontId="83" fillId="0" borderId="0" xfId="0" applyFont="1"/>
    <xf numFmtId="0" fontId="62" fillId="0" borderId="0" xfId="0" applyFont="1"/>
    <xf numFmtId="0" fontId="84" fillId="0" borderId="0" xfId="0" applyFont="1"/>
    <xf numFmtId="0" fontId="79" fillId="0" borderId="0" xfId="0" applyFont="1" applyBorder="1"/>
    <xf numFmtId="41" fontId="0" fillId="0" borderId="0" xfId="0" applyNumberFormat="1" applyBorder="1"/>
    <xf numFmtId="0" fontId="75" fillId="0" borderId="0" xfId="0" applyFont="1" applyFill="1"/>
    <xf numFmtId="0" fontId="2" fillId="0" borderId="86" xfId="0" applyFont="1" applyFill="1" applyBorder="1"/>
    <xf numFmtId="183" fontId="2" fillId="0" borderId="0" xfId="0" applyNumberFormat="1" applyFont="1" applyFill="1"/>
    <xf numFmtId="41" fontId="2" fillId="0" borderId="0" xfId="0" applyNumberFormat="1" applyFont="1" applyFill="1"/>
    <xf numFmtId="0" fontId="4" fillId="0" borderId="0" xfId="0" applyFont="1" applyFill="1" applyBorder="1"/>
    <xf numFmtId="183" fontId="2" fillId="0" borderId="0" xfId="1" applyNumberFormat="1" applyFont="1" applyFill="1" applyBorder="1"/>
    <xf numFmtId="0" fontId="2" fillId="0" borderId="14" xfId="0" applyFont="1" applyFill="1" applyBorder="1"/>
    <xf numFmtId="183" fontId="2" fillId="0" borderId="3" xfId="1" applyNumberFormat="1" applyFont="1" applyFill="1" applyBorder="1"/>
    <xf numFmtId="169" fontId="2" fillId="0" borderId="0" xfId="0" applyNumberFormat="1" applyFont="1" applyFill="1"/>
    <xf numFmtId="0" fontId="2" fillId="0" borderId="97" xfId="0" applyFont="1" applyFill="1" applyBorder="1"/>
    <xf numFmtId="0" fontId="3" fillId="0" borderId="3" xfId="0" applyFont="1" applyFill="1" applyBorder="1"/>
    <xf numFmtId="3" fontId="12" fillId="0" borderId="100" xfId="2" applyNumberFormat="1" applyFont="1" applyFill="1" applyBorder="1"/>
    <xf numFmtId="0" fontId="2" fillId="0" borderId="104" xfId="0" applyFont="1" applyFill="1" applyBorder="1"/>
    <xf numFmtId="0" fontId="3" fillId="0" borderId="105" xfId="0" applyFont="1" applyFill="1" applyBorder="1"/>
    <xf numFmtId="0" fontId="2" fillId="0" borderId="105" xfId="0" applyFont="1" applyFill="1" applyBorder="1"/>
    <xf numFmtId="183" fontId="2" fillId="0" borderId="105" xfId="1" applyNumberFormat="1" applyFont="1" applyFill="1" applyBorder="1"/>
    <xf numFmtId="3" fontId="12" fillId="0" borderId="106" xfId="2" applyNumberFormat="1" applyFont="1" applyFill="1" applyBorder="1"/>
    <xf numFmtId="0" fontId="2" fillId="0" borderId="107" xfId="0" applyFont="1" applyFill="1" applyBorder="1"/>
    <xf numFmtId="0" fontId="2" fillId="0" borderId="108" xfId="0" applyFont="1" applyFill="1" applyBorder="1"/>
    <xf numFmtId="0" fontId="2" fillId="0" borderId="109" xfId="0" applyFont="1" applyFill="1" applyBorder="1"/>
    <xf numFmtId="0" fontId="2" fillId="0" borderId="17" xfId="0" applyFont="1" applyFill="1" applyBorder="1"/>
    <xf numFmtId="0" fontId="4" fillId="0" borderId="18" xfId="0" applyFont="1" applyFill="1" applyBorder="1"/>
    <xf numFmtId="0" fontId="2" fillId="0" borderId="18" xfId="0" applyFont="1" applyFill="1" applyBorder="1"/>
    <xf numFmtId="0" fontId="4" fillId="0" borderId="0" xfId="0" applyFont="1" applyFill="1"/>
    <xf numFmtId="0" fontId="2" fillId="0" borderId="108" xfId="0" applyFont="1" applyFill="1" applyBorder="1" applyAlignment="1">
      <alignment horizontal="center"/>
    </xf>
    <xf numFmtId="183" fontId="2" fillId="0" borderId="20" xfId="1" applyNumberFormat="1" applyFont="1" applyFill="1" applyBorder="1"/>
    <xf numFmtId="183" fontId="4" fillId="0" borderId="85" xfId="1" applyNumberFormat="1" applyFont="1" applyFill="1" applyBorder="1"/>
    <xf numFmtId="0" fontId="4" fillId="0" borderId="17" xfId="0" applyFont="1" applyFill="1" applyBorder="1"/>
    <xf numFmtId="0" fontId="77" fillId="0" borderId="3" xfId="0" applyFont="1" applyBorder="1" applyAlignment="1" applyProtection="1">
      <alignment vertical="top"/>
      <protection locked="0"/>
    </xf>
    <xf numFmtId="0" fontId="77" fillId="0" borderId="3" xfId="0" applyNumberFormat="1" applyFont="1" applyBorder="1" applyAlignment="1">
      <alignment horizontal="left" vertical="top"/>
    </xf>
    <xf numFmtId="4" fontId="77" fillId="0" borderId="3" xfId="0" applyNumberFormat="1" applyFont="1" applyBorder="1" applyAlignment="1">
      <alignment horizontal="right" vertical="top"/>
    </xf>
    <xf numFmtId="0" fontId="70" fillId="0" borderId="3" xfId="0" applyFont="1" applyBorder="1" applyAlignment="1" applyProtection="1">
      <alignment vertical="top"/>
      <protection locked="0"/>
    </xf>
    <xf numFmtId="4" fontId="70" fillId="0" borderId="3" xfId="0" applyNumberFormat="1" applyFont="1" applyBorder="1" applyAlignment="1">
      <alignment horizontal="right" vertical="top"/>
    </xf>
    <xf numFmtId="0" fontId="82" fillId="0" borderId="110" xfId="7" applyFont="1" applyBorder="1"/>
    <xf numFmtId="169" fontId="82" fillId="0" borderId="110" xfId="7" applyNumberFormat="1" applyFont="1" applyBorder="1"/>
    <xf numFmtId="0" fontId="70" fillId="0" borderId="3" xfId="0" applyNumberFormat="1" applyFont="1" applyBorder="1" applyAlignment="1">
      <alignment horizontal="left" vertical="top"/>
    </xf>
    <xf numFmtId="0" fontId="69" fillId="0" borderId="3" xfId="0" applyNumberFormat="1" applyFont="1" applyBorder="1" applyAlignment="1">
      <alignment horizontal="left" vertical="top"/>
    </xf>
    <xf numFmtId="4" fontId="69" fillId="0" borderId="13" xfId="0" applyNumberFormat="1" applyFont="1" applyBorder="1" applyAlignment="1">
      <alignment horizontal="right" vertical="top"/>
    </xf>
    <xf numFmtId="39" fontId="45" fillId="0" borderId="10" xfId="0" applyNumberFormat="1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43" fontId="44" fillId="0" borderId="6" xfId="1" applyFont="1" applyFill="1" applyBorder="1"/>
    <xf numFmtId="0" fontId="78" fillId="0" borderId="14" xfId="4" applyBorder="1"/>
    <xf numFmtId="39" fontId="7" fillId="0" borderId="86" xfId="0" applyNumberFormat="1" applyFont="1" applyFill="1" applyBorder="1" applyAlignment="1">
      <alignment horizontal="center"/>
    </xf>
    <xf numFmtId="39" fontId="44" fillId="0" borderId="3" xfId="0" applyNumberFormat="1" applyFont="1" applyFill="1" applyBorder="1"/>
    <xf numFmtId="0" fontId="44" fillId="0" borderId="3" xfId="0" applyFont="1" applyFill="1" applyBorder="1"/>
    <xf numFmtId="4" fontId="44" fillId="0" borderId="3" xfId="0" applyNumberFormat="1" applyFont="1" applyFill="1" applyBorder="1"/>
    <xf numFmtId="39" fontId="58" fillId="0" borderId="13" xfId="0" applyNumberFormat="1" applyFont="1" applyBorder="1" applyAlignment="1" applyProtection="1">
      <alignment vertical="top"/>
      <protection locked="0"/>
    </xf>
    <xf numFmtId="37" fontId="6" fillId="0" borderId="3" xfId="0" applyNumberFormat="1" applyFont="1" applyFill="1" applyBorder="1" applyAlignment="1">
      <alignment horizontal="center"/>
    </xf>
    <xf numFmtId="41" fontId="9" fillId="0" borderId="3" xfId="0" applyNumberFormat="1" applyFont="1" applyFill="1" applyBorder="1" applyAlignment="1">
      <alignment horizontal="right"/>
    </xf>
    <xf numFmtId="39" fontId="85" fillId="0" borderId="0" xfId="0" applyNumberFormat="1" applyFont="1" applyFill="1"/>
    <xf numFmtId="171" fontId="85" fillId="0" borderId="0" xfId="0" applyNumberFormat="1" applyFont="1" applyFill="1"/>
    <xf numFmtId="41" fontId="0" fillId="0" borderId="111" xfId="0" applyNumberFormat="1" applyBorder="1"/>
    <xf numFmtId="41" fontId="0" fillId="0" borderId="112" xfId="0" applyNumberFormat="1" applyBorder="1"/>
    <xf numFmtId="41" fontId="0" fillId="0" borderId="113" xfId="0" applyNumberFormat="1" applyBorder="1"/>
    <xf numFmtId="41" fontId="0" fillId="0" borderId="114" xfId="0" applyNumberFormat="1" applyBorder="1"/>
    <xf numFmtId="182" fontId="22" fillId="4" borderId="0" xfId="9" applyNumberFormat="1" applyFont="1" applyFill="1" applyAlignment="1">
      <alignment horizontal="right" vertical="center"/>
    </xf>
    <xf numFmtId="182" fontId="20" fillId="4" borderId="0" xfId="9" applyNumberFormat="1" applyFont="1" applyFill="1" applyAlignment="1">
      <alignment horizontal="right" vertical="center"/>
    </xf>
    <xf numFmtId="0" fontId="58" fillId="0" borderId="3" xfId="0" applyFont="1" applyBorder="1" applyAlignment="1">
      <alignment horizontal="center"/>
    </xf>
    <xf numFmtId="0" fontId="86" fillId="0" borderId="3" xfId="6" applyFont="1" applyBorder="1" applyAlignment="1">
      <alignment horizontal="center"/>
    </xf>
    <xf numFmtId="0" fontId="0" fillId="0" borderId="115" xfId="0" applyBorder="1"/>
    <xf numFmtId="3" fontId="0" fillId="0" borderId="116" xfId="0" applyNumberFormat="1" applyBorder="1"/>
    <xf numFmtId="0" fontId="0" fillId="0" borderId="117" xfId="0" applyBorder="1"/>
    <xf numFmtId="0" fontId="0" fillId="0" borderId="118" xfId="0" applyBorder="1"/>
    <xf numFmtId="169" fontId="12" fillId="0" borderId="119" xfId="0" applyNumberFormat="1" applyFont="1" applyBorder="1"/>
    <xf numFmtId="0" fontId="0" fillId="0" borderId="83" xfId="0" applyBorder="1"/>
    <xf numFmtId="169" fontId="53" fillId="0" borderId="119" xfId="0" applyNumberFormat="1" applyFont="1" applyBorder="1"/>
    <xf numFmtId="0" fontId="0" fillId="0" borderId="120" xfId="0" applyBorder="1"/>
    <xf numFmtId="0" fontId="0" fillId="0" borderId="121" xfId="0" applyBorder="1"/>
    <xf numFmtId="0" fontId="0" fillId="0" borderId="122" xfId="0" applyBorder="1"/>
    <xf numFmtId="0" fontId="0" fillId="0" borderId="123" xfId="0" applyBorder="1"/>
    <xf numFmtId="169" fontId="53" fillId="0" borderId="124" xfId="0" applyNumberFormat="1" applyFont="1" applyBorder="1"/>
    <xf numFmtId="0" fontId="0" fillId="0" borderId="125" xfId="0" applyBorder="1"/>
    <xf numFmtId="3" fontId="0" fillId="0" borderId="91" xfId="0" applyNumberFormat="1" applyBorder="1"/>
    <xf numFmtId="0" fontId="0" fillId="0" borderId="126" xfId="0" applyBorder="1"/>
    <xf numFmtId="169" fontId="53" fillId="0" borderId="127" xfId="0" applyNumberFormat="1" applyFont="1" applyBorder="1"/>
    <xf numFmtId="39" fontId="11" fillId="0" borderId="0" xfId="8" applyNumberFormat="1" applyFill="1" applyBorder="1" applyAlignment="1" applyProtection="1"/>
    <xf numFmtId="39" fontId="11" fillId="0" borderId="0" xfId="9" applyNumberFormat="1" applyFill="1" applyBorder="1" applyAlignment="1" applyProtection="1"/>
    <xf numFmtId="183" fontId="2" fillId="0" borderId="86" xfId="1" applyNumberFormat="1" applyFont="1" applyFill="1" applyBorder="1"/>
    <xf numFmtId="0" fontId="4" fillId="0" borderId="85" xfId="0" applyFont="1" applyFill="1" applyBorder="1"/>
    <xf numFmtId="183" fontId="2" fillId="0" borderId="14" xfId="1" applyNumberFormat="1" applyFont="1" applyFill="1" applyBorder="1"/>
    <xf numFmtId="0" fontId="41" fillId="0" borderId="0" xfId="0" applyFont="1" applyBorder="1" applyAlignment="1">
      <alignment horizontal="center"/>
    </xf>
    <xf numFmtId="0" fontId="37" fillId="0" borderId="0" xfId="0" applyFont="1" applyBorder="1" applyAlignment="1">
      <alignment horizont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32" fillId="0" borderId="3" xfId="0" applyNumberFormat="1" applyFont="1" applyFill="1" applyBorder="1" applyAlignment="1" applyProtection="1">
      <alignment horizontal="center" vertical="center"/>
    </xf>
    <xf numFmtId="196" fontId="51" fillId="0" borderId="21" xfId="10" applyNumberFormat="1" applyFont="1" applyBorder="1" applyAlignment="1" applyProtection="1">
      <alignment horizontal="center" vertical="center" wrapText="1"/>
      <protection locked="0"/>
    </xf>
    <xf numFmtId="0" fontId="2" fillId="0" borderId="31" xfId="0" applyNumberFormat="1" applyFont="1" applyFill="1" applyBorder="1" applyAlignment="1" applyProtection="1"/>
    <xf numFmtId="196" fontId="4" fillId="0" borderId="0" xfId="10" applyNumberFormat="1" applyFont="1" applyFill="1" applyBorder="1" applyAlignment="1">
      <alignment horizontal="center" vertical="center"/>
    </xf>
    <xf numFmtId="0" fontId="61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12" fillId="0" borderId="24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58" fillId="0" borderId="25" xfId="0" applyFont="1" applyBorder="1" applyAlignment="1">
      <alignment horizontal="center" vertical="center"/>
    </xf>
    <xf numFmtId="0" fontId="58" fillId="0" borderId="30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62" fillId="0" borderId="107" xfId="0" applyFont="1" applyBorder="1" applyAlignment="1">
      <alignment horizontal="center"/>
    </xf>
    <xf numFmtId="0" fontId="62" fillId="0" borderId="128" xfId="0" applyFont="1" applyBorder="1" applyAlignment="1">
      <alignment horizontal="center"/>
    </xf>
  </cellXfs>
  <cellStyles count="12">
    <cellStyle name="Comma" xfId="1" builtinId="3"/>
    <cellStyle name="Comma_21.Aktivet Afatgjata Materiale  09" xfId="2"/>
    <cellStyle name="Comma_Levizja e Mjeteve Kryesore" xfId="3"/>
    <cellStyle name="Normal" xfId="0" builtinId="0"/>
    <cellStyle name="Normal 11" xfId="4"/>
    <cellStyle name="Normal 2" xfId="5"/>
    <cellStyle name="Normal 3" xfId="6"/>
    <cellStyle name="Normal 5" xfId="7"/>
    <cellStyle name="Normal_ardhshpe cact" xfId="8"/>
    <cellStyle name="Normal_bilanc cact" xfId="9"/>
    <cellStyle name="Normal_Documents C1 à C8 ENGLISH" xfId="10"/>
    <cellStyle name="Normal_Levizja e Mjeteve Kryesore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workbookViewId="0">
      <selection activeCell="E31" sqref="E31"/>
    </sheetView>
  </sheetViews>
  <sheetFormatPr defaultRowHeight="12.75" x14ac:dyDescent="0.2"/>
  <cols>
    <col min="1" max="1" width="2.42578125" style="26" customWidth="1"/>
    <col min="2" max="2" width="3.140625" style="26" customWidth="1"/>
    <col min="3" max="5" width="9.140625" style="26"/>
    <col min="6" max="6" width="4.28515625" style="26" customWidth="1"/>
    <col min="7" max="7" width="12" style="26" customWidth="1"/>
    <col min="8" max="8" width="9.140625" style="26"/>
    <col min="9" max="9" width="10.7109375" style="26" customWidth="1"/>
    <col min="10" max="10" width="9.140625" style="26"/>
    <col min="11" max="11" width="11.5703125" style="26" customWidth="1"/>
    <col min="12" max="16384" width="9.140625" style="26"/>
  </cols>
  <sheetData>
    <row r="2" spans="1:11" ht="14.25" x14ac:dyDescent="0.2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ht="16.5" x14ac:dyDescent="0.3">
      <c r="A3" s="79"/>
      <c r="B3" s="80"/>
      <c r="C3" s="81"/>
      <c r="D3" s="81"/>
      <c r="E3" s="81"/>
      <c r="F3" s="81"/>
      <c r="G3" s="81"/>
      <c r="H3" s="81"/>
      <c r="I3" s="81"/>
      <c r="J3" s="81"/>
      <c r="K3" s="82"/>
    </row>
    <row r="4" spans="1:11" ht="16.5" x14ac:dyDescent="0.3">
      <c r="A4" s="79"/>
      <c r="B4" s="83"/>
      <c r="C4" s="84" t="s">
        <v>542</v>
      </c>
      <c r="D4" s="84"/>
      <c r="E4" s="84"/>
      <c r="F4" s="84"/>
      <c r="G4" s="96" t="s">
        <v>554</v>
      </c>
      <c r="H4" s="85"/>
      <c r="I4" s="85"/>
      <c r="J4" s="85"/>
      <c r="K4" s="86"/>
    </row>
    <row r="5" spans="1:11" ht="16.5" x14ac:dyDescent="0.3">
      <c r="A5" s="79"/>
      <c r="B5" s="83"/>
      <c r="C5" s="84" t="s">
        <v>543</v>
      </c>
      <c r="D5" s="84"/>
      <c r="E5" s="84"/>
      <c r="F5" s="84"/>
      <c r="G5" s="292" t="s">
        <v>555</v>
      </c>
      <c r="H5" s="85"/>
      <c r="I5" s="85"/>
      <c r="J5" s="85"/>
      <c r="K5" s="86"/>
    </row>
    <row r="6" spans="1:11" ht="16.5" x14ac:dyDescent="0.3">
      <c r="A6" s="79"/>
      <c r="B6" s="83"/>
      <c r="C6" s="84" t="s">
        <v>544</v>
      </c>
      <c r="D6" s="84"/>
      <c r="E6" s="84"/>
      <c r="F6" s="84"/>
      <c r="G6" s="96" t="s">
        <v>556</v>
      </c>
      <c r="H6" s="85"/>
      <c r="I6" s="85"/>
      <c r="J6" s="85"/>
      <c r="K6" s="86"/>
    </row>
    <row r="7" spans="1:11" ht="16.5" x14ac:dyDescent="0.3">
      <c r="A7" s="79"/>
      <c r="B7" s="83"/>
      <c r="C7" s="84"/>
      <c r="D7" s="84"/>
      <c r="E7" s="84"/>
      <c r="F7" s="84"/>
      <c r="G7" s="96" t="s">
        <v>578</v>
      </c>
      <c r="H7" s="85"/>
      <c r="I7" s="85"/>
      <c r="J7" s="85"/>
      <c r="K7" s="86"/>
    </row>
    <row r="8" spans="1:11" ht="16.5" x14ac:dyDescent="0.3">
      <c r="A8" s="79"/>
      <c r="B8" s="83"/>
      <c r="C8" s="84" t="s">
        <v>545</v>
      </c>
      <c r="D8" s="84"/>
      <c r="E8" s="84"/>
      <c r="F8" s="84"/>
      <c r="G8" s="96" t="s">
        <v>557</v>
      </c>
      <c r="H8" s="85"/>
      <c r="I8" s="85"/>
      <c r="J8" s="85"/>
      <c r="K8" s="86"/>
    </row>
    <row r="9" spans="1:11" ht="16.5" x14ac:dyDescent="0.3">
      <c r="A9" s="79"/>
      <c r="B9" s="83"/>
      <c r="C9" s="85" t="s">
        <v>546</v>
      </c>
      <c r="D9" s="84"/>
      <c r="E9" s="84"/>
      <c r="F9" s="84"/>
      <c r="G9" s="96">
        <v>13276</v>
      </c>
      <c r="H9" s="85"/>
      <c r="I9" s="85"/>
      <c r="J9" s="85"/>
      <c r="K9" s="86"/>
    </row>
    <row r="10" spans="1:11" ht="16.5" x14ac:dyDescent="0.3">
      <c r="A10" s="79"/>
      <c r="B10" s="83"/>
      <c r="C10" s="84" t="s">
        <v>547</v>
      </c>
      <c r="D10" s="84"/>
      <c r="E10" s="84"/>
      <c r="F10" s="84"/>
      <c r="G10" s="96" t="s">
        <v>558</v>
      </c>
      <c r="H10" s="85"/>
      <c r="I10" s="85"/>
      <c r="J10" s="85"/>
      <c r="K10" s="86"/>
    </row>
    <row r="11" spans="1:11" ht="16.5" x14ac:dyDescent="0.3">
      <c r="A11" s="79"/>
      <c r="B11" s="83"/>
      <c r="C11" s="87"/>
      <c r="D11" s="87"/>
      <c r="E11" s="87"/>
      <c r="F11" s="87"/>
      <c r="G11" s="85"/>
      <c r="H11" s="85"/>
      <c r="I11" s="85"/>
      <c r="J11" s="85"/>
      <c r="K11" s="78"/>
    </row>
    <row r="12" spans="1:11" ht="18.75" x14ac:dyDescent="0.3">
      <c r="A12" s="79"/>
      <c r="B12" s="83"/>
      <c r="C12" s="88"/>
      <c r="D12" s="87"/>
      <c r="E12" s="87"/>
      <c r="F12" s="89"/>
      <c r="G12" s="88"/>
      <c r="H12" s="85"/>
      <c r="I12" s="85"/>
      <c r="J12" s="85"/>
      <c r="K12" s="78"/>
    </row>
    <row r="13" spans="1:11" ht="16.5" x14ac:dyDescent="0.3">
      <c r="A13" s="79"/>
      <c r="B13" s="90"/>
      <c r="C13" s="88"/>
      <c r="D13" s="87"/>
      <c r="E13" s="87"/>
      <c r="F13" s="87"/>
      <c r="G13" s="87"/>
      <c r="H13" s="87"/>
      <c r="I13" s="87"/>
      <c r="J13" s="87"/>
      <c r="K13" s="78"/>
    </row>
    <row r="14" spans="1:11" ht="16.5" x14ac:dyDescent="0.3">
      <c r="A14" s="79"/>
      <c r="B14" s="83"/>
      <c r="C14" s="87"/>
      <c r="D14" s="87"/>
      <c r="E14" s="87"/>
      <c r="F14" s="87"/>
      <c r="G14" s="87"/>
      <c r="H14" s="87"/>
      <c r="I14" s="87"/>
      <c r="J14" s="87"/>
      <c r="K14" s="78"/>
    </row>
    <row r="15" spans="1:11" ht="16.5" x14ac:dyDescent="0.3">
      <c r="A15" s="79"/>
      <c r="B15" s="83"/>
      <c r="C15" s="87"/>
      <c r="D15" s="87"/>
      <c r="E15" s="87"/>
      <c r="F15" s="87"/>
      <c r="G15" s="87"/>
      <c r="H15" s="87"/>
      <c r="I15" s="87"/>
      <c r="J15" s="87"/>
      <c r="K15" s="78"/>
    </row>
    <row r="16" spans="1:11" ht="16.5" x14ac:dyDescent="0.3">
      <c r="A16" s="79"/>
      <c r="B16" s="83"/>
      <c r="C16" s="87"/>
      <c r="D16" s="87"/>
      <c r="E16" s="87"/>
      <c r="F16" s="87"/>
      <c r="G16" s="87"/>
      <c r="H16" s="87"/>
      <c r="I16" s="87"/>
      <c r="J16" s="87"/>
      <c r="K16" s="78"/>
    </row>
    <row r="17" spans="1:11" ht="25.5" x14ac:dyDescent="0.35">
      <c r="A17" s="79"/>
      <c r="B17" s="83"/>
      <c r="C17" s="578" t="s">
        <v>548</v>
      </c>
      <c r="D17" s="578"/>
      <c r="E17" s="578"/>
      <c r="F17" s="578"/>
      <c r="G17" s="578"/>
      <c r="H17" s="578"/>
      <c r="I17" s="578"/>
      <c r="J17" s="578"/>
      <c r="K17" s="78"/>
    </row>
    <row r="18" spans="1:11" ht="16.5" x14ac:dyDescent="0.3">
      <c r="A18" s="79"/>
      <c r="B18" s="83"/>
      <c r="C18" s="579" t="s">
        <v>561</v>
      </c>
      <c r="D18" s="579"/>
      <c r="E18" s="579"/>
      <c r="F18" s="579"/>
      <c r="G18" s="579"/>
      <c r="H18" s="579"/>
      <c r="I18" s="579"/>
      <c r="J18" s="579"/>
      <c r="K18" s="78"/>
    </row>
    <row r="19" spans="1:11" ht="16.5" x14ac:dyDescent="0.3">
      <c r="A19" s="79"/>
      <c r="B19" s="83"/>
      <c r="C19" s="87" t="s">
        <v>560</v>
      </c>
      <c r="D19" s="87"/>
      <c r="E19" s="87"/>
      <c r="F19" s="87"/>
      <c r="G19" s="87"/>
      <c r="H19" s="87"/>
      <c r="I19" s="87"/>
      <c r="J19" s="87"/>
      <c r="K19" s="78"/>
    </row>
    <row r="20" spans="1:11" ht="16.5" x14ac:dyDescent="0.3">
      <c r="A20" s="79"/>
      <c r="B20" s="83"/>
      <c r="C20" s="88"/>
      <c r="D20" s="87"/>
      <c r="E20" s="87"/>
      <c r="F20" s="87"/>
      <c r="G20" s="88"/>
      <c r="H20" s="87"/>
      <c r="I20" s="87"/>
      <c r="J20" s="87"/>
      <c r="K20" s="78"/>
    </row>
    <row r="21" spans="1:11" ht="27" x14ac:dyDescent="0.35">
      <c r="A21" s="79"/>
      <c r="B21" s="83"/>
      <c r="C21" s="87"/>
      <c r="D21" s="87"/>
      <c r="E21" s="87"/>
      <c r="F21" s="91" t="s">
        <v>1055</v>
      </c>
      <c r="G21" s="87"/>
      <c r="H21" s="87"/>
      <c r="I21" s="87"/>
      <c r="J21" s="87"/>
      <c r="K21" s="78"/>
    </row>
    <row r="22" spans="1:11" ht="16.5" x14ac:dyDescent="0.3">
      <c r="A22" s="79"/>
      <c r="B22" s="83"/>
      <c r="C22" s="87"/>
      <c r="D22" s="87"/>
      <c r="E22" s="87"/>
      <c r="F22" s="87"/>
      <c r="G22" s="87"/>
      <c r="H22" s="87"/>
      <c r="I22" s="87"/>
      <c r="J22" s="87"/>
      <c r="K22" s="78"/>
    </row>
    <row r="23" spans="1:11" ht="16.5" x14ac:dyDescent="0.3">
      <c r="A23" s="79"/>
      <c r="B23" s="83"/>
      <c r="C23" s="87"/>
      <c r="D23" s="87"/>
      <c r="E23" s="87"/>
      <c r="F23" s="87"/>
      <c r="G23" s="87"/>
      <c r="H23" s="87"/>
      <c r="I23" s="87"/>
      <c r="J23" s="87"/>
      <c r="K23" s="78"/>
    </row>
    <row r="24" spans="1:11" ht="16.5" x14ac:dyDescent="0.3">
      <c r="A24" s="79"/>
      <c r="B24" s="83"/>
      <c r="C24" s="87"/>
      <c r="D24" s="87"/>
      <c r="E24" s="87"/>
      <c r="F24" s="87"/>
      <c r="G24" s="87"/>
      <c r="H24" s="87"/>
      <c r="I24" s="87"/>
      <c r="J24" s="87"/>
      <c r="K24" s="78"/>
    </row>
    <row r="25" spans="1:11" ht="16.5" x14ac:dyDescent="0.3">
      <c r="A25" s="79"/>
      <c r="B25" s="83"/>
      <c r="C25" s="87"/>
      <c r="D25" s="87"/>
      <c r="E25" s="87"/>
      <c r="F25" s="87"/>
      <c r="G25" s="87"/>
      <c r="H25" s="87"/>
      <c r="I25" s="87"/>
      <c r="J25" s="87"/>
      <c r="K25" s="78"/>
    </row>
    <row r="26" spans="1:11" ht="16.5" x14ac:dyDescent="0.3">
      <c r="A26" s="79"/>
      <c r="B26" s="83"/>
      <c r="C26" s="87"/>
      <c r="D26" s="88"/>
      <c r="E26" s="88"/>
      <c r="F26" s="88"/>
      <c r="G26" s="88"/>
      <c r="H26" s="88"/>
      <c r="I26" s="88"/>
      <c r="J26" s="88"/>
      <c r="K26" s="78"/>
    </row>
    <row r="27" spans="1:11" ht="16.5" x14ac:dyDescent="0.3">
      <c r="A27" s="79"/>
      <c r="B27" s="83"/>
      <c r="C27" s="87"/>
      <c r="D27" s="88"/>
      <c r="E27" s="88"/>
      <c r="F27" s="88"/>
      <c r="G27" s="88"/>
      <c r="H27" s="88"/>
      <c r="I27" s="88"/>
      <c r="J27" s="88"/>
      <c r="K27" s="78"/>
    </row>
    <row r="28" spans="1:11" ht="16.5" x14ac:dyDescent="0.3">
      <c r="A28" s="79"/>
      <c r="B28" s="83"/>
      <c r="C28" s="87"/>
      <c r="D28" s="88"/>
      <c r="E28" s="88"/>
      <c r="F28" s="88"/>
      <c r="G28" s="88"/>
      <c r="H28" s="88"/>
      <c r="I28" s="88"/>
      <c r="J28" s="88"/>
      <c r="K28" s="78"/>
    </row>
    <row r="29" spans="1:11" ht="16.5" x14ac:dyDescent="0.3">
      <c r="A29" s="79"/>
      <c r="B29" s="83"/>
      <c r="C29" s="87"/>
      <c r="D29" s="88"/>
      <c r="E29" s="88"/>
      <c r="F29" s="88"/>
      <c r="G29" s="88"/>
      <c r="H29" s="88"/>
      <c r="I29" s="88"/>
      <c r="J29" s="88"/>
      <c r="K29" s="78"/>
    </row>
    <row r="30" spans="1:11" ht="16.5" x14ac:dyDescent="0.3">
      <c r="A30" s="79"/>
      <c r="B30" s="83"/>
      <c r="D30" s="87" t="s">
        <v>549</v>
      </c>
      <c r="E30" s="88"/>
      <c r="F30" s="88"/>
      <c r="G30" s="88"/>
      <c r="H30" s="88"/>
      <c r="I30" s="88"/>
      <c r="J30" s="88"/>
      <c r="K30" s="78"/>
    </row>
    <row r="31" spans="1:11" ht="16.5" x14ac:dyDescent="0.3">
      <c r="A31" s="79"/>
      <c r="B31" s="83"/>
      <c r="D31" s="87"/>
      <c r="E31" s="88"/>
      <c r="F31" s="88"/>
      <c r="G31" s="88"/>
      <c r="H31" s="88"/>
      <c r="I31" s="88"/>
      <c r="J31" s="88"/>
      <c r="K31" s="78"/>
    </row>
    <row r="32" spans="1:11" ht="16.5" x14ac:dyDescent="0.3">
      <c r="A32" s="79"/>
      <c r="B32" s="83"/>
      <c r="D32" s="87" t="s">
        <v>550</v>
      </c>
      <c r="E32" s="88"/>
      <c r="F32" s="88"/>
      <c r="G32" s="88"/>
      <c r="H32" s="88" t="s">
        <v>551</v>
      </c>
      <c r="I32" s="88"/>
      <c r="J32" s="88"/>
      <c r="K32" s="78"/>
    </row>
    <row r="33" spans="1:11" ht="16.5" x14ac:dyDescent="0.3">
      <c r="A33" s="79"/>
      <c r="B33" s="83"/>
      <c r="D33" s="87"/>
      <c r="E33" s="88"/>
      <c r="F33" s="88"/>
      <c r="G33" s="88"/>
      <c r="H33" s="88"/>
      <c r="I33" s="88"/>
      <c r="J33" s="88"/>
      <c r="K33" s="78"/>
    </row>
    <row r="34" spans="1:11" ht="16.5" x14ac:dyDescent="0.3">
      <c r="A34" s="79"/>
      <c r="B34" s="83"/>
      <c r="D34" s="87" t="s">
        <v>552</v>
      </c>
      <c r="E34" s="88"/>
      <c r="F34" s="88"/>
      <c r="G34" s="88"/>
      <c r="H34" s="88" t="s">
        <v>1056</v>
      </c>
      <c r="I34" s="88"/>
      <c r="J34" s="88"/>
      <c r="K34" s="78"/>
    </row>
    <row r="35" spans="1:11" ht="16.5" x14ac:dyDescent="0.3">
      <c r="A35" s="79"/>
      <c r="B35" s="83"/>
      <c r="D35" s="87"/>
      <c r="E35" s="88"/>
      <c r="F35" s="88"/>
      <c r="G35" s="88"/>
      <c r="H35" s="88"/>
      <c r="I35" s="88"/>
      <c r="J35" s="88"/>
      <c r="K35" s="78"/>
    </row>
    <row r="36" spans="1:11" ht="16.5" x14ac:dyDescent="0.3">
      <c r="A36" s="79"/>
      <c r="B36" s="83"/>
      <c r="D36" s="87" t="s">
        <v>553</v>
      </c>
      <c r="E36" s="88"/>
      <c r="F36" s="88"/>
      <c r="G36" s="88"/>
      <c r="H36" s="88" t="s">
        <v>1057</v>
      </c>
      <c r="I36" s="88"/>
      <c r="J36" s="88"/>
      <c r="K36" s="78"/>
    </row>
    <row r="37" spans="1:11" ht="16.5" x14ac:dyDescent="0.3">
      <c r="A37" s="79"/>
      <c r="B37" s="83"/>
      <c r="C37" s="87"/>
      <c r="D37" s="87"/>
      <c r="E37" s="87"/>
      <c r="F37" s="421">
        <v>1</v>
      </c>
      <c r="G37" s="87"/>
      <c r="H37" s="87"/>
      <c r="I37" s="87"/>
      <c r="J37" s="87"/>
      <c r="K37" s="78"/>
    </row>
    <row r="38" spans="1:11" ht="16.5" x14ac:dyDescent="0.3">
      <c r="A38" s="79"/>
      <c r="B38" s="92"/>
      <c r="C38" s="93"/>
      <c r="D38" s="93"/>
      <c r="E38" s="93"/>
      <c r="F38" s="93"/>
      <c r="G38" s="93"/>
      <c r="H38" s="93"/>
      <c r="I38" s="93"/>
      <c r="J38" s="93"/>
      <c r="K38" s="94"/>
    </row>
    <row r="39" spans="1:11" ht="16.5" x14ac:dyDescent="0.3">
      <c r="A39" s="79"/>
      <c r="B39" s="95"/>
      <c r="C39" s="95"/>
      <c r="D39" s="95"/>
      <c r="E39" s="95"/>
      <c r="F39" s="95"/>
      <c r="G39" s="95"/>
      <c r="H39" s="95"/>
      <c r="I39" s="95"/>
      <c r="J39" s="95"/>
      <c r="K39" s="95"/>
    </row>
  </sheetData>
  <mergeCells count="2">
    <mergeCell ref="C17:J17"/>
    <mergeCell ref="C18:J18"/>
  </mergeCells>
  <phoneticPr fontId="3" type="noConversion"/>
  <pageMargins left="0.25" right="0.2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E31" sqref="E31"/>
    </sheetView>
  </sheetViews>
  <sheetFormatPr defaultRowHeight="12.75" x14ac:dyDescent="0.2"/>
  <cols>
    <col min="1" max="1" width="10.5703125" customWidth="1"/>
    <col min="2" max="2" width="27.5703125" customWidth="1"/>
    <col min="3" max="3" width="15.85546875" customWidth="1"/>
    <col min="4" max="4" width="7.5703125" customWidth="1"/>
    <col min="5" max="5" width="10.140625" customWidth="1"/>
    <col min="6" max="6" width="14.5703125" customWidth="1"/>
    <col min="9" max="9" width="10" bestFit="1" customWidth="1"/>
  </cols>
  <sheetData>
    <row r="1" spans="1:6" ht="18" x14ac:dyDescent="0.25">
      <c r="B1" s="332" t="s">
        <v>605</v>
      </c>
      <c r="C1" s="333" t="s">
        <v>606</v>
      </c>
      <c r="D1" s="333"/>
    </row>
    <row r="3" spans="1:6" ht="15.75" x14ac:dyDescent="0.25">
      <c r="C3" s="334" t="s">
        <v>1074</v>
      </c>
    </row>
    <row r="5" spans="1:6" ht="18" x14ac:dyDescent="0.25">
      <c r="A5" s="326" t="s">
        <v>617</v>
      </c>
    </row>
    <row r="6" spans="1:6" ht="18" x14ac:dyDescent="0.25">
      <c r="A6" s="326" t="s">
        <v>618</v>
      </c>
    </row>
    <row r="7" spans="1:6" ht="18" x14ac:dyDescent="0.25">
      <c r="A7" s="326" t="s">
        <v>619</v>
      </c>
    </row>
    <row r="8" spans="1:6" ht="18" x14ac:dyDescent="0.25">
      <c r="A8" s="326" t="s">
        <v>621</v>
      </c>
    </row>
    <row r="9" spans="1:6" ht="15.75" x14ac:dyDescent="0.25">
      <c r="A9" s="326" t="s">
        <v>620</v>
      </c>
    </row>
    <row r="10" spans="1:6" ht="13.5" thickBot="1" x14ac:dyDescent="0.25"/>
    <row r="11" spans="1:6" ht="15.75" thickBot="1" x14ac:dyDescent="0.25">
      <c r="A11" s="335" t="s">
        <v>607</v>
      </c>
      <c r="B11" s="336" t="s">
        <v>608</v>
      </c>
      <c r="C11" s="336" t="s">
        <v>609</v>
      </c>
      <c r="D11" s="336" t="s">
        <v>586</v>
      </c>
      <c r="E11" s="336" t="s">
        <v>610</v>
      </c>
      <c r="F11" s="337" t="s">
        <v>611</v>
      </c>
    </row>
    <row r="12" spans="1:6" x14ac:dyDescent="0.2">
      <c r="A12" s="338">
        <v>1</v>
      </c>
      <c r="B12" s="319"/>
      <c r="C12" s="319"/>
      <c r="D12" s="319"/>
      <c r="E12" s="339"/>
      <c r="F12" s="340">
        <f>+D12*E12</f>
        <v>0</v>
      </c>
    </row>
    <row r="13" spans="1:6" x14ac:dyDescent="0.2">
      <c r="A13" s="341">
        <v>2</v>
      </c>
      <c r="B13" s="303"/>
      <c r="C13" s="303"/>
      <c r="D13" s="303"/>
      <c r="E13" s="318"/>
      <c r="F13" s="340">
        <f>+E13*D13</f>
        <v>0</v>
      </c>
    </row>
    <row r="14" spans="1:6" x14ac:dyDescent="0.2">
      <c r="A14" s="341">
        <v>3</v>
      </c>
      <c r="B14" s="303"/>
      <c r="C14" s="303"/>
      <c r="D14" s="303"/>
      <c r="E14" s="318"/>
      <c r="F14" s="340">
        <f t="shared" ref="F14:F24" si="0">+E14*D14</f>
        <v>0</v>
      </c>
    </row>
    <row r="15" spans="1:6" x14ac:dyDescent="0.2">
      <c r="A15" s="341">
        <v>4</v>
      </c>
      <c r="B15" s="303"/>
      <c r="C15" s="303"/>
      <c r="D15" s="303"/>
      <c r="E15" s="318"/>
      <c r="F15" s="340">
        <f t="shared" si="0"/>
        <v>0</v>
      </c>
    </row>
    <row r="16" spans="1:6" x14ac:dyDescent="0.2">
      <c r="A16" s="341">
        <v>5</v>
      </c>
      <c r="B16" s="303"/>
      <c r="C16" s="303"/>
      <c r="D16" s="303"/>
      <c r="E16" s="318"/>
      <c r="F16" s="340">
        <f t="shared" si="0"/>
        <v>0</v>
      </c>
    </row>
    <row r="17" spans="1:6" x14ac:dyDescent="0.2">
      <c r="A17" s="341">
        <v>6</v>
      </c>
      <c r="B17" s="303"/>
      <c r="C17" s="303"/>
      <c r="D17" s="303"/>
      <c r="E17" s="318"/>
      <c r="F17" s="340">
        <f t="shared" si="0"/>
        <v>0</v>
      </c>
    </row>
    <row r="18" spans="1:6" x14ac:dyDescent="0.2">
      <c r="A18" s="341">
        <v>7</v>
      </c>
      <c r="B18" s="303"/>
      <c r="C18" s="303"/>
      <c r="D18" s="303"/>
      <c r="E18" s="318"/>
      <c r="F18" s="340">
        <f t="shared" si="0"/>
        <v>0</v>
      </c>
    </row>
    <row r="19" spans="1:6" x14ac:dyDescent="0.2">
      <c r="A19" s="341">
        <v>8</v>
      </c>
      <c r="B19" s="303"/>
      <c r="C19" s="303"/>
      <c r="D19" s="303"/>
      <c r="E19" s="318"/>
      <c r="F19" s="340">
        <f t="shared" si="0"/>
        <v>0</v>
      </c>
    </row>
    <row r="20" spans="1:6" x14ac:dyDescent="0.2">
      <c r="A20" s="341">
        <v>9</v>
      </c>
      <c r="B20" s="303"/>
      <c r="C20" s="303"/>
      <c r="D20" s="303"/>
      <c r="E20" s="318"/>
      <c r="F20" s="340">
        <f t="shared" si="0"/>
        <v>0</v>
      </c>
    </row>
    <row r="21" spans="1:6" x14ac:dyDescent="0.2">
      <c r="A21" s="341">
        <v>10</v>
      </c>
      <c r="B21" s="303"/>
      <c r="C21" s="303"/>
      <c r="D21" s="303"/>
      <c r="E21" s="318"/>
      <c r="F21" s="340">
        <f t="shared" si="0"/>
        <v>0</v>
      </c>
    </row>
    <row r="22" spans="1:6" x14ac:dyDescent="0.2">
      <c r="A22" s="341">
        <v>11</v>
      </c>
      <c r="B22" s="303"/>
      <c r="C22" s="303"/>
      <c r="D22" s="303"/>
      <c r="E22" s="318"/>
      <c r="F22" s="340">
        <f t="shared" si="0"/>
        <v>0</v>
      </c>
    </row>
    <row r="23" spans="1:6" x14ac:dyDescent="0.2">
      <c r="A23" s="341">
        <v>12</v>
      </c>
      <c r="B23" s="303"/>
      <c r="C23" s="303"/>
      <c r="D23" s="303"/>
      <c r="E23" s="318"/>
      <c r="F23" s="340">
        <f t="shared" si="0"/>
        <v>0</v>
      </c>
    </row>
    <row r="24" spans="1:6" x14ac:dyDescent="0.2">
      <c r="A24" s="341">
        <v>13</v>
      </c>
      <c r="B24" s="303"/>
      <c r="C24" s="303"/>
      <c r="D24" s="303"/>
      <c r="E24" s="318"/>
      <c r="F24" s="340">
        <f t="shared" si="0"/>
        <v>0</v>
      </c>
    </row>
    <row r="25" spans="1:6" ht="15" x14ac:dyDescent="0.2">
      <c r="A25" s="341">
        <v>16</v>
      </c>
      <c r="B25" s="342"/>
      <c r="C25" s="342"/>
      <c r="D25" s="342"/>
      <c r="E25" s="342"/>
      <c r="F25" s="343">
        <v>0</v>
      </c>
    </row>
    <row r="26" spans="1:6" ht="15" x14ac:dyDescent="0.2">
      <c r="A26" s="341">
        <v>17</v>
      </c>
      <c r="B26" s="342"/>
      <c r="C26" s="342"/>
      <c r="D26" s="342"/>
      <c r="E26" s="342"/>
      <c r="F26" s="343">
        <v>0</v>
      </c>
    </row>
    <row r="27" spans="1:6" ht="15" x14ac:dyDescent="0.2">
      <c r="A27" s="341">
        <v>18</v>
      </c>
      <c r="B27" s="342"/>
      <c r="C27" s="342"/>
      <c r="D27" s="342"/>
      <c r="E27" s="342"/>
      <c r="F27" s="343">
        <v>0</v>
      </c>
    </row>
    <row r="28" spans="1:6" ht="15" x14ac:dyDescent="0.2">
      <c r="A28" s="341">
        <v>19</v>
      </c>
      <c r="B28" s="342"/>
      <c r="C28" s="342"/>
      <c r="D28" s="342"/>
      <c r="E28" s="342"/>
      <c r="F28" s="343">
        <v>0</v>
      </c>
    </row>
    <row r="29" spans="1:6" ht="15.75" thickBot="1" x14ac:dyDescent="0.25">
      <c r="A29" s="344">
        <v>20</v>
      </c>
      <c r="B29" s="345"/>
      <c r="C29" s="345"/>
      <c r="D29" s="345"/>
      <c r="E29" s="345"/>
      <c r="F29" s="346">
        <v>0</v>
      </c>
    </row>
    <row r="30" spans="1:6" ht="18.75" thickBot="1" x14ac:dyDescent="0.3">
      <c r="A30" s="347"/>
      <c r="B30" s="348" t="s">
        <v>612</v>
      </c>
      <c r="C30" s="349"/>
      <c r="D30" s="349"/>
      <c r="E30" s="349"/>
      <c r="F30" s="350">
        <f>SUM(F12:F29)</f>
        <v>0</v>
      </c>
    </row>
    <row r="32" spans="1:6" ht="20.25" x14ac:dyDescent="0.3">
      <c r="D32" s="351" t="s">
        <v>613</v>
      </c>
    </row>
    <row r="35" spans="1:4" x14ac:dyDescent="0.2">
      <c r="A35" s="352" t="s">
        <v>614</v>
      </c>
    </row>
    <row r="36" spans="1:4" x14ac:dyDescent="0.2">
      <c r="A36" s="352" t="s">
        <v>615</v>
      </c>
    </row>
    <row r="46" spans="1:4" x14ac:dyDescent="0.2">
      <c r="D46" s="316">
        <v>10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5"/>
  <sheetViews>
    <sheetView topLeftCell="A85" workbookViewId="0">
      <selection activeCell="D41" sqref="D41"/>
    </sheetView>
  </sheetViews>
  <sheetFormatPr defaultColWidth="11.42578125" defaultRowHeight="12.75" x14ac:dyDescent="0.2"/>
  <cols>
    <col min="1" max="1" width="4.140625" style="41" customWidth="1"/>
    <col min="2" max="2" width="42.7109375" style="41" bestFit="1" customWidth="1"/>
    <col min="3" max="3" width="4.7109375" style="41" customWidth="1"/>
    <col min="4" max="5" width="14.5703125" style="41" customWidth="1"/>
    <col min="6" max="14" width="14.5703125" style="41" hidden="1" customWidth="1"/>
    <col min="15" max="15" width="12.7109375" style="41" hidden="1" customWidth="1"/>
    <col min="16" max="17" width="13.7109375" style="41" hidden="1" customWidth="1"/>
    <col min="18" max="18" width="14.5703125" style="41" hidden="1" customWidth="1"/>
    <col min="19" max="19" width="11.42578125" style="41" hidden="1" customWidth="1"/>
    <col min="20" max="20" width="0" style="41" hidden="1" customWidth="1"/>
    <col min="21" max="21" width="12.85546875" style="41" hidden="1" customWidth="1"/>
    <col min="22" max="16384" width="11.42578125" style="41"/>
  </cols>
  <sheetData>
    <row r="1" spans="1:19" ht="18" customHeight="1" x14ac:dyDescent="0.2">
      <c r="B1" s="59" t="s">
        <v>164</v>
      </c>
    </row>
    <row r="2" spans="1:19" ht="13.5" x14ac:dyDescent="0.2">
      <c r="B2" s="42" t="s">
        <v>689</v>
      </c>
      <c r="S2" s="44"/>
    </row>
    <row r="3" spans="1:19" x14ac:dyDescent="0.2">
      <c r="B3" s="58" t="s">
        <v>428</v>
      </c>
    </row>
    <row r="6" spans="1:19" ht="15" x14ac:dyDescent="0.2">
      <c r="B6" s="62" t="s">
        <v>165</v>
      </c>
      <c r="C6" s="43" t="s">
        <v>166</v>
      </c>
      <c r="D6" s="479" t="s">
        <v>1054</v>
      </c>
      <c r="E6" s="479" t="s">
        <v>1035</v>
      </c>
      <c r="F6" s="479" t="s">
        <v>1015</v>
      </c>
      <c r="G6" s="479" t="s">
        <v>1005</v>
      </c>
      <c r="H6" s="479" t="s">
        <v>941</v>
      </c>
      <c r="I6" s="479" t="s">
        <v>931</v>
      </c>
      <c r="J6" s="479" t="s">
        <v>693</v>
      </c>
      <c r="K6" s="479" t="s">
        <v>649</v>
      </c>
      <c r="L6" s="43" t="s">
        <v>634</v>
      </c>
      <c r="M6" s="43" t="s">
        <v>623</v>
      </c>
      <c r="N6" s="43" t="s">
        <v>581</v>
      </c>
      <c r="O6" s="43" t="s">
        <v>564</v>
      </c>
      <c r="P6" s="43" t="s">
        <v>563</v>
      </c>
      <c r="Q6" s="43" t="s">
        <v>562</v>
      </c>
      <c r="R6" s="43" t="s">
        <v>539</v>
      </c>
    </row>
    <row r="8" spans="1:19" x14ac:dyDescent="0.2">
      <c r="D8" s="97"/>
      <c r="E8" s="97"/>
      <c r="F8" s="97"/>
      <c r="G8" s="97"/>
      <c r="H8" s="97"/>
      <c r="I8" s="97"/>
      <c r="J8" s="97"/>
      <c r="K8" s="97"/>
      <c r="L8" s="97"/>
    </row>
    <row r="9" spans="1:19" x14ac:dyDescent="0.2">
      <c r="A9" s="45" t="s">
        <v>167</v>
      </c>
      <c r="B9" s="46" t="s">
        <v>168</v>
      </c>
      <c r="C9" s="46" t="s">
        <v>134</v>
      </c>
    </row>
    <row r="10" spans="1:19" x14ac:dyDescent="0.2">
      <c r="A10" s="45" t="s">
        <v>169</v>
      </c>
      <c r="B10" s="46" t="s">
        <v>170</v>
      </c>
      <c r="C10" s="46" t="s">
        <v>135</v>
      </c>
      <c r="D10" s="480">
        <f>+D18</f>
        <v>18469949</v>
      </c>
      <c r="E10" s="480">
        <f t="shared" ref="E10:K10" si="0">+E18</f>
        <v>19804139</v>
      </c>
      <c r="F10" s="480">
        <f t="shared" si="0"/>
        <v>23276259</v>
      </c>
      <c r="G10" s="480">
        <f t="shared" si="0"/>
        <v>25993140</v>
      </c>
      <c r="H10" s="480">
        <f t="shared" si="0"/>
        <v>34594266</v>
      </c>
      <c r="I10" s="480">
        <f t="shared" si="0"/>
        <v>42611733</v>
      </c>
      <c r="J10" s="480">
        <f t="shared" si="0"/>
        <v>36550960</v>
      </c>
      <c r="K10" s="480">
        <f t="shared" si="0"/>
        <v>35265407</v>
      </c>
      <c r="L10" s="425">
        <v>34892661</v>
      </c>
      <c r="M10" s="425">
        <v>33494927</v>
      </c>
      <c r="N10" s="47">
        <v>36013971</v>
      </c>
      <c r="O10" s="47">
        <v>38376194</v>
      </c>
      <c r="P10" s="47">
        <v>37707939</v>
      </c>
      <c r="Q10" s="47">
        <v>31825083</v>
      </c>
      <c r="R10" s="47">
        <v>28982109</v>
      </c>
    </row>
    <row r="11" spans="1:19" x14ac:dyDescent="0.2">
      <c r="A11" s="45" t="s">
        <v>144</v>
      </c>
      <c r="B11" s="46" t="s">
        <v>171</v>
      </c>
      <c r="C11" s="46" t="s">
        <v>136</v>
      </c>
    </row>
    <row r="12" spans="1:19" x14ac:dyDescent="0.2">
      <c r="A12" s="45" t="s">
        <v>149</v>
      </c>
      <c r="B12" s="46" t="s">
        <v>172</v>
      </c>
      <c r="C12" s="46" t="s">
        <v>137</v>
      </c>
    </row>
    <row r="13" spans="1:19" x14ac:dyDescent="0.2">
      <c r="A13" s="45" t="s">
        <v>150</v>
      </c>
      <c r="B13" s="46" t="s">
        <v>173</v>
      </c>
      <c r="C13" s="46" t="s">
        <v>138</v>
      </c>
    </row>
    <row r="14" spans="1:19" x14ac:dyDescent="0.2">
      <c r="A14" s="45" t="s">
        <v>151</v>
      </c>
      <c r="B14" s="46" t="s">
        <v>174</v>
      </c>
      <c r="C14" s="46" t="s">
        <v>146</v>
      </c>
    </row>
    <row r="15" spans="1:19" x14ac:dyDescent="0.2">
      <c r="A15" s="45" t="s">
        <v>153</v>
      </c>
      <c r="B15" s="46" t="s">
        <v>175</v>
      </c>
      <c r="C15" s="46" t="s">
        <v>147</v>
      </c>
    </row>
    <row r="16" spans="1:19" x14ac:dyDescent="0.2">
      <c r="A16" s="45" t="s">
        <v>154</v>
      </c>
      <c r="B16" s="46" t="s">
        <v>176</v>
      </c>
      <c r="C16" s="46" t="s">
        <v>148</v>
      </c>
    </row>
    <row r="17" spans="1:18" x14ac:dyDescent="0.2">
      <c r="A17" s="45" t="s">
        <v>177</v>
      </c>
      <c r="B17" s="46" t="s">
        <v>178</v>
      </c>
      <c r="C17" s="46" t="s">
        <v>152</v>
      </c>
      <c r="D17" s="97"/>
      <c r="E17" s="97"/>
      <c r="F17" s="97"/>
      <c r="G17" s="97"/>
      <c r="H17" s="97"/>
      <c r="I17" s="97"/>
      <c r="J17" s="97"/>
      <c r="K17" s="97"/>
      <c r="L17" s="97"/>
      <c r="M17" s="97"/>
    </row>
    <row r="18" spans="1:18" x14ac:dyDescent="0.2">
      <c r="A18" s="45" t="s">
        <v>145</v>
      </c>
      <c r="B18" s="46" t="s">
        <v>179</v>
      </c>
      <c r="C18" s="46" t="s">
        <v>156</v>
      </c>
      <c r="D18" s="480">
        <f>+D20+D23</f>
        <v>18469949</v>
      </c>
      <c r="E18" s="480">
        <f t="shared" ref="E18:K18" si="1">+E20+E23</f>
        <v>19804139</v>
      </c>
      <c r="F18" s="553">
        <f t="shared" si="1"/>
        <v>23276259</v>
      </c>
      <c r="G18" s="480">
        <f t="shared" si="1"/>
        <v>25993140</v>
      </c>
      <c r="H18" s="480">
        <f t="shared" si="1"/>
        <v>34594266</v>
      </c>
      <c r="I18" s="480">
        <f t="shared" si="1"/>
        <v>42611733</v>
      </c>
      <c r="J18" s="480">
        <f t="shared" si="1"/>
        <v>36550960</v>
      </c>
      <c r="K18" s="480">
        <f t="shared" si="1"/>
        <v>35265407</v>
      </c>
      <c r="L18" s="425">
        <v>34892661</v>
      </c>
      <c r="M18" s="425">
        <v>33494927</v>
      </c>
      <c r="N18" s="47">
        <v>36013971</v>
      </c>
      <c r="O18" s="47">
        <v>38376194</v>
      </c>
      <c r="P18" s="47">
        <v>37707939</v>
      </c>
      <c r="Q18" s="47">
        <v>31825083</v>
      </c>
      <c r="R18" s="47">
        <v>28982109</v>
      </c>
    </row>
    <row r="19" spans="1:18" x14ac:dyDescent="0.2">
      <c r="A19" s="45" t="s">
        <v>149</v>
      </c>
      <c r="B19" s="46" t="s">
        <v>180</v>
      </c>
      <c r="C19" s="46" t="s">
        <v>157</v>
      </c>
    </row>
    <row r="20" spans="1:18" x14ac:dyDescent="0.2">
      <c r="A20" s="45" t="s">
        <v>150</v>
      </c>
      <c r="B20" s="46" t="s">
        <v>181</v>
      </c>
      <c r="C20" s="46" t="s">
        <v>158</v>
      </c>
      <c r="D20" s="554">
        <f>78123299+2814255</f>
        <v>80937554</v>
      </c>
      <c r="E20" s="554">
        <v>78123299</v>
      </c>
      <c r="F20" s="554">
        <v>76758145</v>
      </c>
      <c r="G20" s="481">
        <v>72031390</v>
      </c>
      <c r="H20" s="481">
        <f>44033554+4885000+22632968</f>
        <v>71551522</v>
      </c>
      <c r="I20" s="481">
        <f>44033554+4885000+928500+21156364</f>
        <v>71003418</v>
      </c>
      <c r="J20" s="481">
        <f>1567250+59272855+350917+1924075</f>
        <v>63115097</v>
      </c>
      <c r="K20" s="481">
        <f>34864669+4885000+16010100+3513086</f>
        <v>59272855</v>
      </c>
      <c r="L20" s="47">
        <v>55759769</v>
      </c>
      <c r="M20" s="47">
        <v>51658057</v>
      </c>
      <c r="N20" s="47">
        <v>50580814</v>
      </c>
      <c r="O20" s="47">
        <v>46926581</v>
      </c>
      <c r="P20" s="47">
        <v>34074669</v>
      </c>
      <c r="Q20" s="47">
        <v>30092667</v>
      </c>
      <c r="R20" s="47">
        <v>32851267</v>
      </c>
    </row>
    <row r="21" spans="1:18" x14ac:dyDescent="0.2">
      <c r="A21" s="45" t="s">
        <v>151</v>
      </c>
      <c r="B21" s="46" t="s">
        <v>182</v>
      </c>
      <c r="C21" s="46" t="s">
        <v>159</v>
      </c>
      <c r="D21" s="481">
        <v>0</v>
      </c>
      <c r="E21" s="481">
        <v>0</v>
      </c>
      <c r="F21" s="481">
        <v>0</v>
      </c>
      <c r="G21" s="481">
        <v>0</v>
      </c>
      <c r="H21" s="481">
        <v>0</v>
      </c>
      <c r="I21" s="481">
        <v>0</v>
      </c>
      <c r="J21" s="481">
        <v>0</v>
      </c>
      <c r="K21" s="481">
        <v>0</v>
      </c>
      <c r="L21" s="47">
        <v>0</v>
      </c>
      <c r="M21" s="47">
        <v>0</v>
      </c>
      <c r="N21" s="47">
        <v>0</v>
      </c>
      <c r="O21" s="47">
        <v>0</v>
      </c>
      <c r="P21" s="47">
        <v>9213871</v>
      </c>
      <c r="Q21" s="47">
        <v>6170830</v>
      </c>
      <c r="R21" s="47"/>
    </row>
    <row r="22" spans="1:18" x14ac:dyDescent="0.2">
      <c r="A22" s="45" t="s">
        <v>153</v>
      </c>
      <c r="B22" s="46" t="s">
        <v>183</v>
      </c>
      <c r="C22" s="46" t="s">
        <v>160</v>
      </c>
    </row>
    <row r="23" spans="1:18" x14ac:dyDescent="0.2">
      <c r="A23" s="45" t="s">
        <v>154</v>
      </c>
      <c r="B23" s="46" t="s">
        <v>176</v>
      </c>
      <c r="C23" s="46" t="s">
        <v>184</v>
      </c>
      <c r="D23" s="554">
        <v>-62467605</v>
      </c>
      <c r="E23" s="554">
        <v>-58319160</v>
      </c>
      <c r="F23" s="554">
        <v>-53481886</v>
      </c>
      <c r="G23" s="481">
        <f>-(18039464+4164287+6187934+8565571+9080994)</f>
        <v>-46038250</v>
      </c>
      <c r="H23" s="481">
        <f>-(18039464+4164287+6187934+8565571)</f>
        <v>-36957256</v>
      </c>
      <c r="I23" s="481">
        <f>-(18039464+4164287+6187934)</f>
        <v>-28391685</v>
      </c>
      <c r="J23" s="481">
        <f>-(25509991+84294+969852)</f>
        <v>-26564137</v>
      </c>
      <c r="K23" s="481">
        <f>-(15467630+4042061+4497757)</f>
        <v>-24007448</v>
      </c>
      <c r="L23" s="47">
        <v>-20867108</v>
      </c>
      <c r="M23" s="47">
        <v>-18163130</v>
      </c>
      <c r="N23" s="47">
        <v>-14566843</v>
      </c>
      <c r="O23" s="47">
        <v>-8550387</v>
      </c>
      <c r="P23" s="47">
        <v>-5580601</v>
      </c>
      <c r="Q23" s="47">
        <v>-4438414</v>
      </c>
      <c r="R23" s="47">
        <v>-3869158</v>
      </c>
    </row>
    <row r="24" spans="1:18" x14ac:dyDescent="0.2">
      <c r="A24" s="45" t="s">
        <v>177</v>
      </c>
      <c r="B24" s="46" t="s">
        <v>178</v>
      </c>
      <c r="C24" s="46" t="s">
        <v>185</v>
      </c>
    </row>
    <row r="25" spans="1:18" x14ac:dyDescent="0.2">
      <c r="A25" s="45" t="s">
        <v>155</v>
      </c>
      <c r="B25" s="46" t="s">
        <v>186</v>
      </c>
      <c r="C25" s="46" t="s">
        <v>187</v>
      </c>
    </row>
    <row r="26" spans="1:18" x14ac:dyDescent="0.2">
      <c r="A26" s="45" t="s">
        <v>149</v>
      </c>
      <c r="B26" s="46" t="s">
        <v>188</v>
      </c>
      <c r="C26" s="46" t="s">
        <v>189</v>
      </c>
    </row>
    <row r="27" spans="1:18" x14ac:dyDescent="0.2">
      <c r="A27" s="45" t="s">
        <v>150</v>
      </c>
      <c r="B27" s="46" t="s">
        <v>190</v>
      </c>
      <c r="C27" s="46" t="s">
        <v>191</v>
      </c>
    </row>
    <row r="28" spans="1:18" x14ac:dyDescent="0.2">
      <c r="A28" s="45" t="s">
        <v>151</v>
      </c>
      <c r="B28" s="46" t="s">
        <v>192</v>
      </c>
      <c r="C28" s="46" t="s">
        <v>193</v>
      </c>
    </row>
    <row r="29" spans="1:18" x14ac:dyDescent="0.2">
      <c r="A29" s="45" t="s">
        <v>153</v>
      </c>
      <c r="B29" s="46" t="s">
        <v>194</v>
      </c>
      <c r="C29" s="46" t="s">
        <v>195</v>
      </c>
    </row>
    <row r="30" spans="1:18" x14ac:dyDescent="0.2">
      <c r="A30" s="45" t="s">
        <v>161</v>
      </c>
      <c r="B30" s="46" t="s">
        <v>196</v>
      </c>
      <c r="C30" s="46" t="s">
        <v>197</v>
      </c>
      <c r="D30" s="481">
        <v>-4.6566128730773926E-10</v>
      </c>
      <c r="E30" s="481">
        <v>-4.6566128730773926E-10</v>
      </c>
      <c r="F30" s="481">
        <v>-4.6566128730773926E-10</v>
      </c>
      <c r="G30" s="481">
        <v>-4.6566128730773926E-10</v>
      </c>
      <c r="H30" s="481">
        <v>-4.6566128730773926E-10</v>
      </c>
      <c r="I30" s="481">
        <v>-4.6566128730773926E-10</v>
      </c>
      <c r="J30" s="481">
        <v>-4.6566128730773926E-10</v>
      </c>
      <c r="K30" s="481">
        <v>-4.6566128730773926E-10</v>
      </c>
      <c r="L30" s="47">
        <v>-4.6566128730773926E-10</v>
      </c>
      <c r="M30" s="47">
        <v>-4.6566128730773926E-10</v>
      </c>
      <c r="N30" s="47">
        <v>-4.6566128730773926E-10</v>
      </c>
      <c r="O30" s="47">
        <v>-4.6566128730773926E-10</v>
      </c>
      <c r="P30" s="47">
        <v>-4.6566128730773926E-10</v>
      </c>
      <c r="Q30" s="47">
        <v>-4.6566128730773926E-10</v>
      </c>
      <c r="R30" s="47">
        <v>-4.6566128730773926E-10</v>
      </c>
    </row>
    <row r="31" spans="1:18" x14ac:dyDescent="0.2">
      <c r="A31" s="45" t="s">
        <v>198</v>
      </c>
      <c r="B31" s="46" t="s">
        <v>199</v>
      </c>
      <c r="C31" s="46" t="s">
        <v>200</v>
      </c>
      <c r="D31" s="480">
        <f>+D38+D48</f>
        <v>20732082.609999999</v>
      </c>
      <c r="E31" s="480">
        <f>+E38+E48+E32</f>
        <v>10272323</v>
      </c>
      <c r="F31" s="480">
        <f t="shared" ref="F31:K31" si="2">+F38+F48</f>
        <v>22173264.708999999</v>
      </c>
      <c r="G31" s="480">
        <f t="shared" si="2"/>
        <v>14867979.280000001</v>
      </c>
      <c r="H31" s="480">
        <f t="shared" si="2"/>
        <v>22878989.379999999</v>
      </c>
      <c r="I31" s="480">
        <f t="shared" si="2"/>
        <v>13740541.1</v>
      </c>
      <c r="J31" s="480">
        <f t="shared" si="2"/>
        <v>16323578.547500001</v>
      </c>
      <c r="K31" s="480">
        <f t="shared" si="2"/>
        <v>22965803</v>
      </c>
      <c r="L31" s="425">
        <v>23783894</v>
      </c>
      <c r="M31" s="425">
        <v>22404828</v>
      </c>
      <c r="N31" s="47">
        <v>26862398</v>
      </c>
      <c r="O31" s="47">
        <v>22672040</v>
      </c>
      <c r="P31" s="47">
        <v>10484340</v>
      </c>
      <c r="Q31" s="47">
        <v>12175020</v>
      </c>
      <c r="R31" s="47">
        <v>16685604</v>
      </c>
    </row>
    <row r="32" spans="1:18" x14ac:dyDescent="0.2">
      <c r="A32" s="45" t="s">
        <v>144</v>
      </c>
      <c r="B32" s="46" t="s">
        <v>201</v>
      </c>
      <c r="C32" s="46" t="s">
        <v>202</v>
      </c>
      <c r="D32" s="482"/>
      <c r="E32" s="482">
        <f>+E35</f>
        <v>1114494</v>
      </c>
      <c r="F32" s="482"/>
      <c r="G32" s="482"/>
      <c r="H32" s="482"/>
      <c r="I32" s="482"/>
      <c r="J32" s="482"/>
      <c r="K32" s="482"/>
      <c r="L32" s="60"/>
      <c r="M32" s="60"/>
      <c r="N32" s="60"/>
      <c r="O32" s="60"/>
      <c r="P32" s="60"/>
      <c r="Q32" s="60"/>
      <c r="R32" s="60"/>
    </row>
    <row r="33" spans="1:21" x14ac:dyDescent="0.2">
      <c r="A33" s="45" t="s">
        <v>149</v>
      </c>
      <c r="B33" s="46" t="s">
        <v>203</v>
      </c>
      <c r="C33" s="46" t="s">
        <v>204</v>
      </c>
      <c r="D33" s="356"/>
      <c r="E33" s="356"/>
      <c r="F33" s="356"/>
      <c r="G33" s="356"/>
      <c r="H33" s="356"/>
      <c r="I33" s="356"/>
      <c r="J33" s="356"/>
      <c r="K33" s="356"/>
      <c r="L33" s="356"/>
      <c r="M33" s="356"/>
    </row>
    <row r="34" spans="1:21" x14ac:dyDescent="0.2">
      <c r="A34" s="45" t="s">
        <v>150</v>
      </c>
      <c r="B34" s="46" t="s">
        <v>205</v>
      </c>
      <c r="C34" s="46" t="s">
        <v>206</v>
      </c>
    </row>
    <row r="35" spans="1:21" x14ac:dyDescent="0.2">
      <c r="A35" s="45" t="s">
        <v>151</v>
      </c>
      <c r="B35" s="46" t="s">
        <v>141</v>
      </c>
      <c r="C35" s="46" t="s">
        <v>207</v>
      </c>
      <c r="D35" s="481"/>
      <c r="E35" s="481">
        <f>+'Ardh shpenz alpha'!C72</f>
        <v>1114494</v>
      </c>
      <c r="F35" s="481"/>
      <c r="G35" s="481"/>
      <c r="H35" s="481"/>
      <c r="I35" s="481"/>
      <c r="J35" s="481"/>
      <c r="K35" s="481"/>
      <c r="L35" s="47"/>
      <c r="M35" s="47"/>
      <c r="N35" s="47"/>
      <c r="O35" s="47"/>
      <c r="P35" s="47"/>
      <c r="Q35" s="47"/>
      <c r="R35" s="47"/>
    </row>
    <row r="36" spans="1:21" x14ac:dyDescent="0.2">
      <c r="A36" s="45" t="s">
        <v>153</v>
      </c>
      <c r="B36" s="46" t="s">
        <v>208</v>
      </c>
      <c r="C36" s="46" t="s">
        <v>209</v>
      </c>
      <c r="D36" s="356"/>
      <c r="E36" s="356"/>
      <c r="F36" s="356"/>
      <c r="G36" s="356"/>
      <c r="H36" s="356"/>
      <c r="I36" s="356"/>
      <c r="J36" s="356"/>
      <c r="K36" s="356"/>
      <c r="L36" s="356"/>
      <c r="M36" s="356"/>
    </row>
    <row r="37" spans="1:21" x14ac:dyDescent="0.2">
      <c r="A37" s="45" t="s">
        <v>154</v>
      </c>
      <c r="B37" s="46" t="s">
        <v>194</v>
      </c>
      <c r="C37" s="46" t="s">
        <v>210</v>
      </c>
      <c r="D37" s="356"/>
      <c r="E37" s="356"/>
      <c r="F37" s="356"/>
      <c r="G37" s="356"/>
      <c r="H37" s="356"/>
      <c r="I37" s="356"/>
      <c r="J37" s="356"/>
      <c r="K37" s="356"/>
      <c r="L37" s="356"/>
      <c r="M37" s="356"/>
    </row>
    <row r="38" spans="1:21" x14ac:dyDescent="0.2">
      <c r="A38" s="45" t="s">
        <v>145</v>
      </c>
      <c r="B38" s="46" t="s">
        <v>211</v>
      </c>
      <c r="C38" s="46" t="s">
        <v>212</v>
      </c>
      <c r="D38" s="482">
        <f>+D40+D43</f>
        <v>19173472.530000001</v>
      </c>
      <c r="E38" s="482">
        <f t="shared" ref="E38:K38" si="3">+E40+E43</f>
        <v>8201795</v>
      </c>
      <c r="F38" s="482">
        <f t="shared" si="3"/>
        <v>21137033.129000001</v>
      </c>
      <c r="G38" s="482">
        <f t="shared" si="3"/>
        <v>13815725.280000001</v>
      </c>
      <c r="H38" s="482">
        <f t="shared" si="3"/>
        <v>20846674</v>
      </c>
      <c r="I38" s="482">
        <f t="shared" si="3"/>
        <v>13355309</v>
      </c>
      <c r="J38" s="482">
        <f t="shared" si="3"/>
        <v>15471457.177500002</v>
      </c>
      <c r="K38" s="482">
        <f t="shared" si="3"/>
        <v>21484274</v>
      </c>
      <c r="L38" s="60">
        <v>22298131</v>
      </c>
      <c r="M38" s="60">
        <v>20924067</v>
      </c>
      <c r="N38" s="60">
        <v>25325018</v>
      </c>
      <c r="O38" s="60">
        <v>21162608</v>
      </c>
      <c r="P38" s="60">
        <v>7671596</v>
      </c>
      <c r="Q38" s="60">
        <v>8110867</v>
      </c>
      <c r="R38" s="60">
        <v>12248346</v>
      </c>
    </row>
    <row r="39" spans="1:21" x14ac:dyDescent="0.2">
      <c r="B39" s="46" t="s">
        <v>213</v>
      </c>
      <c r="D39" s="356"/>
      <c r="E39" s="356"/>
      <c r="F39" s="356"/>
      <c r="G39" s="356"/>
      <c r="H39" s="356"/>
      <c r="I39" s="356"/>
      <c r="J39" s="356"/>
      <c r="K39" s="356"/>
      <c r="L39" s="356"/>
      <c r="M39" s="356"/>
    </row>
    <row r="40" spans="1:21" x14ac:dyDescent="0.2">
      <c r="A40" s="45" t="s">
        <v>149</v>
      </c>
      <c r="B40" s="46" t="s">
        <v>214</v>
      </c>
      <c r="C40" s="46" t="s">
        <v>215</v>
      </c>
      <c r="D40" s="481">
        <v>18964956.530000001</v>
      </c>
      <c r="E40" s="481">
        <v>7336757</v>
      </c>
      <c r="F40" s="554">
        <f>21150120-13085.871-1</f>
        <v>21137033.129000001</v>
      </c>
      <c r="G40" s="481">
        <f>18499447+2916256+0.28-9000000+325000</f>
        <v>12740703.280000001</v>
      </c>
      <c r="H40" s="481">
        <v>18499447</v>
      </c>
      <c r="I40" s="481">
        <v>10485211</v>
      </c>
      <c r="J40" s="481">
        <f>11749308+502742</f>
        <v>12252050</v>
      </c>
      <c r="K40" s="481">
        <f>16545348+1246690</f>
        <v>17792038</v>
      </c>
      <c r="L40" s="47">
        <v>18285958</v>
      </c>
      <c r="M40" s="47">
        <v>17374090</v>
      </c>
      <c r="N40" s="47">
        <v>16908659</v>
      </c>
      <c r="O40" s="47">
        <v>6005912</v>
      </c>
      <c r="P40" s="47">
        <v>3183589</v>
      </c>
      <c r="Q40" s="47">
        <v>1896742</v>
      </c>
      <c r="R40" s="47">
        <v>1411100</v>
      </c>
      <c r="U40" s="574"/>
    </row>
    <row r="41" spans="1:21" x14ac:dyDescent="0.2">
      <c r="A41" s="45" t="s">
        <v>150</v>
      </c>
      <c r="B41" s="46" t="s">
        <v>216</v>
      </c>
      <c r="C41" s="46" t="s">
        <v>217</v>
      </c>
      <c r="R41" s="47">
        <v>5179000</v>
      </c>
    </row>
    <row r="42" spans="1:21" x14ac:dyDescent="0.2">
      <c r="A42" s="45" t="s">
        <v>151</v>
      </c>
      <c r="B42" s="147" t="s">
        <v>570</v>
      </c>
      <c r="C42" s="46" t="s">
        <v>218</v>
      </c>
      <c r="D42" s="481">
        <v>0</v>
      </c>
      <c r="E42" s="481">
        <v>0</v>
      </c>
      <c r="F42" s="481">
        <v>0</v>
      </c>
      <c r="G42" s="481">
        <v>0</v>
      </c>
      <c r="H42" s="481">
        <v>0</v>
      </c>
      <c r="I42" s="481">
        <v>0</v>
      </c>
      <c r="J42" s="481">
        <v>0</v>
      </c>
      <c r="K42" s="481">
        <v>0</v>
      </c>
      <c r="L42" s="47">
        <v>0</v>
      </c>
      <c r="M42" s="47">
        <v>0</v>
      </c>
      <c r="N42" s="47">
        <v>4583809</v>
      </c>
      <c r="O42" s="47">
        <v>10811289</v>
      </c>
      <c r="P42" s="47"/>
      <c r="Q42" s="47"/>
      <c r="R42" s="47"/>
    </row>
    <row r="43" spans="1:21" x14ac:dyDescent="0.2">
      <c r="A43" s="45" t="s">
        <v>153</v>
      </c>
      <c r="B43" s="46" t="s">
        <v>219</v>
      </c>
      <c r="C43" s="46" t="s">
        <v>220</v>
      </c>
      <c r="D43" s="554">
        <v>208516</v>
      </c>
      <c r="E43" s="554">
        <f>357207+507831</f>
        <v>865038</v>
      </c>
      <c r="F43" s="481">
        <v>0</v>
      </c>
      <c r="G43" s="481">
        <v>1075022</v>
      </c>
      <c r="H43" s="481">
        <f>3150952-329608-474117</f>
        <v>2347227</v>
      </c>
      <c r="I43" s="481">
        <f>3150952+48754-329608</f>
        <v>2870098</v>
      </c>
      <c r="J43" s="481">
        <f>3623781+68455-'Ardh shpenz alpha'!I103</f>
        <v>3219407.1775000012</v>
      </c>
      <c r="K43" s="481">
        <f>3623781+68455</f>
        <v>3692236</v>
      </c>
      <c r="L43" s="47">
        <v>4012173</v>
      </c>
      <c r="M43" s="47">
        <v>3549977</v>
      </c>
      <c r="N43" s="47">
        <v>3832550</v>
      </c>
      <c r="O43" s="47">
        <v>4345407</v>
      </c>
      <c r="P43" s="47">
        <v>4488007</v>
      </c>
      <c r="Q43" s="47">
        <v>6214125</v>
      </c>
      <c r="R43" s="47">
        <v>5658246</v>
      </c>
    </row>
    <row r="44" spans="1:21" x14ac:dyDescent="0.2">
      <c r="A44" s="45" t="s">
        <v>154</v>
      </c>
      <c r="B44" s="46" t="s">
        <v>194</v>
      </c>
      <c r="C44" s="46" t="s">
        <v>221</v>
      </c>
    </row>
    <row r="45" spans="1:21" x14ac:dyDescent="0.2">
      <c r="A45" s="45" t="s">
        <v>155</v>
      </c>
      <c r="B45" s="46" t="s">
        <v>222</v>
      </c>
      <c r="C45" s="46" t="s">
        <v>223</v>
      </c>
    </row>
    <row r="46" spans="1:21" x14ac:dyDescent="0.2">
      <c r="A46" s="45" t="s">
        <v>149</v>
      </c>
      <c r="B46" s="46" t="s">
        <v>224</v>
      </c>
      <c r="C46" s="46" t="s">
        <v>225</v>
      </c>
    </row>
    <row r="47" spans="1:21" x14ac:dyDescent="0.2">
      <c r="A47" s="45" t="s">
        <v>150</v>
      </c>
      <c r="B47" s="46" t="s">
        <v>194</v>
      </c>
      <c r="C47" s="46" t="s">
        <v>226</v>
      </c>
      <c r="D47" s="356"/>
      <c r="E47" s="356"/>
      <c r="F47" s="356"/>
      <c r="G47" s="356"/>
      <c r="H47" s="356"/>
      <c r="I47" s="356"/>
      <c r="J47" s="356"/>
      <c r="K47" s="356"/>
      <c r="L47" s="356"/>
      <c r="M47" s="356"/>
    </row>
    <row r="48" spans="1:21" x14ac:dyDescent="0.2">
      <c r="A48" s="45" t="s">
        <v>161</v>
      </c>
      <c r="B48" s="46" t="s">
        <v>227</v>
      </c>
      <c r="C48" s="46" t="s">
        <v>228</v>
      </c>
      <c r="D48" s="482">
        <f>SUM(D49:D51)</f>
        <v>1558610.08</v>
      </c>
      <c r="E48" s="482">
        <f>+E49+E50</f>
        <v>956034</v>
      </c>
      <c r="F48" s="482">
        <f t="shared" ref="F48:K48" si="4">+F49+F50</f>
        <v>1036231.58</v>
      </c>
      <c r="G48" s="482">
        <f t="shared" si="4"/>
        <v>1052254</v>
      </c>
      <c r="H48" s="482">
        <f t="shared" si="4"/>
        <v>2032315.38</v>
      </c>
      <c r="I48" s="482">
        <f t="shared" si="4"/>
        <v>385232.1</v>
      </c>
      <c r="J48" s="482">
        <f t="shared" si="4"/>
        <v>852121.37</v>
      </c>
      <c r="K48" s="482">
        <f t="shared" si="4"/>
        <v>1481529</v>
      </c>
      <c r="L48" s="60">
        <v>770163</v>
      </c>
      <c r="M48" s="60">
        <v>1480761</v>
      </c>
      <c r="N48" s="60">
        <v>1161465</v>
      </c>
      <c r="O48" s="60">
        <v>1018978</v>
      </c>
      <c r="P48" s="60">
        <v>2113643</v>
      </c>
      <c r="Q48" s="60">
        <v>3313071</v>
      </c>
      <c r="R48" s="60">
        <v>4437258</v>
      </c>
    </row>
    <row r="49" spans="1:18" x14ac:dyDescent="0.2">
      <c r="A49" s="45" t="s">
        <v>149</v>
      </c>
      <c r="B49" s="46" t="s">
        <v>229</v>
      </c>
      <c r="C49" s="46" t="s">
        <v>230</v>
      </c>
      <c r="D49" s="554">
        <f>212275.77+1101.53-567.22</f>
        <v>212810.08</v>
      </c>
      <c r="E49" s="554">
        <v>766534</v>
      </c>
      <c r="F49" s="481">
        <f>920603.12+1063.96-555.5</f>
        <v>921111.58</v>
      </c>
      <c r="G49" s="481">
        <v>1009901</v>
      </c>
      <c r="H49" s="481">
        <f>1937410+2449-525+0.38</f>
        <v>1939334.38</v>
      </c>
      <c r="I49" s="481">
        <v>248558.1</v>
      </c>
      <c r="J49" s="481">
        <f>572303.55+146111.36-117.54</f>
        <v>718297.37</v>
      </c>
      <c r="K49" s="481">
        <f>1100429+255477+1930</f>
        <v>1357836</v>
      </c>
      <c r="L49" s="47">
        <v>679038</v>
      </c>
      <c r="M49" s="47">
        <v>770283</v>
      </c>
      <c r="N49" s="47">
        <v>386127</v>
      </c>
      <c r="O49" s="47">
        <v>610133</v>
      </c>
      <c r="P49" s="47">
        <v>568971</v>
      </c>
      <c r="Q49" s="47">
        <v>1182269</v>
      </c>
      <c r="R49" s="47">
        <v>202641</v>
      </c>
    </row>
    <row r="50" spans="1:18" x14ac:dyDescent="0.2">
      <c r="A50" s="45" t="s">
        <v>150</v>
      </c>
      <c r="B50" s="46" t="s">
        <v>231</v>
      </c>
      <c r="C50" s="46" t="s">
        <v>232</v>
      </c>
      <c r="D50" s="554">
        <v>145800</v>
      </c>
      <c r="E50" s="554">
        <v>189500</v>
      </c>
      <c r="F50" s="554">
        <v>115120</v>
      </c>
      <c r="G50" s="481">
        <v>42353</v>
      </c>
      <c r="H50" s="481">
        <v>92981</v>
      </c>
      <c r="I50" s="481">
        <v>136674</v>
      </c>
      <c r="J50" s="481">
        <v>133824</v>
      </c>
      <c r="K50" s="481">
        <v>123693</v>
      </c>
      <c r="L50" s="47">
        <v>91125</v>
      </c>
      <c r="M50" s="47">
        <v>710478</v>
      </c>
      <c r="N50" s="47">
        <v>775338</v>
      </c>
      <c r="O50" s="47">
        <v>256846</v>
      </c>
      <c r="P50" s="47">
        <v>1544672</v>
      </c>
      <c r="Q50" s="47">
        <v>1515402</v>
      </c>
      <c r="R50" s="47">
        <v>4066117</v>
      </c>
    </row>
    <row r="51" spans="1:18" x14ac:dyDescent="0.2">
      <c r="A51" s="45" t="s">
        <v>151</v>
      </c>
      <c r="B51" s="46" t="s">
        <v>233</v>
      </c>
      <c r="C51" s="46" t="s">
        <v>234</v>
      </c>
      <c r="D51" s="481">
        <v>1200000</v>
      </c>
      <c r="E51" s="481">
        <v>0</v>
      </c>
      <c r="F51" s="481">
        <v>0</v>
      </c>
      <c r="G51" s="481">
        <v>0</v>
      </c>
      <c r="H51" s="481">
        <v>0</v>
      </c>
      <c r="I51" s="481">
        <v>0</v>
      </c>
      <c r="J51" s="481">
        <v>0</v>
      </c>
      <c r="K51" s="481">
        <v>0</v>
      </c>
      <c r="L51" s="47">
        <v>0</v>
      </c>
      <c r="M51" s="47">
        <v>0</v>
      </c>
      <c r="N51" s="47">
        <v>0</v>
      </c>
      <c r="O51" s="47">
        <v>151999</v>
      </c>
      <c r="P51" s="47">
        <v>0</v>
      </c>
      <c r="Q51" s="47">
        <v>615400</v>
      </c>
      <c r="R51" s="47">
        <v>168500</v>
      </c>
    </row>
    <row r="52" spans="1:18" x14ac:dyDescent="0.2">
      <c r="A52" s="45" t="s">
        <v>162</v>
      </c>
      <c r="B52" s="46" t="s">
        <v>235</v>
      </c>
      <c r="C52" s="46" t="s">
        <v>236</v>
      </c>
      <c r="D52" s="482">
        <f>27010250-12000000</f>
        <v>15010250</v>
      </c>
      <c r="E52" s="482">
        <v>27010250</v>
      </c>
      <c r="F52" s="482">
        <v>0</v>
      </c>
      <c r="G52" s="482">
        <v>0</v>
      </c>
      <c r="H52" s="482">
        <v>0</v>
      </c>
      <c r="I52" s="482">
        <v>0</v>
      </c>
      <c r="J52" s="482">
        <v>3293640</v>
      </c>
      <c r="K52" s="482">
        <v>0</v>
      </c>
      <c r="L52" s="60">
        <v>715600</v>
      </c>
      <c r="M52" s="60">
        <v>0</v>
      </c>
      <c r="N52" s="60">
        <v>375915</v>
      </c>
      <c r="O52" s="60">
        <v>490454</v>
      </c>
      <c r="P52" s="60">
        <v>699101</v>
      </c>
      <c r="Q52" s="60">
        <v>751082</v>
      </c>
      <c r="R52" s="60"/>
    </row>
    <row r="53" spans="1:18" x14ac:dyDescent="0.2">
      <c r="B53" s="46" t="s">
        <v>237</v>
      </c>
    </row>
    <row r="54" spans="1:18" x14ac:dyDescent="0.2">
      <c r="A54" s="45" t="s">
        <v>238</v>
      </c>
      <c r="B54" s="46" t="s">
        <v>239</v>
      </c>
      <c r="C54" s="46" t="s">
        <v>240</v>
      </c>
      <c r="D54" s="482"/>
      <c r="E54" s="482"/>
      <c r="F54" s="482"/>
      <c r="G54" s="482"/>
      <c r="H54" s="482"/>
      <c r="I54" s="482"/>
      <c r="J54" s="482"/>
      <c r="K54" s="482"/>
      <c r="L54" s="60"/>
      <c r="M54" s="60"/>
      <c r="N54" s="60"/>
      <c r="O54" s="60"/>
      <c r="P54" s="60"/>
      <c r="Q54" s="60">
        <v>7076661</v>
      </c>
      <c r="R54" s="60">
        <v>8724025</v>
      </c>
    </row>
    <row r="55" spans="1:18" x14ac:dyDescent="0.2">
      <c r="A55" s="45" t="s">
        <v>149</v>
      </c>
      <c r="B55" s="46" t="s">
        <v>241</v>
      </c>
      <c r="C55" s="46" t="s">
        <v>242</v>
      </c>
      <c r="D55" s="481"/>
      <c r="E55" s="481"/>
      <c r="F55" s="481"/>
      <c r="G55" s="481"/>
      <c r="H55" s="481"/>
      <c r="I55" s="481"/>
      <c r="J55" s="481"/>
      <c r="K55" s="481"/>
      <c r="L55" s="47"/>
      <c r="M55" s="47"/>
      <c r="N55" s="47"/>
      <c r="O55" s="47"/>
      <c r="P55" s="47"/>
      <c r="Q55" s="47"/>
      <c r="R55" s="47"/>
    </row>
    <row r="56" spans="1:18" x14ac:dyDescent="0.2">
      <c r="A56" s="45" t="s">
        <v>150</v>
      </c>
      <c r="B56" s="46" t="s">
        <v>243</v>
      </c>
      <c r="C56" s="46" t="s">
        <v>244</v>
      </c>
      <c r="D56" s="481"/>
      <c r="E56" s="481"/>
      <c r="F56" s="481"/>
      <c r="G56" s="481"/>
      <c r="H56" s="481"/>
      <c r="I56" s="481"/>
      <c r="J56" s="481"/>
      <c r="K56" s="481"/>
      <c r="L56" s="47"/>
      <c r="M56" s="47"/>
      <c r="N56" s="47"/>
      <c r="O56" s="47"/>
      <c r="P56" s="47"/>
      <c r="Q56" s="47">
        <v>7076661</v>
      </c>
      <c r="R56" s="47">
        <v>8724025</v>
      </c>
    </row>
    <row r="57" spans="1:18" x14ac:dyDescent="0.2">
      <c r="A57" s="45" t="s">
        <v>151</v>
      </c>
      <c r="B57" s="46" t="s">
        <v>140</v>
      </c>
      <c r="C57" s="46" t="s">
        <v>245</v>
      </c>
    </row>
    <row r="58" spans="1:18" x14ac:dyDescent="0.2">
      <c r="B58" s="46" t="s">
        <v>246</v>
      </c>
      <c r="C58" s="46" t="s">
        <v>247</v>
      </c>
      <c r="D58" s="482">
        <f>+D10+D31+D52</f>
        <v>54212281.609999999</v>
      </c>
      <c r="E58" s="482">
        <f t="shared" ref="E58:J58" si="5">+E10+E31+E52</f>
        <v>57086712</v>
      </c>
      <c r="F58" s="482">
        <f t="shared" si="5"/>
        <v>45449523.708999999</v>
      </c>
      <c r="G58" s="482">
        <f t="shared" si="5"/>
        <v>40861119.280000001</v>
      </c>
      <c r="H58" s="482">
        <f t="shared" si="5"/>
        <v>57473255.379999995</v>
      </c>
      <c r="I58" s="482">
        <f t="shared" si="5"/>
        <v>56352274.100000001</v>
      </c>
      <c r="J58" s="482">
        <f t="shared" si="5"/>
        <v>56168178.547499999</v>
      </c>
      <c r="K58" s="482">
        <f t="shared" ref="K58:P58" si="6">+K10+K31</f>
        <v>58231210</v>
      </c>
      <c r="L58" s="60">
        <f t="shared" si="6"/>
        <v>58676555</v>
      </c>
      <c r="M58" s="60">
        <f t="shared" si="6"/>
        <v>55899755</v>
      </c>
      <c r="N58" s="60">
        <f t="shared" si="6"/>
        <v>62876369</v>
      </c>
      <c r="O58" s="60">
        <f t="shared" si="6"/>
        <v>61048234</v>
      </c>
      <c r="P58" s="60">
        <f t="shared" si="6"/>
        <v>48192279</v>
      </c>
      <c r="Q58" s="60">
        <v>51076764</v>
      </c>
      <c r="R58" s="60">
        <v>54391738</v>
      </c>
    </row>
    <row r="59" spans="1:18" x14ac:dyDescent="0.2">
      <c r="A59" s="45" t="s">
        <v>248</v>
      </c>
      <c r="B59" s="46" t="s">
        <v>249</v>
      </c>
      <c r="C59" s="46" t="s">
        <v>250</v>
      </c>
    </row>
    <row r="60" spans="1:18" x14ac:dyDescent="0.2">
      <c r="A60" s="45" t="s">
        <v>144</v>
      </c>
      <c r="B60" s="46" t="s">
        <v>251</v>
      </c>
      <c r="C60" s="46" t="s">
        <v>252</v>
      </c>
    </row>
    <row r="61" spans="1:18" x14ac:dyDescent="0.2">
      <c r="A61" s="45" t="s">
        <v>145</v>
      </c>
      <c r="B61" s="46" t="s">
        <v>253</v>
      </c>
      <c r="C61" s="46" t="s">
        <v>254</v>
      </c>
    </row>
    <row r="62" spans="1:18" x14ac:dyDescent="0.2">
      <c r="A62" s="45" t="s">
        <v>155</v>
      </c>
      <c r="B62" s="46" t="s">
        <v>255</v>
      </c>
      <c r="C62" s="46" t="s">
        <v>256</v>
      </c>
    </row>
    <row r="63" spans="1:18" ht="16.5" x14ac:dyDescent="0.2">
      <c r="A63" s="45"/>
      <c r="B63" s="59" t="s">
        <v>164</v>
      </c>
      <c r="C63" s="46"/>
    </row>
    <row r="64" spans="1:18" x14ac:dyDescent="0.2">
      <c r="A64" s="45"/>
      <c r="B64" s="42" t="s">
        <v>689</v>
      </c>
      <c r="C64" s="46"/>
    </row>
    <row r="65" spans="1:21" x14ac:dyDescent="0.2">
      <c r="B65" s="58" t="s">
        <v>428</v>
      </c>
      <c r="D65" s="356"/>
      <c r="E65" s="356"/>
      <c r="F65" s="356"/>
      <c r="G65" s="356"/>
      <c r="H65" s="356"/>
      <c r="I65" s="356"/>
      <c r="J65" s="356"/>
      <c r="K65" s="356"/>
      <c r="L65" s="356"/>
      <c r="M65" s="356"/>
    </row>
    <row r="66" spans="1:21" x14ac:dyDescent="0.2">
      <c r="B66" s="58"/>
      <c r="D66" s="356"/>
      <c r="E66" s="356"/>
      <c r="F66" s="356"/>
      <c r="G66" s="356"/>
      <c r="H66" s="356"/>
      <c r="I66" s="356"/>
      <c r="J66" s="356"/>
      <c r="K66" s="356"/>
      <c r="L66" s="356"/>
      <c r="M66" s="356"/>
    </row>
    <row r="67" spans="1:21" x14ac:dyDescent="0.2">
      <c r="A67" s="45" t="s">
        <v>167</v>
      </c>
      <c r="B67" s="61" t="s">
        <v>257</v>
      </c>
      <c r="C67" s="46" t="s">
        <v>258</v>
      </c>
      <c r="D67" s="481">
        <f t="shared" ref="D67:K67" si="7">+D68</f>
        <v>49031696.609999999</v>
      </c>
      <c r="E67" s="481">
        <f t="shared" si="7"/>
        <v>45195365.159999996</v>
      </c>
      <c r="F67" s="481">
        <f t="shared" si="7"/>
        <v>40871105.709999993</v>
      </c>
      <c r="G67" s="481">
        <f t="shared" si="7"/>
        <v>33717065.927499995</v>
      </c>
      <c r="H67" s="481">
        <f t="shared" si="7"/>
        <v>26507907.377499994</v>
      </c>
      <c r="I67" s="481">
        <f t="shared" si="7"/>
        <v>24084355.377499994</v>
      </c>
      <c r="J67" s="481">
        <f t="shared" si="7"/>
        <v>22677283.127499994</v>
      </c>
      <c r="K67" s="481">
        <f t="shared" si="7"/>
        <v>19997919.800000001</v>
      </c>
      <c r="L67" s="47">
        <v>16552433</v>
      </c>
      <c r="M67" s="47">
        <v>13886030</v>
      </c>
      <c r="N67" s="47">
        <v>10628340</v>
      </c>
      <c r="O67" s="47">
        <v>8005512</v>
      </c>
      <c r="P67" s="47">
        <v>10080208</v>
      </c>
      <c r="Q67" s="47">
        <v>7868544</v>
      </c>
      <c r="R67" s="47">
        <v>6092059</v>
      </c>
    </row>
    <row r="68" spans="1:21" x14ac:dyDescent="0.2">
      <c r="A68" s="45" t="s">
        <v>144</v>
      </c>
      <c r="B68" s="46" t="s">
        <v>259</v>
      </c>
      <c r="C68" s="46" t="s">
        <v>260</v>
      </c>
      <c r="D68" s="481">
        <f>+D70+D73+D77+D78</f>
        <v>49031696.609999999</v>
      </c>
      <c r="E68" s="481">
        <f t="shared" ref="E68:J68" si="8">+E70+E73+E77+E78</f>
        <v>45195365.159999996</v>
      </c>
      <c r="F68" s="481">
        <f t="shared" si="8"/>
        <v>40871105.709999993</v>
      </c>
      <c r="G68" s="481">
        <f t="shared" si="8"/>
        <v>33717065.927499995</v>
      </c>
      <c r="H68" s="481">
        <f t="shared" si="8"/>
        <v>26507907.377499994</v>
      </c>
      <c r="I68" s="481">
        <f t="shared" si="8"/>
        <v>24084355.377499994</v>
      </c>
      <c r="J68" s="481">
        <f t="shared" si="8"/>
        <v>22677283.127499994</v>
      </c>
      <c r="K68" s="481">
        <f t="shared" ref="K68:P68" si="9">+K70+K73+K77+K78</f>
        <v>19997919.800000001</v>
      </c>
      <c r="L68" s="47">
        <f t="shared" si="9"/>
        <v>16552433</v>
      </c>
      <c r="M68" s="47">
        <f t="shared" si="9"/>
        <v>13886030</v>
      </c>
      <c r="N68" s="47">
        <f t="shared" si="9"/>
        <v>10628340</v>
      </c>
      <c r="O68" s="47">
        <f t="shared" si="9"/>
        <v>8005512</v>
      </c>
      <c r="P68" s="47">
        <f t="shared" si="9"/>
        <v>10080208</v>
      </c>
      <c r="Q68" s="47">
        <v>7868544</v>
      </c>
      <c r="R68" s="47">
        <v>6092059</v>
      </c>
    </row>
    <row r="69" spans="1:21" x14ac:dyDescent="0.2">
      <c r="B69" s="46" t="s">
        <v>261</v>
      </c>
    </row>
    <row r="70" spans="1:21" x14ac:dyDescent="0.2">
      <c r="A70" s="45" t="s">
        <v>149</v>
      </c>
      <c r="B70" s="46" t="s">
        <v>262</v>
      </c>
      <c r="C70" s="46" t="s">
        <v>263</v>
      </c>
      <c r="D70" s="554">
        <v>10000000</v>
      </c>
      <c r="E70" s="554">
        <v>10000000</v>
      </c>
      <c r="F70" s="554">
        <v>10000000</v>
      </c>
      <c r="G70" s="481">
        <v>10000000</v>
      </c>
      <c r="H70" s="481">
        <v>10000000</v>
      </c>
      <c r="I70" s="481">
        <v>10000000</v>
      </c>
      <c r="J70" s="481">
        <v>10000000</v>
      </c>
      <c r="K70" s="481">
        <v>10000000</v>
      </c>
      <c r="L70" s="47">
        <v>10000000</v>
      </c>
      <c r="M70" s="47">
        <v>10000000</v>
      </c>
      <c r="N70" s="47">
        <v>7800000</v>
      </c>
      <c r="O70" s="47">
        <v>7800000</v>
      </c>
      <c r="P70" s="47">
        <v>7800000</v>
      </c>
      <c r="Q70" s="47">
        <v>100000</v>
      </c>
      <c r="R70" s="47">
        <v>100000</v>
      </c>
      <c r="U70" s="97"/>
    </row>
    <row r="71" spans="1:21" x14ac:dyDescent="0.2">
      <c r="A71" s="45" t="s">
        <v>150</v>
      </c>
      <c r="B71" s="46" t="s">
        <v>264</v>
      </c>
      <c r="C71" s="46" t="s">
        <v>265</v>
      </c>
      <c r="D71" s="481"/>
      <c r="E71" s="481"/>
      <c r="F71" s="481"/>
      <c r="G71" s="481"/>
      <c r="H71" s="481"/>
      <c r="I71" s="481"/>
      <c r="J71" s="481"/>
      <c r="K71" s="481"/>
      <c r="L71" s="47"/>
      <c r="M71" s="47"/>
      <c r="N71" s="47"/>
      <c r="O71" s="47"/>
      <c r="P71" s="47"/>
      <c r="Q71" s="47"/>
      <c r="R71" s="47"/>
    </row>
    <row r="72" spans="1:21" x14ac:dyDescent="0.2">
      <c r="A72" s="45" t="s">
        <v>151</v>
      </c>
      <c r="B72" s="46" t="s">
        <v>266</v>
      </c>
      <c r="C72" s="46" t="s">
        <v>267</v>
      </c>
      <c r="D72" s="97"/>
      <c r="E72" s="97"/>
      <c r="F72" s="97"/>
      <c r="G72" s="97"/>
      <c r="H72" s="97"/>
      <c r="I72" s="97"/>
      <c r="J72" s="97"/>
      <c r="K72" s="97"/>
      <c r="L72" s="97"/>
      <c r="M72" s="97"/>
    </row>
    <row r="73" spans="1:21" x14ac:dyDescent="0.2">
      <c r="A73" s="45" t="s">
        <v>153</v>
      </c>
      <c r="B73" s="46" t="s">
        <v>268</v>
      </c>
      <c r="C73" s="46" t="s">
        <v>269</v>
      </c>
      <c r="D73" s="554">
        <v>628340</v>
      </c>
      <c r="E73" s="554">
        <v>628340</v>
      </c>
      <c r="F73" s="554">
        <v>628340</v>
      </c>
      <c r="G73" s="481">
        <v>628340</v>
      </c>
      <c r="H73" s="481">
        <v>628340</v>
      </c>
      <c r="I73" s="481">
        <v>628340</v>
      </c>
      <c r="J73" s="481">
        <v>628340</v>
      </c>
      <c r="K73" s="481">
        <v>628340</v>
      </c>
      <c r="L73" s="47">
        <v>628340</v>
      </c>
      <c r="M73" s="47">
        <v>628340</v>
      </c>
      <c r="N73" s="47">
        <v>68544</v>
      </c>
      <c r="O73" s="47">
        <v>68544</v>
      </c>
      <c r="P73" s="47">
        <v>68544</v>
      </c>
      <c r="Q73" s="47">
        <v>33000</v>
      </c>
      <c r="R73" s="47">
        <v>33000</v>
      </c>
    </row>
    <row r="74" spans="1:21" x14ac:dyDescent="0.2">
      <c r="B74" s="46" t="s">
        <v>270</v>
      </c>
      <c r="C74" s="46" t="s">
        <v>271</v>
      </c>
      <c r="D74" s="554">
        <v>13000</v>
      </c>
      <c r="E74" s="554">
        <v>13000</v>
      </c>
      <c r="F74" s="554">
        <v>13000</v>
      </c>
      <c r="G74" s="481">
        <v>13000</v>
      </c>
      <c r="H74" s="481">
        <v>13000</v>
      </c>
      <c r="I74" s="481">
        <v>13000</v>
      </c>
      <c r="J74" s="481">
        <v>13000</v>
      </c>
      <c r="K74" s="481">
        <v>13000</v>
      </c>
      <c r="L74" s="47">
        <v>13000</v>
      </c>
      <c r="M74" s="47">
        <v>13000</v>
      </c>
      <c r="N74" s="47">
        <v>13000</v>
      </c>
      <c r="O74" s="47">
        <v>13000</v>
      </c>
      <c r="P74" s="47">
        <v>13000</v>
      </c>
      <c r="Q74" s="47">
        <v>13000</v>
      </c>
      <c r="R74" s="47">
        <v>13000</v>
      </c>
    </row>
    <row r="75" spans="1:21" x14ac:dyDescent="0.2">
      <c r="B75" s="46" t="s">
        <v>272</v>
      </c>
      <c r="C75" s="46" t="s">
        <v>273</v>
      </c>
      <c r="D75" s="554">
        <v>615340</v>
      </c>
      <c r="E75" s="554">
        <v>615340</v>
      </c>
      <c r="F75" s="554">
        <v>615340</v>
      </c>
      <c r="G75" s="481">
        <v>615340</v>
      </c>
      <c r="H75" s="481">
        <v>615340</v>
      </c>
      <c r="I75" s="481">
        <v>615340</v>
      </c>
      <c r="J75" s="481">
        <v>615340</v>
      </c>
      <c r="K75" s="481">
        <v>615340</v>
      </c>
      <c r="L75" s="47">
        <v>615340</v>
      </c>
      <c r="M75" s="47">
        <v>615340</v>
      </c>
      <c r="N75" s="47">
        <v>55544</v>
      </c>
      <c r="O75" s="47">
        <v>55544</v>
      </c>
      <c r="P75" s="47">
        <v>55544</v>
      </c>
      <c r="Q75" s="47">
        <v>20000</v>
      </c>
      <c r="R75" s="47">
        <v>20000</v>
      </c>
    </row>
    <row r="76" spans="1:21" x14ac:dyDescent="0.2">
      <c r="B76" s="46" t="s">
        <v>274</v>
      </c>
      <c r="C76" s="46" t="s">
        <v>275</v>
      </c>
      <c r="D76" s="481"/>
      <c r="E76" s="481"/>
      <c r="F76" s="481"/>
      <c r="G76" s="481"/>
      <c r="H76" s="481"/>
      <c r="I76" s="481"/>
      <c r="J76" s="481"/>
      <c r="K76" s="481"/>
      <c r="L76" s="47"/>
      <c r="M76" s="47"/>
      <c r="N76" s="47"/>
      <c r="O76" s="47"/>
      <c r="P76" s="47"/>
      <c r="Q76" s="47"/>
      <c r="R76" s="47"/>
    </row>
    <row r="77" spans="1:21" x14ac:dyDescent="0.2">
      <c r="A77" s="45" t="s">
        <v>154</v>
      </c>
      <c r="B77" s="46" t="s">
        <v>276</v>
      </c>
      <c r="C77" s="46" t="s">
        <v>277</v>
      </c>
      <c r="D77" s="554">
        <f t="shared" ref="D77:K77" si="10">+E77+E78</f>
        <v>34567025.159999996</v>
      </c>
      <c r="E77" s="554">
        <f t="shared" si="10"/>
        <v>30242765.709999997</v>
      </c>
      <c r="F77" s="554">
        <f t="shared" si="10"/>
        <v>23088725.927499995</v>
      </c>
      <c r="G77" s="481">
        <f t="shared" si="10"/>
        <v>15879567.377499994</v>
      </c>
      <c r="H77" s="481">
        <f t="shared" si="10"/>
        <v>13456015.377499994</v>
      </c>
      <c r="I77" s="481">
        <f t="shared" si="10"/>
        <v>12048943.127499994</v>
      </c>
      <c r="J77" s="481">
        <f t="shared" si="10"/>
        <v>9369579.8000000007</v>
      </c>
      <c r="K77" s="481">
        <f t="shared" si="10"/>
        <v>5924093</v>
      </c>
      <c r="L77" s="47">
        <v>3257690</v>
      </c>
      <c r="M77" s="47">
        <v>0</v>
      </c>
      <c r="N77" s="47">
        <v>0</v>
      </c>
      <c r="O77" s="47">
        <v>2211664</v>
      </c>
      <c r="P77" s="47"/>
      <c r="Q77" s="47">
        <v>5959059</v>
      </c>
      <c r="R77" s="47">
        <v>3934495</v>
      </c>
    </row>
    <row r="78" spans="1:21" x14ac:dyDescent="0.2">
      <c r="A78" s="45" t="s">
        <v>177</v>
      </c>
      <c r="B78" s="46" t="s">
        <v>278</v>
      </c>
      <c r="C78" s="46" t="s">
        <v>279</v>
      </c>
      <c r="D78" s="554">
        <f>+'Ardh shpenz alpha'!C107</f>
        <v>3836331.45</v>
      </c>
      <c r="E78" s="554">
        <f>+'Ardh shpenz alpha'!D107</f>
        <v>4324259.45</v>
      </c>
      <c r="F78" s="554">
        <f>+'Ardh shpenz alpha'!E107</f>
        <v>7154039.7825000025</v>
      </c>
      <c r="G78" s="481">
        <f>+'Ardh shpenz alpha'!F107</f>
        <v>7209158.5499999998</v>
      </c>
      <c r="H78" s="481">
        <f>+'Ardh shpenz alpha'!G107</f>
        <v>2423552</v>
      </c>
      <c r="I78" s="481">
        <f>+'Ardh shpenz alpha'!H107</f>
        <v>1407072.25</v>
      </c>
      <c r="J78" s="481">
        <f>+'Ardh shpenz alpha'!I107</f>
        <v>2679363.3274999922</v>
      </c>
      <c r="K78" s="481">
        <f>+'Ardh shpenz alpha'!J107</f>
        <v>3445486.8</v>
      </c>
      <c r="L78" s="47">
        <v>2666403</v>
      </c>
      <c r="M78" s="47">
        <v>3257690</v>
      </c>
      <c r="N78" s="47">
        <v>2759796</v>
      </c>
      <c r="O78" s="47">
        <v>-2074696</v>
      </c>
      <c r="P78" s="47">
        <v>2211664</v>
      </c>
      <c r="Q78" s="47">
        <v>1776485</v>
      </c>
      <c r="R78" s="47">
        <v>2024564</v>
      </c>
    </row>
    <row r="79" spans="1:21" x14ac:dyDescent="0.2">
      <c r="A79" s="45" t="s">
        <v>163</v>
      </c>
      <c r="B79" s="46" t="s">
        <v>280</v>
      </c>
      <c r="C79" s="46" t="s">
        <v>281</v>
      </c>
    </row>
    <row r="80" spans="1:21" x14ac:dyDescent="0.2">
      <c r="A80" s="45" t="s">
        <v>145</v>
      </c>
      <c r="B80" s="46" t="s">
        <v>282</v>
      </c>
      <c r="C80" s="46" t="s">
        <v>283</v>
      </c>
    </row>
    <row r="81" spans="1:18" x14ac:dyDescent="0.2">
      <c r="A81" s="45" t="s">
        <v>149</v>
      </c>
      <c r="B81" s="46" t="s">
        <v>284</v>
      </c>
      <c r="C81" s="46" t="s">
        <v>285</v>
      </c>
    </row>
    <row r="82" spans="1:18" x14ac:dyDescent="0.2">
      <c r="A82" s="45" t="s">
        <v>150</v>
      </c>
      <c r="B82" s="46" t="s">
        <v>286</v>
      </c>
      <c r="C82" s="46" t="s">
        <v>287</v>
      </c>
    </row>
    <row r="83" spans="1:18" x14ac:dyDescent="0.2">
      <c r="A83" s="45" t="s">
        <v>151</v>
      </c>
      <c r="B83" s="46" t="s">
        <v>288</v>
      </c>
      <c r="C83" s="46" t="s">
        <v>289</v>
      </c>
    </row>
    <row r="84" spans="1:18" x14ac:dyDescent="0.2">
      <c r="A84" s="45" t="s">
        <v>153</v>
      </c>
      <c r="B84" s="46" t="s">
        <v>290</v>
      </c>
      <c r="C84" s="46" t="s">
        <v>291</v>
      </c>
    </row>
    <row r="85" spans="1:18" x14ac:dyDescent="0.2">
      <c r="A85" s="45" t="s">
        <v>155</v>
      </c>
      <c r="B85" s="46" t="s">
        <v>292</v>
      </c>
      <c r="C85" s="46" t="s">
        <v>293</v>
      </c>
    </row>
    <row r="86" spans="1:18" x14ac:dyDescent="0.2">
      <c r="A86" s="45" t="s">
        <v>161</v>
      </c>
      <c r="B86" s="46" t="s">
        <v>294</v>
      </c>
      <c r="C86" s="46" t="s">
        <v>295</v>
      </c>
    </row>
    <row r="87" spans="1:18" x14ac:dyDescent="0.2">
      <c r="A87" s="45" t="s">
        <v>149</v>
      </c>
      <c r="B87" s="46" t="s">
        <v>296</v>
      </c>
      <c r="C87" s="46" t="s">
        <v>297</v>
      </c>
    </row>
    <row r="88" spans="1:18" x14ac:dyDescent="0.2">
      <c r="A88" s="45" t="s">
        <v>150</v>
      </c>
      <c r="B88" s="46" t="s">
        <v>298</v>
      </c>
      <c r="C88" s="46" t="s">
        <v>299</v>
      </c>
    </row>
    <row r="89" spans="1:18" x14ac:dyDescent="0.2">
      <c r="A89" s="45" t="s">
        <v>169</v>
      </c>
      <c r="B89" s="46" t="s">
        <v>300</v>
      </c>
      <c r="C89" s="46" t="s">
        <v>301</v>
      </c>
      <c r="D89" s="481">
        <f>+D98</f>
        <v>5180585</v>
      </c>
      <c r="E89" s="481">
        <f t="shared" ref="E89:K89" si="11">+E98</f>
        <v>11891346.84</v>
      </c>
      <c r="F89" s="481">
        <f t="shared" si="11"/>
        <v>4578418</v>
      </c>
      <c r="G89" s="481">
        <f t="shared" si="11"/>
        <v>7144053.3499999996</v>
      </c>
      <c r="H89" s="481">
        <f t="shared" si="11"/>
        <v>30965348</v>
      </c>
      <c r="I89" s="481">
        <f t="shared" si="11"/>
        <v>32267918.719999999</v>
      </c>
      <c r="J89" s="481">
        <f t="shared" si="11"/>
        <v>33490895.419999998</v>
      </c>
      <c r="K89" s="481">
        <f t="shared" si="11"/>
        <v>38233290.200000003</v>
      </c>
      <c r="L89" s="47">
        <v>42124122</v>
      </c>
      <c r="M89" s="47">
        <v>42013725</v>
      </c>
      <c r="N89" s="47">
        <v>52248029</v>
      </c>
      <c r="O89" s="47">
        <v>53042722</v>
      </c>
      <c r="P89" s="47">
        <v>38112071</v>
      </c>
      <c r="Q89" s="47">
        <v>43208220</v>
      </c>
      <c r="R89" s="47">
        <v>48299679</v>
      </c>
    </row>
    <row r="90" spans="1:18" x14ac:dyDescent="0.2">
      <c r="A90" s="45" t="s">
        <v>144</v>
      </c>
      <c r="B90" s="46" t="s">
        <v>302</v>
      </c>
      <c r="C90" s="46" t="s">
        <v>303</v>
      </c>
      <c r="D90" s="481"/>
      <c r="E90" s="481"/>
      <c r="F90" s="481"/>
      <c r="G90" s="481"/>
      <c r="H90" s="481"/>
      <c r="I90" s="481"/>
      <c r="J90" s="481"/>
      <c r="K90" s="481"/>
      <c r="L90" s="47"/>
      <c r="M90" s="47"/>
      <c r="N90" s="47"/>
      <c r="O90" s="47"/>
      <c r="P90" s="47"/>
      <c r="Q90" s="47">
        <v>2440282</v>
      </c>
      <c r="R90" s="47">
        <v>9201526</v>
      </c>
    </row>
    <row r="91" spans="1:18" x14ac:dyDescent="0.2">
      <c r="A91" s="45" t="s">
        <v>149</v>
      </c>
      <c r="B91" s="46" t="s">
        <v>304</v>
      </c>
      <c r="C91" s="46" t="s">
        <v>305</v>
      </c>
      <c r="D91" s="481"/>
      <c r="E91" s="481"/>
      <c r="F91" s="481"/>
      <c r="G91" s="481"/>
      <c r="H91" s="481"/>
      <c r="I91" s="481"/>
      <c r="J91" s="481"/>
      <c r="K91" s="481"/>
      <c r="L91" s="63"/>
      <c r="M91" s="63"/>
      <c r="N91" s="63"/>
      <c r="O91" s="63"/>
      <c r="P91" s="63"/>
      <c r="Q91" s="63">
        <v>2440282</v>
      </c>
      <c r="R91" s="63">
        <v>9201526</v>
      </c>
    </row>
    <row r="92" spans="1:18" x14ac:dyDescent="0.2">
      <c r="A92" s="45" t="s">
        <v>150</v>
      </c>
      <c r="B92" s="46" t="s">
        <v>306</v>
      </c>
      <c r="C92" s="46" t="s">
        <v>307</v>
      </c>
    </row>
    <row r="93" spans="1:18" x14ac:dyDescent="0.2">
      <c r="A93" s="45" t="s">
        <v>151</v>
      </c>
      <c r="B93" s="46" t="s">
        <v>308</v>
      </c>
      <c r="C93" s="46" t="s">
        <v>309</v>
      </c>
      <c r="D93" s="481"/>
      <c r="E93" s="481"/>
      <c r="F93" s="481"/>
      <c r="G93" s="481"/>
      <c r="H93" s="481"/>
      <c r="I93" s="481"/>
      <c r="J93" s="481"/>
      <c r="K93" s="481"/>
      <c r="L93" s="63"/>
      <c r="M93" s="63"/>
      <c r="N93" s="63"/>
      <c r="O93" s="63"/>
      <c r="P93" s="63"/>
      <c r="Q93" s="63"/>
      <c r="R93" s="63"/>
    </row>
    <row r="94" spans="1:18" x14ac:dyDescent="0.2">
      <c r="A94" s="45" t="s">
        <v>153</v>
      </c>
      <c r="B94" s="46" t="s">
        <v>310</v>
      </c>
      <c r="C94" s="46" t="s">
        <v>311</v>
      </c>
      <c r="D94" s="481"/>
      <c r="E94" s="481"/>
      <c r="F94" s="481"/>
      <c r="G94" s="481"/>
      <c r="H94" s="481"/>
      <c r="I94" s="481"/>
      <c r="J94" s="481"/>
      <c r="K94" s="481"/>
      <c r="L94" s="63"/>
      <c r="M94" s="63"/>
      <c r="N94" s="63"/>
      <c r="O94" s="63"/>
      <c r="P94" s="63"/>
      <c r="Q94" s="63"/>
      <c r="R94" s="63"/>
    </row>
    <row r="95" spans="1:18" x14ac:dyDescent="0.2">
      <c r="A95" s="45" t="s">
        <v>154</v>
      </c>
      <c r="B95" s="46" t="s">
        <v>312</v>
      </c>
      <c r="C95" s="46" t="s">
        <v>313</v>
      </c>
    </row>
    <row r="96" spans="1:18" x14ac:dyDescent="0.2">
      <c r="A96" s="45" t="s">
        <v>177</v>
      </c>
      <c r="B96" s="46" t="s">
        <v>123</v>
      </c>
      <c r="C96" s="46" t="s">
        <v>314</v>
      </c>
    </row>
    <row r="97" spans="1:18" x14ac:dyDescent="0.2">
      <c r="A97" s="45" t="s">
        <v>163</v>
      </c>
      <c r="B97" s="46" t="s">
        <v>315</v>
      </c>
      <c r="C97" s="46" t="s">
        <v>316</v>
      </c>
      <c r="D97" s="481"/>
      <c r="E97" s="481"/>
      <c r="F97" s="481"/>
      <c r="G97" s="481"/>
      <c r="H97" s="481"/>
      <c r="I97" s="481"/>
      <c r="J97" s="481"/>
      <c r="K97" s="481"/>
      <c r="L97" s="47"/>
      <c r="M97" s="47"/>
      <c r="N97" s="47"/>
      <c r="O97" s="47"/>
      <c r="P97" s="47"/>
      <c r="Q97" s="47"/>
      <c r="R97" s="47"/>
    </row>
    <row r="98" spans="1:18" x14ac:dyDescent="0.2">
      <c r="A98" s="45" t="s">
        <v>145</v>
      </c>
      <c r="B98" s="46" t="s">
        <v>317</v>
      </c>
      <c r="C98" s="46" t="s">
        <v>318</v>
      </c>
      <c r="D98" s="481">
        <f>+D102+D104+D105+D106+D107+D103</f>
        <v>5180585</v>
      </c>
      <c r="E98" s="481">
        <f t="shared" ref="E98:K98" si="12">+E102+E104+E105+E106+E107+E103</f>
        <v>11891346.84</v>
      </c>
      <c r="F98" s="481">
        <f t="shared" si="12"/>
        <v>4578418</v>
      </c>
      <c r="G98" s="481">
        <f t="shared" si="12"/>
        <v>7144053.3499999996</v>
      </c>
      <c r="H98" s="481">
        <f t="shared" si="12"/>
        <v>30965348</v>
      </c>
      <c r="I98" s="481">
        <f t="shared" si="12"/>
        <v>32267918.719999999</v>
      </c>
      <c r="J98" s="481">
        <f t="shared" si="12"/>
        <v>33490895.419999998</v>
      </c>
      <c r="K98" s="481">
        <f t="shared" si="12"/>
        <v>38233290.200000003</v>
      </c>
      <c r="L98" s="47">
        <v>42124122</v>
      </c>
      <c r="M98" s="47">
        <v>42013725</v>
      </c>
      <c r="N98" s="47">
        <v>52248029</v>
      </c>
      <c r="O98" s="47">
        <v>53042722</v>
      </c>
      <c r="P98" s="47">
        <v>38112071</v>
      </c>
      <c r="Q98" s="47">
        <v>40767938</v>
      </c>
      <c r="R98" s="47">
        <v>39098153</v>
      </c>
    </row>
    <row r="99" spans="1:18" x14ac:dyDescent="0.2">
      <c r="A99" s="45" t="s">
        <v>149</v>
      </c>
      <c r="B99" s="46" t="s">
        <v>304</v>
      </c>
      <c r="C99" s="46" t="s">
        <v>319</v>
      </c>
      <c r="D99" s="481">
        <v>0</v>
      </c>
      <c r="E99" s="481">
        <v>0</v>
      </c>
      <c r="F99" s="481">
        <v>0</v>
      </c>
      <c r="G99" s="481">
        <v>0</v>
      </c>
      <c r="H99" s="481">
        <v>0</v>
      </c>
      <c r="I99" s="481">
        <v>0</v>
      </c>
      <c r="J99" s="481">
        <v>0</v>
      </c>
      <c r="K99" s="481">
        <v>0</v>
      </c>
      <c r="L99" s="47">
        <v>0</v>
      </c>
      <c r="M99" s="47">
        <v>35994847</v>
      </c>
      <c r="N99" s="47">
        <v>44053275</v>
      </c>
      <c r="O99" s="47">
        <v>49932873</v>
      </c>
      <c r="P99" s="47">
        <v>7924580</v>
      </c>
      <c r="Q99" s="47">
        <v>31329282</v>
      </c>
      <c r="R99" s="47">
        <v>14802280</v>
      </c>
    </row>
    <row r="100" spans="1:18" x14ac:dyDescent="0.2">
      <c r="A100" s="45" t="s">
        <v>150</v>
      </c>
      <c r="B100" s="46" t="s">
        <v>306</v>
      </c>
      <c r="C100" s="46" t="s">
        <v>320</v>
      </c>
    </row>
    <row r="101" spans="1:18" x14ac:dyDescent="0.2">
      <c r="A101" s="45" t="s">
        <v>151</v>
      </c>
      <c r="B101" s="46" t="s">
        <v>321</v>
      </c>
      <c r="C101" s="46" t="s">
        <v>322</v>
      </c>
    </row>
    <row r="102" spans="1:18" x14ac:dyDescent="0.2">
      <c r="A102" s="45" t="s">
        <v>153</v>
      </c>
      <c r="B102" s="46" t="s">
        <v>310</v>
      </c>
      <c r="C102" s="46" t="s">
        <v>323</v>
      </c>
      <c r="D102" s="554">
        <v>3134210</v>
      </c>
      <c r="E102" s="554">
        <v>10593540.84</v>
      </c>
      <c r="F102" s="481">
        <v>3125119</v>
      </c>
      <c r="G102" s="481">
        <f>4211400+1007999.35</f>
        <v>5219399.3499999996</v>
      </c>
      <c r="H102" s="481">
        <f>17442585-282000-48754</f>
        <v>17111831</v>
      </c>
      <c r="I102" s="481">
        <v>22394775</v>
      </c>
      <c r="J102" s="481">
        <f>18540448.49+4311867.93-2219600</f>
        <v>20632716.419999998</v>
      </c>
      <c r="K102" s="481">
        <f>6307671+9790161.2</f>
        <v>16097832.199999999</v>
      </c>
      <c r="L102" s="47">
        <v>7878046</v>
      </c>
      <c r="M102" s="47">
        <v>5528943</v>
      </c>
      <c r="N102" s="47">
        <v>6485898</v>
      </c>
      <c r="O102" s="47">
        <v>1627585</v>
      </c>
      <c r="P102" s="47">
        <v>2474626</v>
      </c>
      <c r="Q102" s="47">
        <v>1617497</v>
      </c>
      <c r="R102" s="47">
        <v>1031500</v>
      </c>
    </row>
    <row r="103" spans="1:18" x14ac:dyDescent="0.2">
      <c r="A103" s="45" t="s">
        <v>154</v>
      </c>
      <c r="B103" s="46" t="s">
        <v>324</v>
      </c>
      <c r="C103" s="46" t="s">
        <v>325</v>
      </c>
      <c r="D103" s="554">
        <v>1013500</v>
      </c>
      <c r="E103" s="554">
        <v>941500</v>
      </c>
      <c r="F103" s="554">
        <v>747800</v>
      </c>
      <c r="G103" s="481">
        <v>975000</v>
      </c>
      <c r="H103" s="481">
        <v>7061408</v>
      </c>
      <c r="I103" s="481">
        <f>2353214-3.28</f>
        <v>2353210.7200000002</v>
      </c>
      <c r="J103" s="481">
        <v>1444881</v>
      </c>
      <c r="K103" s="481">
        <v>908618</v>
      </c>
      <c r="L103" s="63">
        <v>0</v>
      </c>
      <c r="M103" s="63">
        <v>0</v>
      </c>
      <c r="N103" s="63">
        <v>1182576</v>
      </c>
      <c r="O103" s="63">
        <v>924132</v>
      </c>
      <c r="P103" s="63">
        <v>91680</v>
      </c>
      <c r="Q103" s="63">
        <v>0</v>
      </c>
      <c r="R103" s="63">
        <v>0</v>
      </c>
    </row>
    <row r="104" spans="1:18" x14ac:dyDescent="0.2">
      <c r="A104" s="45" t="s">
        <v>177</v>
      </c>
      <c r="B104" s="46" t="s">
        <v>326</v>
      </c>
      <c r="C104" s="46" t="s">
        <v>327</v>
      </c>
      <c r="D104" s="554">
        <v>367458</v>
      </c>
      <c r="E104" s="554">
        <v>356306</v>
      </c>
      <c r="F104" s="554">
        <v>342361</v>
      </c>
      <c r="G104" s="481">
        <v>337066</v>
      </c>
      <c r="H104" s="481">
        <v>323779</v>
      </c>
      <c r="I104" s="481">
        <v>329219</v>
      </c>
      <c r="J104" s="481">
        <v>295179</v>
      </c>
      <c r="K104" s="481">
        <v>289917</v>
      </c>
      <c r="L104" s="63">
        <v>219426</v>
      </c>
      <c r="M104" s="63">
        <v>210924</v>
      </c>
      <c r="N104" s="63">
        <v>216783</v>
      </c>
      <c r="O104" s="63">
        <v>223758</v>
      </c>
      <c r="P104" s="63">
        <v>263858</v>
      </c>
      <c r="Q104" s="63">
        <v>272412</v>
      </c>
      <c r="R104" s="63">
        <v>175088</v>
      </c>
    </row>
    <row r="105" spans="1:18" x14ac:dyDescent="0.2">
      <c r="A105" s="45" t="s">
        <v>163</v>
      </c>
      <c r="B105" s="46" t="s">
        <v>328</v>
      </c>
      <c r="C105" s="46" t="s">
        <v>329</v>
      </c>
      <c r="D105" s="481">
        <v>665417</v>
      </c>
      <c r="E105" s="481"/>
      <c r="F105" s="554">
        <f>126865+236273</f>
        <v>363138</v>
      </c>
      <c r="G105" s="481">
        <v>612588</v>
      </c>
      <c r="H105" s="481">
        <v>658330</v>
      </c>
      <c r="I105" s="481">
        <v>338214</v>
      </c>
      <c r="J105" s="481">
        <v>58119</v>
      </c>
      <c r="K105" s="481">
        <f>19000+525423</f>
        <v>544423</v>
      </c>
      <c r="L105" s="63">
        <v>345808</v>
      </c>
      <c r="M105" s="63">
        <v>279011</v>
      </c>
      <c r="N105" s="63">
        <v>309497</v>
      </c>
      <c r="O105" s="63">
        <v>334374</v>
      </c>
      <c r="P105" s="63">
        <v>274989</v>
      </c>
      <c r="Q105" s="63">
        <v>324346</v>
      </c>
      <c r="R105" s="63">
        <v>308562</v>
      </c>
    </row>
    <row r="106" spans="1:18" x14ac:dyDescent="0.2">
      <c r="A106" s="45" t="s">
        <v>330</v>
      </c>
      <c r="B106" s="46" t="s">
        <v>123</v>
      </c>
      <c r="C106" s="46" t="s">
        <v>331</v>
      </c>
      <c r="D106" s="481">
        <v>0</v>
      </c>
      <c r="E106" s="481">
        <v>0</v>
      </c>
      <c r="F106" s="481">
        <v>0</v>
      </c>
      <c r="G106" s="481">
        <v>0</v>
      </c>
      <c r="H106" s="481">
        <v>0</v>
      </c>
      <c r="I106" s="481">
        <v>0</v>
      </c>
      <c r="J106" s="481">
        <v>0</v>
      </c>
      <c r="K106" s="481">
        <v>0</v>
      </c>
      <c r="L106" s="63">
        <v>1710842</v>
      </c>
      <c r="M106" s="63"/>
      <c r="N106" s="63"/>
      <c r="O106" s="63"/>
      <c r="P106" s="63">
        <v>27082338</v>
      </c>
      <c r="Q106" s="63">
        <v>7224401</v>
      </c>
      <c r="R106" s="63">
        <v>17601723</v>
      </c>
    </row>
    <row r="107" spans="1:18" x14ac:dyDescent="0.2">
      <c r="A107" s="45" t="s">
        <v>332</v>
      </c>
      <c r="B107" s="147" t="s">
        <v>635</v>
      </c>
      <c r="C107" s="46" t="s">
        <v>333</v>
      </c>
      <c r="D107" s="481">
        <v>0</v>
      </c>
      <c r="E107" s="481">
        <v>0</v>
      </c>
      <c r="F107" s="481">
        <v>0</v>
      </c>
      <c r="G107" s="481">
        <v>0</v>
      </c>
      <c r="H107" s="481">
        <v>5810000</v>
      </c>
      <c r="I107" s="481">
        <v>6852500</v>
      </c>
      <c r="J107" s="481">
        <f>8840400+2219600</f>
        <v>11060000</v>
      </c>
      <c r="K107" s="481">
        <v>20392500</v>
      </c>
      <c r="L107" s="63">
        <v>31970000</v>
      </c>
      <c r="M107" s="63"/>
      <c r="N107" s="63"/>
      <c r="O107" s="63"/>
      <c r="P107" s="63"/>
      <c r="Q107" s="63"/>
      <c r="R107" s="63">
        <v>5179000</v>
      </c>
    </row>
    <row r="108" spans="1:18" x14ac:dyDescent="0.2">
      <c r="A108" s="45" t="s">
        <v>155</v>
      </c>
      <c r="B108" s="46" t="s">
        <v>334</v>
      </c>
      <c r="C108" s="46" t="s">
        <v>335</v>
      </c>
      <c r="L108" s="64"/>
      <c r="M108" s="64"/>
      <c r="N108" s="64"/>
      <c r="O108" s="64"/>
      <c r="P108" s="64"/>
      <c r="Q108" s="64"/>
      <c r="R108" s="64"/>
    </row>
    <row r="109" spans="1:18" x14ac:dyDescent="0.2">
      <c r="A109" s="45" t="s">
        <v>198</v>
      </c>
      <c r="B109" s="46" t="s">
        <v>239</v>
      </c>
      <c r="C109" s="46" t="s">
        <v>336</v>
      </c>
      <c r="D109" s="481"/>
      <c r="E109" s="481"/>
      <c r="F109" s="481"/>
      <c r="G109" s="481"/>
      <c r="H109" s="481"/>
      <c r="I109" s="481"/>
      <c r="J109" s="481"/>
      <c r="K109" s="481"/>
      <c r="L109" s="63"/>
      <c r="M109" s="63"/>
      <c r="N109" s="63"/>
      <c r="O109" s="63"/>
      <c r="P109" s="63"/>
      <c r="Q109" s="63"/>
      <c r="R109" s="63"/>
    </row>
    <row r="110" spans="1:18" x14ac:dyDescent="0.2">
      <c r="A110" s="45" t="s">
        <v>149</v>
      </c>
      <c r="B110" s="46" t="s">
        <v>337</v>
      </c>
      <c r="C110" s="46" t="s">
        <v>338</v>
      </c>
      <c r="D110" s="481"/>
      <c r="E110" s="481"/>
      <c r="F110" s="481"/>
      <c r="G110" s="481"/>
      <c r="H110" s="481"/>
      <c r="I110" s="481"/>
      <c r="J110" s="481"/>
      <c r="K110" s="481"/>
      <c r="L110" s="47"/>
      <c r="M110" s="47"/>
      <c r="N110" s="47"/>
      <c r="O110" s="47"/>
      <c r="P110" s="47"/>
      <c r="Q110" s="47"/>
      <c r="R110" s="47"/>
    </row>
    <row r="111" spans="1:18" x14ac:dyDescent="0.2">
      <c r="A111" s="45" t="s">
        <v>150</v>
      </c>
      <c r="B111" s="46" t="s">
        <v>112</v>
      </c>
      <c r="C111" s="46" t="s">
        <v>339</v>
      </c>
    </row>
    <row r="112" spans="1:18" x14ac:dyDescent="0.2">
      <c r="B112" s="46" t="s">
        <v>340</v>
      </c>
      <c r="C112" s="46" t="s">
        <v>341</v>
      </c>
      <c r="D112" s="482">
        <f>+D109+D89+D67</f>
        <v>54212281.609999999</v>
      </c>
      <c r="E112" s="482">
        <f>+E109+E89+E67</f>
        <v>57086712</v>
      </c>
      <c r="F112" s="482">
        <f>+F109+F89+F67</f>
        <v>45449523.709999993</v>
      </c>
      <c r="G112" s="482">
        <f t="shared" ref="G112:L112" si="13">+G109+G89+G67</f>
        <v>40861119.277499996</v>
      </c>
      <c r="H112" s="482">
        <f t="shared" si="13"/>
        <v>57473255.377499998</v>
      </c>
      <c r="I112" s="482">
        <f t="shared" si="13"/>
        <v>56352274.097499996</v>
      </c>
      <c r="J112" s="482">
        <f t="shared" si="13"/>
        <v>56168178.547499992</v>
      </c>
      <c r="K112" s="482">
        <f t="shared" si="13"/>
        <v>58231210</v>
      </c>
      <c r="L112" s="60">
        <f t="shared" si="13"/>
        <v>58676555</v>
      </c>
      <c r="M112" s="60">
        <f t="shared" ref="M112:R112" si="14">+M109+M89+M67</f>
        <v>55899755</v>
      </c>
      <c r="N112" s="60">
        <f t="shared" si="14"/>
        <v>62876369</v>
      </c>
      <c r="O112" s="60">
        <f t="shared" si="14"/>
        <v>61048234</v>
      </c>
      <c r="P112" s="60">
        <f t="shared" si="14"/>
        <v>48192279</v>
      </c>
      <c r="Q112" s="60">
        <f t="shared" si="14"/>
        <v>51076764</v>
      </c>
      <c r="R112" s="60">
        <f t="shared" si="14"/>
        <v>54391738</v>
      </c>
    </row>
    <row r="113" spans="1:18" x14ac:dyDescent="0.2">
      <c r="B113" s="46" t="s">
        <v>249</v>
      </c>
      <c r="C113" s="46" t="s">
        <v>342</v>
      </c>
    </row>
    <row r="114" spans="1:18" x14ac:dyDescent="0.2">
      <c r="A114" s="45" t="s">
        <v>149</v>
      </c>
      <c r="B114" s="46" t="s">
        <v>343</v>
      </c>
      <c r="C114" s="46" t="s">
        <v>344</v>
      </c>
    </row>
    <row r="115" spans="1:18" x14ac:dyDescent="0.2">
      <c r="A115" s="45" t="s">
        <v>150</v>
      </c>
      <c r="B115" s="46" t="s">
        <v>345</v>
      </c>
      <c r="C115" s="46" t="s">
        <v>346</v>
      </c>
    </row>
    <row r="116" spans="1:18" x14ac:dyDescent="0.2">
      <c r="A116" s="45" t="s">
        <v>151</v>
      </c>
      <c r="B116" s="46" t="s">
        <v>347</v>
      </c>
      <c r="C116" s="46" t="s">
        <v>348</v>
      </c>
    </row>
    <row r="117" spans="1:18" x14ac:dyDescent="0.2">
      <c r="C117" s="46" t="s">
        <v>349</v>
      </c>
    </row>
    <row r="119" spans="1:18" x14ac:dyDescent="0.2">
      <c r="A119" s="48"/>
      <c r="D119" s="71">
        <f>+D58-D112</f>
        <v>0</v>
      </c>
      <c r="E119" s="71">
        <f>+E58-E112</f>
        <v>0</v>
      </c>
      <c r="F119" s="71">
        <f>+F58-F112</f>
        <v>-9.9999457597732544E-4</v>
      </c>
      <c r="G119" s="71">
        <f t="shared" ref="G119:L119" si="15">+G58-G112</f>
        <v>2.5000050663948059E-3</v>
      </c>
      <c r="H119" s="71">
        <f t="shared" si="15"/>
        <v>2.499997615814209E-3</v>
      </c>
      <c r="I119" s="71">
        <f t="shared" si="15"/>
        <v>2.5000050663948059E-3</v>
      </c>
      <c r="J119" s="71">
        <f t="shared" si="15"/>
        <v>0</v>
      </c>
      <c r="K119" s="71">
        <f t="shared" si="15"/>
        <v>0</v>
      </c>
      <c r="L119" s="71">
        <f t="shared" si="15"/>
        <v>0</v>
      </c>
      <c r="M119" s="71">
        <f t="shared" ref="M119:R119" si="16">+M58-M112</f>
        <v>0</v>
      </c>
      <c r="N119" s="71">
        <f t="shared" si="16"/>
        <v>0</v>
      </c>
      <c r="O119" s="71">
        <f t="shared" si="16"/>
        <v>0</v>
      </c>
      <c r="P119" s="71">
        <f t="shared" si="16"/>
        <v>0</v>
      </c>
      <c r="Q119" s="71">
        <f t="shared" si="16"/>
        <v>0</v>
      </c>
      <c r="R119" s="71">
        <f t="shared" si="16"/>
        <v>0</v>
      </c>
    </row>
    <row r="120" spans="1:18" x14ac:dyDescent="0.2">
      <c r="D120" s="356"/>
      <c r="E120" s="356"/>
      <c r="F120" s="356"/>
      <c r="G120" s="356"/>
      <c r="H120" s="356"/>
      <c r="I120" s="356"/>
      <c r="J120" s="356"/>
      <c r="K120" s="356"/>
      <c r="L120" s="356"/>
      <c r="M120" s="356"/>
    </row>
    <row r="121" spans="1:18" x14ac:dyDescent="0.2"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</row>
    <row r="125" spans="1:18" x14ac:dyDescent="0.2"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</row>
  </sheetData>
  <phoneticPr fontId="11" type="noConversion"/>
  <pageMargins left="0.23" right="0.25" top="0.32" bottom="0.47" header="0" footer="0"/>
  <pageSetup paperSize="9" orientation="portrait" blackAndWhite="1" errors="NA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2"/>
  <sheetViews>
    <sheetView workbookViewId="0">
      <selection activeCell="B110" sqref="B110"/>
    </sheetView>
  </sheetViews>
  <sheetFormatPr defaultColWidth="11.42578125" defaultRowHeight="12.75" x14ac:dyDescent="0.2"/>
  <cols>
    <col min="1" max="1" width="8.28515625" style="49" customWidth="1"/>
    <col min="2" max="2" width="47.42578125" style="49" bestFit="1" customWidth="1"/>
    <col min="3" max="4" width="14.140625" style="49" customWidth="1"/>
    <col min="5" max="10" width="14.140625" style="49" hidden="1" customWidth="1"/>
    <col min="11" max="12" width="13.7109375" style="49" hidden="1" customWidth="1"/>
    <col min="13" max="13" width="13.28515625" style="49" hidden="1" customWidth="1"/>
    <col min="14" max="14" width="12.7109375" style="49" hidden="1" customWidth="1"/>
    <col min="15" max="15" width="13.42578125" style="49" hidden="1" customWidth="1"/>
    <col min="16" max="16" width="13.140625" style="49" hidden="1" customWidth="1"/>
    <col min="17" max="17" width="13.42578125" style="49" hidden="1" customWidth="1"/>
    <col min="18" max="18" width="11.42578125" style="49" customWidth="1"/>
    <col min="19" max="19" width="12.85546875" style="49" bestFit="1" customWidth="1"/>
    <col min="20" max="20" width="11.7109375" style="49" bestFit="1" customWidth="1"/>
    <col min="21" max="16384" width="11.42578125" style="49"/>
  </cols>
  <sheetData>
    <row r="1" spans="1:17" ht="18" x14ac:dyDescent="0.2">
      <c r="B1" s="50" t="s">
        <v>351</v>
      </c>
    </row>
    <row r="3" spans="1:17" ht="14.25" x14ac:dyDescent="0.2">
      <c r="B3" s="51" t="s">
        <v>352</v>
      </c>
    </row>
    <row r="9" spans="1:17" ht="15" x14ac:dyDescent="0.2">
      <c r="A9" s="52" t="s">
        <v>353</v>
      </c>
      <c r="B9" s="53" t="s">
        <v>354</v>
      </c>
      <c r="C9" s="52" t="s">
        <v>1053</v>
      </c>
      <c r="D9" s="52" t="s">
        <v>1034</v>
      </c>
      <c r="E9" s="52" t="s">
        <v>1016</v>
      </c>
      <c r="F9" s="52" t="s">
        <v>1004</v>
      </c>
      <c r="G9" s="52" t="s">
        <v>940</v>
      </c>
      <c r="H9" s="52" t="s">
        <v>930</v>
      </c>
      <c r="I9" s="52" t="s">
        <v>692</v>
      </c>
      <c r="J9" s="52" t="s">
        <v>648</v>
      </c>
      <c r="K9" s="52" t="s">
        <v>633</v>
      </c>
      <c r="L9" s="52" t="s">
        <v>622</v>
      </c>
      <c r="M9" s="52" t="s">
        <v>579</v>
      </c>
      <c r="N9" s="52" t="s">
        <v>565</v>
      </c>
      <c r="O9" s="52" t="s">
        <v>455</v>
      </c>
      <c r="P9" s="52" t="s">
        <v>456</v>
      </c>
      <c r="Q9" s="52" t="s">
        <v>538</v>
      </c>
    </row>
    <row r="11" spans="1:17" x14ac:dyDescent="0.2">
      <c r="B11" s="355"/>
    </row>
    <row r="12" spans="1:17" x14ac:dyDescent="0.2">
      <c r="A12" s="54" t="s">
        <v>144</v>
      </c>
      <c r="B12" s="55" t="s">
        <v>355</v>
      </c>
      <c r="C12" s="65">
        <f>+C14</f>
        <v>50231967</v>
      </c>
      <c r="D12" s="65">
        <f>+D14</f>
        <v>58722250</v>
      </c>
      <c r="E12" s="65">
        <f t="shared" ref="E12:J12" si="0">+E14</f>
        <v>59129540</v>
      </c>
      <c r="F12" s="65">
        <f t="shared" si="0"/>
        <v>57068740</v>
      </c>
      <c r="G12" s="65">
        <f t="shared" si="0"/>
        <v>52066118</v>
      </c>
      <c r="H12" s="65">
        <f t="shared" si="0"/>
        <v>42903445</v>
      </c>
      <c r="I12" s="65">
        <f t="shared" si="0"/>
        <v>48894254</v>
      </c>
      <c r="J12" s="65">
        <f t="shared" si="0"/>
        <v>65177818</v>
      </c>
      <c r="K12" s="65">
        <v>51876394</v>
      </c>
      <c r="L12" s="65">
        <v>58505056</v>
      </c>
      <c r="M12" s="65">
        <v>58073901</v>
      </c>
      <c r="N12" s="65">
        <v>32770160</v>
      </c>
      <c r="O12" s="65">
        <v>35253484</v>
      </c>
      <c r="P12" s="65">
        <v>29587117</v>
      </c>
      <c r="Q12" s="65">
        <v>25787721</v>
      </c>
    </row>
    <row r="13" spans="1:17" x14ac:dyDescent="0.2">
      <c r="A13" s="54" t="s">
        <v>134</v>
      </c>
      <c r="B13" s="55" t="s">
        <v>356</v>
      </c>
    </row>
    <row r="14" spans="1:17" x14ac:dyDescent="0.2">
      <c r="A14" s="54" t="s">
        <v>135</v>
      </c>
      <c r="B14" s="55" t="s">
        <v>357</v>
      </c>
      <c r="C14" s="56">
        <v>50231967</v>
      </c>
      <c r="D14" s="56">
        <v>58722250</v>
      </c>
      <c r="E14" s="56">
        <v>59129540</v>
      </c>
      <c r="F14" s="56">
        <v>57068740</v>
      </c>
      <c r="G14" s="56">
        <v>52066118</v>
      </c>
      <c r="H14" s="56">
        <f>37768305+5135140</f>
        <v>42903445</v>
      </c>
      <c r="I14" s="56">
        <v>48894254</v>
      </c>
      <c r="J14" s="56">
        <v>65177818</v>
      </c>
      <c r="K14" s="56">
        <v>51876394</v>
      </c>
      <c r="L14" s="56">
        <v>58505056</v>
      </c>
      <c r="M14" s="56">
        <v>58073901</v>
      </c>
      <c r="N14" s="56">
        <v>32770160</v>
      </c>
      <c r="O14" s="56">
        <v>35253484</v>
      </c>
      <c r="P14" s="56">
        <v>29587117</v>
      </c>
      <c r="Q14" s="56">
        <v>25787721</v>
      </c>
    </row>
    <row r="15" spans="1:17" x14ac:dyDescent="0.2">
      <c r="A15" s="54" t="s">
        <v>136</v>
      </c>
      <c r="B15" s="55" t="s">
        <v>358</v>
      </c>
      <c r="C15" s="277" t="s">
        <v>569</v>
      </c>
      <c r="D15" s="277" t="s">
        <v>569</v>
      </c>
      <c r="E15" s="277" t="s">
        <v>569</v>
      </c>
      <c r="F15" s="277" t="s">
        <v>569</v>
      </c>
      <c r="G15" s="277" t="s">
        <v>569</v>
      </c>
      <c r="H15" s="277" t="s">
        <v>569</v>
      </c>
      <c r="I15" s="277" t="s">
        <v>569</v>
      </c>
      <c r="J15" s="277" t="s">
        <v>569</v>
      </c>
      <c r="K15" s="277" t="s">
        <v>569</v>
      </c>
      <c r="L15" s="277" t="s">
        <v>569</v>
      </c>
      <c r="M15" s="277" t="s">
        <v>569</v>
      </c>
      <c r="N15" s="277" t="s">
        <v>569</v>
      </c>
      <c r="O15" s="56"/>
      <c r="P15" s="56"/>
      <c r="Q15" s="56"/>
    </row>
    <row r="16" spans="1:17" x14ac:dyDescent="0.2">
      <c r="A16" s="54" t="s">
        <v>137</v>
      </c>
      <c r="B16" s="55" t="s">
        <v>359</v>
      </c>
    </row>
    <row r="17" spans="1:17" x14ac:dyDescent="0.2">
      <c r="B17" s="55" t="s">
        <v>360</v>
      </c>
      <c r="C17" s="56">
        <f>+C14</f>
        <v>50231967</v>
      </c>
      <c r="D17" s="56">
        <f>+D14</f>
        <v>58722250</v>
      </c>
      <c r="E17" s="56">
        <f t="shared" ref="E17:J17" si="1">+E14</f>
        <v>59129540</v>
      </c>
      <c r="F17" s="56">
        <f t="shared" si="1"/>
        <v>57068740</v>
      </c>
      <c r="G17" s="56">
        <f t="shared" si="1"/>
        <v>52066118</v>
      </c>
      <c r="H17" s="56">
        <f t="shared" si="1"/>
        <v>42903445</v>
      </c>
      <c r="I17" s="56">
        <f t="shared" si="1"/>
        <v>48894254</v>
      </c>
      <c r="J17" s="56">
        <f t="shared" si="1"/>
        <v>65177818</v>
      </c>
      <c r="K17" s="56">
        <v>51876394</v>
      </c>
      <c r="L17" s="56">
        <v>58505056</v>
      </c>
      <c r="M17" s="56">
        <v>58073901</v>
      </c>
      <c r="N17" s="56">
        <v>32770160</v>
      </c>
      <c r="O17" s="56">
        <v>35253484</v>
      </c>
      <c r="P17" s="56">
        <v>29587117</v>
      </c>
      <c r="Q17" s="56">
        <v>25787721</v>
      </c>
    </row>
    <row r="18" spans="1:17" x14ac:dyDescent="0.2">
      <c r="B18" s="55" t="s">
        <v>361</v>
      </c>
    </row>
    <row r="19" spans="1:17" x14ac:dyDescent="0.2">
      <c r="A19" s="54" t="s">
        <v>145</v>
      </c>
      <c r="B19" s="55" t="s">
        <v>362</v>
      </c>
      <c r="C19" s="65">
        <v>0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606051</v>
      </c>
      <c r="M19" s="65">
        <v>186500</v>
      </c>
      <c r="N19" s="65"/>
      <c r="O19" s="65"/>
      <c r="P19" s="65"/>
      <c r="Q19" s="65">
        <v>500000</v>
      </c>
    </row>
    <row r="20" spans="1:17" x14ac:dyDescent="0.2">
      <c r="A20" s="54" t="s">
        <v>138</v>
      </c>
      <c r="B20" s="55" t="s">
        <v>363</v>
      </c>
    </row>
    <row r="21" spans="1:17" x14ac:dyDescent="0.2">
      <c r="A21" s="54" t="s">
        <v>146</v>
      </c>
      <c r="B21" s="55" t="s">
        <v>364</v>
      </c>
    </row>
    <row r="22" spans="1:17" x14ac:dyDescent="0.2">
      <c r="A22" s="54" t="s">
        <v>147</v>
      </c>
      <c r="B22" s="55" t="s">
        <v>365</v>
      </c>
    </row>
    <row r="23" spans="1:17" x14ac:dyDescent="0.2">
      <c r="A23" s="54" t="s">
        <v>148</v>
      </c>
      <c r="B23" s="55" t="s">
        <v>366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>
        <v>500000</v>
      </c>
    </row>
    <row r="24" spans="1:17" x14ac:dyDescent="0.2">
      <c r="A24" s="54" t="s">
        <v>149</v>
      </c>
      <c r="B24" s="55" t="s">
        <v>367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606051</v>
      </c>
      <c r="M24" s="56">
        <v>186500</v>
      </c>
      <c r="N24" s="56"/>
      <c r="O24" s="56"/>
      <c r="P24" s="56"/>
      <c r="Q24" s="56">
        <v>500000</v>
      </c>
    </row>
    <row r="25" spans="1:17" x14ac:dyDescent="0.2">
      <c r="A25" s="54" t="s">
        <v>150</v>
      </c>
      <c r="B25" s="55" t="s">
        <v>368</v>
      </c>
    </row>
    <row r="26" spans="1:17" x14ac:dyDescent="0.2">
      <c r="A26" s="54" t="s">
        <v>151</v>
      </c>
      <c r="B26" s="55" t="s">
        <v>112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</row>
    <row r="28" spans="1:17" x14ac:dyDescent="0.2">
      <c r="A28" s="54" t="s">
        <v>152</v>
      </c>
      <c r="B28" s="55" t="s">
        <v>369</v>
      </c>
    </row>
    <row r="29" spans="1:17" x14ac:dyDescent="0.2">
      <c r="A29" s="54" t="s">
        <v>149</v>
      </c>
      <c r="B29" s="55" t="s">
        <v>370</v>
      </c>
    </row>
    <row r="30" spans="1:17" x14ac:dyDescent="0.2">
      <c r="A30" s="54" t="s">
        <v>150</v>
      </c>
      <c r="B30" s="55" t="s">
        <v>371</v>
      </c>
    </row>
    <row r="31" spans="1:17" x14ac:dyDescent="0.2">
      <c r="A31" s="54" t="s">
        <v>151</v>
      </c>
      <c r="B31" s="55" t="s">
        <v>372</v>
      </c>
    </row>
    <row r="32" spans="1:17" x14ac:dyDescent="0.2">
      <c r="A32" s="54" t="s">
        <v>153</v>
      </c>
      <c r="B32" s="55" t="s">
        <v>373</v>
      </c>
    </row>
    <row r="33" spans="1:17" x14ac:dyDescent="0.2">
      <c r="A33" s="54" t="s">
        <v>154</v>
      </c>
      <c r="B33" s="55" t="s">
        <v>374</v>
      </c>
    </row>
    <row r="34" spans="1:17" x14ac:dyDescent="0.2">
      <c r="B34" s="55" t="s">
        <v>375</v>
      </c>
      <c r="C34" s="56">
        <f>+C17</f>
        <v>50231967</v>
      </c>
      <c r="D34" s="56">
        <f>+D17</f>
        <v>58722250</v>
      </c>
      <c r="E34" s="56">
        <f t="shared" ref="E34:J34" si="2">+E17</f>
        <v>59129540</v>
      </c>
      <c r="F34" s="56">
        <f t="shared" si="2"/>
        <v>57068740</v>
      </c>
      <c r="G34" s="56">
        <f t="shared" si="2"/>
        <v>52066118</v>
      </c>
      <c r="H34" s="56">
        <f t="shared" si="2"/>
        <v>42903445</v>
      </c>
      <c r="I34" s="56">
        <f t="shared" si="2"/>
        <v>48894254</v>
      </c>
      <c r="J34" s="56">
        <f t="shared" si="2"/>
        <v>65177818</v>
      </c>
      <c r="K34" s="56">
        <v>51876394</v>
      </c>
      <c r="L34" s="56">
        <v>59111107</v>
      </c>
      <c r="M34" s="56">
        <v>58260401</v>
      </c>
      <c r="N34" s="56">
        <v>32770160</v>
      </c>
      <c r="O34" s="56">
        <v>35253484</v>
      </c>
      <c r="P34" s="56">
        <v>29587117</v>
      </c>
      <c r="Q34" s="56">
        <v>26287721</v>
      </c>
    </row>
    <row r="35" spans="1:17" x14ac:dyDescent="0.2">
      <c r="C35" s="355"/>
      <c r="D35" s="355"/>
      <c r="E35" s="355"/>
      <c r="F35" s="355"/>
      <c r="G35" s="355"/>
      <c r="H35" s="355"/>
      <c r="I35" s="355"/>
      <c r="J35" s="355"/>
      <c r="K35" s="355"/>
      <c r="L35" s="355"/>
    </row>
    <row r="36" spans="1:17" x14ac:dyDescent="0.2">
      <c r="A36" s="54" t="s">
        <v>155</v>
      </c>
      <c r="B36" s="55" t="s">
        <v>376</v>
      </c>
      <c r="C36" s="65">
        <v>0</v>
      </c>
      <c r="D36" s="65">
        <v>0</v>
      </c>
      <c r="E36" s="65">
        <v>0</v>
      </c>
      <c r="F36" s="65">
        <v>0</v>
      </c>
      <c r="G36" s="65">
        <v>0</v>
      </c>
      <c r="H36" s="65">
        <v>0</v>
      </c>
      <c r="I36" s="65">
        <v>0</v>
      </c>
      <c r="J36" s="65">
        <v>0</v>
      </c>
      <c r="K36" s="65">
        <v>882</v>
      </c>
      <c r="L36" s="65">
        <v>5447</v>
      </c>
      <c r="M36" s="65">
        <v>7334</v>
      </c>
      <c r="N36" s="65">
        <v>29591</v>
      </c>
      <c r="O36" s="65">
        <v>13306</v>
      </c>
      <c r="P36" s="65">
        <v>204157</v>
      </c>
      <c r="Q36" s="65">
        <v>3819</v>
      </c>
    </row>
    <row r="37" spans="1:17" x14ac:dyDescent="0.2">
      <c r="A37" s="54" t="s">
        <v>156</v>
      </c>
      <c r="B37" s="55" t="s">
        <v>377</v>
      </c>
      <c r="C37" s="56">
        <v>0</v>
      </c>
      <c r="D37" s="56">
        <v>0</v>
      </c>
      <c r="E37" s="56">
        <v>0</v>
      </c>
      <c r="F37" s="56">
        <v>0</v>
      </c>
      <c r="G37" s="56">
        <v>0</v>
      </c>
      <c r="H37" s="56">
        <v>0</v>
      </c>
      <c r="I37" s="56">
        <v>0</v>
      </c>
      <c r="J37" s="56">
        <v>0</v>
      </c>
      <c r="K37" s="56">
        <v>882</v>
      </c>
      <c r="L37" s="56">
        <v>1284</v>
      </c>
      <c r="M37" s="56">
        <v>3760.08</v>
      </c>
      <c r="N37" s="56">
        <v>1859</v>
      </c>
      <c r="O37" s="56">
        <v>1002</v>
      </c>
      <c r="P37" s="56">
        <v>2493</v>
      </c>
      <c r="Q37" s="56">
        <v>112</v>
      </c>
    </row>
    <row r="38" spans="1:17" x14ac:dyDescent="0.2">
      <c r="A38" s="54" t="s">
        <v>157</v>
      </c>
      <c r="B38" s="55" t="s">
        <v>378</v>
      </c>
    </row>
    <row r="39" spans="1:17" x14ac:dyDescent="0.2">
      <c r="A39" s="54" t="s">
        <v>158</v>
      </c>
      <c r="B39" s="55" t="s">
        <v>379</v>
      </c>
      <c r="C39" s="56">
        <v>0</v>
      </c>
      <c r="D39" s="56">
        <v>0</v>
      </c>
      <c r="E39" s="56">
        <v>0</v>
      </c>
      <c r="F39" s="56">
        <v>0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4163</v>
      </c>
      <c r="M39" s="56">
        <v>3573.92</v>
      </c>
      <c r="N39" s="56">
        <v>27732</v>
      </c>
      <c r="O39" s="56">
        <v>12304</v>
      </c>
      <c r="P39" s="56">
        <v>201664</v>
      </c>
      <c r="Q39" s="56">
        <v>3707</v>
      </c>
    </row>
    <row r="40" spans="1:17" x14ac:dyDescent="0.2">
      <c r="A40" s="54" t="s">
        <v>159</v>
      </c>
      <c r="B40" s="55" t="s">
        <v>380</v>
      </c>
    </row>
    <row r="41" spans="1:17" x14ac:dyDescent="0.2">
      <c r="A41" s="54" t="s">
        <v>160</v>
      </c>
      <c r="B41" s="55" t="s">
        <v>381</v>
      </c>
      <c r="C41" s="56">
        <v>-1.7462298274040222E-10</v>
      </c>
      <c r="D41" s="56">
        <v>-1.7462298274040222E-10</v>
      </c>
      <c r="E41" s="56">
        <v>-1.7462298274040222E-10</v>
      </c>
      <c r="F41" s="56">
        <v>-1.7462298274040222E-10</v>
      </c>
      <c r="G41" s="56">
        <v>-1.7462298274040222E-10</v>
      </c>
      <c r="H41" s="56">
        <v>-1.7462298274040222E-10</v>
      </c>
      <c r="I41" s="56">
        <v>-1.7462298274040222E-10</v>
      </c>
      <c r="J41" s="56">
        <v>-1.7462298274040222E-10</v>
      </c>
      <c r="K41" s="56">
        <v>-1.7462298274040222E-10</v>
      </c>
      <c r="L41" s="56">
        <v>-1.7462298274040222E-10</v>
      </c>
      <c r="M41" s="56">
        <v>-1.7462298274040222E-10</v>
      </c>
      <c r="N41" s="56">
        <v>-1.7462298274040222E-10</v>
      </c>
      <c r="O41" s="56">
        <v>-1.7462298274040222E-10</v>
      </c>
      <c r="P41" s="56">
        <v>-1.7462298274040222E-10</v>
      </c>
      <c r="Q41" s="56">
        <v>-1.7462298274040222E-10</v>
      </c>
    </row>
    <row r="42" spans="1:17" x14ac:dyDescent="0.2">
      <c r="C42" s="355"/>
      <c r="D42" s="355"/>
      <c r="E42" s="355"/>
      <c r="F42" s="355"/>
      <c r="G42" s="355"/>
      <c r="H42" s="355"/>
      <c r="I42" s="355"/>
      <c r="J42" s="355"/>
      <c r="K42" s="355"/>
      <c r="L42" s="355"/>
    </row>
    <row r="43" spans="1:17" x14ac:dyDescent="0.2">
      <c r="B43" s="55" t="s">
        <v>382</v>
      </c>
      <c r="C43" s="65">
        <f>+C34</f>
        <v>50231967</v>
      </c>
      <c r="D43" s="65">
        <f>+D34</f>
        <v>58722250</v>
      </c>
      <c r="E43" s="65">
        <f t="shared" ref="E43:J43" si="3">+E34</f>
        <v>59129540</v>
      </c>
      <c r="F43" s="65">
        <f t="shared" si="3"/>
        <v>57068740</v>
      </c>
      <c r="G43" s="65">
        <f t="shared" si="3"/>
        <v>52066118</v>
      </c>
      <c r="H43" s="65">
        <f t="shared" si="3"/>
        <v>42903445</v>
      </c>
      <c r="I43" s="65">
        <f t="shared" si="3"/>
        <v>48894254</v>
      </c>
      <c r="J43" s="65">
        <f t="shared" si="3"/>
        <v>65177818</v>
      </c>
      <c r="K43" s="65">
        <v>51877276</v>
      </c>
      <c r="L43" s="65">
        <v>59116554</v>
      </c>
      <c r="M43" s="65">
        <v>58267735</v>
      </c>
      <c r="N43" s="65">
        <v>32799751</v>
      </c>
      <c r="O43" s="65">
        <v>35266790</v>
      </c>
      <c r="P43" s="65">
        <v>29791274</v>
      </c>
      <c r="Q43" s="65">
        <v>26291540</v>
      </c>
    </row>
    <row r="44" spans="1:17" x14ac:dyDescent="0.2">
      <c r="C44" s="355"/>
      <c r="D44" s="355"/>
      <c r="E44" s="355"/>
      <c r="F44" s="355"/>
      <c r="G44" s="355"/>
      <c r="H44" s="355"/>
      <c r="I44" s="355"/>
      <c r="J44" s="355"/>
      <c r="K44" s="355"/>
      <c r="L44" s="355"/>
    </row>
    <row r="45" spans="1:17" x14ac:dyDescent="0.2">
      <c r="B45" s="55" t="s">
        <v>383</v>
      </c>
    </row>
    <row r="46" spans="1:17" x14ac:dyDescent="0.2">
      <c r="B46" s="55" t="s">
        <v>384</v>
      </c>
    </row>
    <row r="47" spans="1:17" x14ac:dyDescent="0.2">
      <c r="A47" s="54" t="s">
        <v>161</v>
      </c>
      <c r="B47" s="55" t="s">
        <v>385</v>
      </c>
    </row>
    <row r="48" spans="1:17" x14ac:dyDescent="0.2">
      <c r="B48" s="55" t="s">
        <v>386</v>
      </c>
    </row>
    <row r="49" spans="1:17" x14ac:dyDescent="0.2">
      <c r="B49" s="55" t="s">
        <v>384</v>
      </c>
    </row>
    <row r="50" spans="1:17" x14ac:dyDescent="0.2">
      <c r="A50" s="54" t="s">
        <v>162</v>
      </c>
      <c r="B50" s="55" t="s">
        <v>387</v>
      </c>
    </row>
    <row r="51" spans="1:17" x14ac:dyDescent="0.2">
      <c r="B51" s="55" t="s">
        <v>384</v>
      </c>
    </row>
    <row r="52" spans="1:17" x14ac:dyDescent="0.2">
      <c r="B52" s="55"/>
    </row>
    <row r="53" spans="1:17" x14ac:dyDescent="0.2">
      <c r="B53" s="55"/>
    </row>
    <row r="54" spans="1:17" x14ac:dyDescent="0.2">
      <c r="B54" s="55"/>
    </row>
    <row r="55" spans="1:17" x14ac:dyDescent="0.2">
      <c r="B55" s="55"/>
    </row>
    <row r="56" spans="1:17" x14ac:dyDescent="0.2">
      <c r="B56" s="55"/>
    </row>
    <row r="57" spans="1:17" x14ac:dyDescent="0.2">
      <c r="B57" s="55"/>
    </row>
    <row r="58" spans="1:17" x14ac:dyDescent="0.2">
      <c r="B58" s="55"/>
    </row>
    <row r="62" spans="1:17" ht="15" x14ac:dyDescent="0.2">
      <c r="A62" s="52" t="s">
        <v>353</v>
      </c>
      <c r="B62" s="53" t="s">
        <v>388</v>
      </c>
      <c r="C62" s="52" t="str">
        <f>+C9</f>
        <v>Vlefta 2020</v>
      </c>
      <c r="D62" s="52" t="str">
        <f>+D9</f>
        <v>Vlefta 2019</v>
      </c>
      <c r="E62" s="52" t="str">
        <f t="shared" ref="E62:J62" si="4">+E9</f>
        <v>Vlefta 2018</v>
      </c>
      <c r="F62" s="52" t="str">
        <f t="shared" si="4"/>
        <v>Vlefta 2017</v>
      </c>
      <c r="G62" s="52" t="str">
        <f t="shared" si="4"/>
        <v>Vlefta 2016</v>
      </c>
      <c r="H62" s="52" t="str">
        <f t="shared" si="4"/>
        <v>Vlefta 2015</v>
      </c>
      <c r="I62" s="52" t="str">
        <f t="shared" si="4"/>
        <v>Vlefta 2014</v>
      </c>
      <c r="J62" s="52" t="str">
        <f t="shared" si="4"/>
        <v>Vlefta 2013</v>
      </c>
      <c r="K62" s="52" t="s">
        <v>633</v>
      </c>
      <c r="L62" s="52" t="s">
        <v>622</v>
      </c>
      <c r="M62" s="52" t="s">
        <v>579</v>
      </c>
      <c r="N62" s="52" t="s">
        <v>565</v>
      </c>
      <c r="O62" s="52" t="s">
        <v>455</v>
      </c>
      <c r="P62" s="52" t="s">
        <v>456</v>
      </c>
      <c r="Q62" s="52" t="s">
        <v>538</v>
      </c>
    </row>
    <row r="65" spans="1:19" x14ac:dyDescent="0.2">
      <c r="A65" s="54" t="s">
        <v>144</v>
      </c>
      <c r="B65" s="55" t="s">
        <v>389</v>
      </c>
      <c r="C65" s="355"/>
      <c r="D65" s="355"/>
      <c r="E65" s="355"/>
      <c r="F65" s="355"/>
      <c r="G65" s="355"/>
      <c r="H65" s="355"/>
      <c r="I65" s="355"/>
      <c r="J65" s="355"/>
      <c r="K65" s="355"/>
      <c r="L65" s="355"/>
    </row>
    <row r="66" spans="1:19" x14ac:dyDescent="0.2">
      <c r="A66" s="54" t="s">
        <v>145</v>
      </c>
      <c r="B66" s="55" t="s">
        <v>390</v>
      </c>
      <c r="C66" s="65">
        <f>+C73+C74+C78+C79+C83+C70</f>
        <v>45449381</v>
      </c>
      <c r="D66" s="65">
        <f>+D73+D74+D78+D79+D83+D70</f>
        <v>53369161</v>
      </c>
      <c r="E66" s="65">
        <f t="shared" ref="E66:J66" si="5">+E73+E74+E78+E79+E83</f>
        <v>50707987.549999997</v>
      </c>
      <c r="F66" s="65">
        <f t="shared" si="5"/>
        <v>48587377</v>
      </c>
      <c r="G66" s="65">
        <f t="shared" si="5"/>
        <v>49168449</v>
      </c>
      <c r="H66" s="65">
        <f t="shared" si="5"/>
        <v>41131527</v>
      </c>
      <c r="I66" s="65">
        <f t="shared" si="5"/>
        <v>45743352.900000006</v>
      </c>
      <c r="J66" s="65">
        <f t="shared" si="5"/>
        <v>60958592</v>
      </c>
      <c r="K66" s="65">
        <v>46274948</v>
      </c>
      <c r="L66" s="65">
        <v>54741665</v>
      </c>
      <c r="M66" s="65">
        <v>54464327</v>
      </c>
      <c r="N66" s="65">
        <v>33681801</v>
      </c>
      <c r="O66" s="65">
        <v>31022540</v>
      </c>
      <c r="P66" s="65">
        <v>26354908</v>
      </c>
      <c r="Q66" s="65">
        <v>23248168</v>
      </c>
    </row>
    <row r="67" spans="1:19" x14ac:dyDescent="0.2">
      <c r="A67" s="54" t="s">
        <v>134</v>
      </c>
      <c r="B67" s="55" t="s">
        <v>391</v>
      </c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</row>
    <row r="68" spans="1:19" x14ac:dyDescent="0.2">
      <c r="A68" s="54" t="s">
        <v>149</v>
      </c>
      <c r="B68" s="55" t="s">
        <v>392</v>
      </c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19" x14ac:dyDescent="0.2">
      <c r="A69" s="54" t="s">
        <v>150</v>
      </c>
      <c r="B69" s="55" t="s">
        <v>393</v>
      </c>
    </row>
    <row r="70" spans="1:19" x14ac:dyDescent="0.2">
      <c r="A70" s="54" t="s">
        <v>135</v>
      </c>
      <c r="B70" s="55" t="s">
        <v>394</v>
      </c>
      <c r="C70" s="66">
        <f>+C71+C72</f>
        <v>1114494</v>
      </c>
      <c r="D70" s="66">
        <f>+D71+D72</f>
        <v>1167708</v>
      </c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</row>
    <row r="71" spans="1:19" x14ac:dyDescent="0.2">
      <c r="A71" s="54" t="s">
        <v>149</v>
      </c>
      <c r="B71" s="55" t="s">
        <v>395</v>
      </c>
      <c r="C71" s="56">
        <v>0</v>
      </c>
      <c r="D71" s="56">
        <v>2282202</v>
      </c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</row>
    <row r="72" spans="1:19" x14ac:dyDescent="0.2">
      <c r="A72" s="54" t="s">
        <v>150</v>
      </c>
      <c r="B72" s="55" t="s">
        <v>396</v>
      </c>
      <c r="C72" s="56">
        <v>1114494</v>
      </c>
      <c r="D72" s="56">
        <v>-1114494</v>
      </c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</row>
    <row r="73" spans="1:19" x14ac:dyDescent="0.2">
      <c r="A73" s="54" t="s">
        <v>136</v>
      </c>
      <c r="B73" s="55" t="s">
        <v>397</v>
      </c>
      <c r="C73" s="277">
        <f>355864+12000000+2228370+2279494+1734018+1354142+125001+2436560+56154+210651</f>
        <v>22780254</v>
      </c>
      <c r="D73" s="277">
        <f>292282+3408536+328661+1732000+1597458+1341413+654803+32488+128051+20881750</f>
        <v>30397442</v>
      </c>
      <c r="E73" s="277">
        <f>287191+1503542+3354942.55+7174698+1325000+2170510+1500000+1102500+6561329+875207+52267+8250</f>
        <v>25915436.550000001</v>
      </c>
      <c r="F73" s="277">
        <f>355892+3379985+2146032+5134986+1808758+2606019+1552500+600011+6000+1229045+2747877+11165+582692+2263+1008000</f>
        <v>23171225</v>
      </c>
      <c r="G73" s="277">
        <f>250329+234984+1272833+2235737+9063238+2424119+2688029+460000+1393450+918450+3178124+30995+2500+838+179051</f>
        <v>24332677</v>
      </c>
      <c r="H73" s="277">
        <f>656442+93894+1415850+2255388+6806302+1085000+1030669+282750+43502+1252060+8257214+256517+702441</f>
        <v>24138029</v>
      </c>
      <c r="I73" s="277">
        <f>78739.8+2263750+1915994.23+5377151.15+2451605+1442537.46+1720840+33507.75+1995956+10872622.16+72486.28+213285.07</f>
        <v>28438474.900000002</v>
      </c>
      <c r="J73" s="56">
        <f>80991+1197840+2317750+6256574+1099110+1956555+1463410+3493+2033099+27638068+85984+94223</f>
        <v>44227097</v>
      </c>
      <c r="K73" s="56">
        <v>31018229</v>
      </c>
      <c r="L73" s="56">
        <v>38466633</v>
      </c>
      <c r="M73" s="56">
        <v>35364677</v>
      </c>
      <c r="N73" s="56">
        <v>17457438</v>
      </c>
      <c r="O73" s="56">
        <v>16853568</v>
      </c>
      <c r="P73" s="56">
        <v>14938858</v>
      </c>
      <c r="Q73" s="56">
        <v>13944298</v>
      </c>
    </row>
    <row r="74" spans="1:19" x14ac:dyDescent="0.2">
      <c r="A74" s="54" t="s">
        <v>137</v>
      </c>
      <c r="B74" s="55" t="s">
        <v>398</v>
      </c>
      <c r="C74" s="56">
        <f>+C75+C76+C77</f>
        <v>16817457</v>
      </c>
      <c r="D74" s="56">
        <f>+D75+D76+D77</f>
        <v>16400622</v>
      </c>
      <c r="E74" s="56">
        <f t="shared" ref="E74:J74" si="6">+E75+E76+E77</f>
        <v>16440932</v>
      </c>
      <c r="F74" s="56">
        <f t="shared" si="6"/>
        <v>16004478</v>
      </c>
      <c r="G74" s="56">
        <f t="shared" si="6"/>
        <v>15644947</v>
      </c>
      <c r="H74" s="56">
        <f t="shared" si="6"/>
        <v>14810075</v>
      </c>
      <c r="I74" s="56">
        <f t="shared" si="6"/>
        <v>14542821</v>
      </c>
      <c r="J74" s="56">
        <f t="shared" si="6"/>
        <v>13278113</v>
      </c>
      <c r="K74" s="56">
        <v>11492007</v>
      </c>
      <c r="L74" s="56">
        <v>11835414</v>
      </c>
      <c r="M74" s="56">
        <v>11998410</v>
      </c>
      <c r="N74" s="56">
        <v>12770214</v>
      </c>
      <c r="O74" s="56">
        <v>11833744</v>
      </c>
      <c r="P74" s="56">
        <v>10458094</v>
      </c>
      <c r="Q74" s="56">
        <v>7504810</v>
      </c>
    </row>
    <row r="75" spans="1:19" x14ac:dyDescent="0.2">
      <c r="A75" s="54" t="s">
        <v>149</v>
      </c>
      <c r="B75" s="55" t="s">
        <v>399</v>
      </c>
      <c r="C75" s="56">
        <v>14411340</v>
      </c>
      <c r="D75" s="56">
        <v>14058570</v>
      </c>
      <c r="E75" s="56">
        <v>14097000</v>
      </c>
      <c r="F75" s="56">
        <v>13720000</v>
      </c>
      <c r="G75" s="56">
        <v>13410700</v>
      </c>
      <c r="H75" s="56">
        <v>12695300</v>
      </c>
      <c r="I75" s="56">
        <v>12468000</v>
      </c>
      <c r="J75" s="56">
        <v>11382000</v>
      </c>
      <c r="K75" s="56">
        <v>9707000</v>
      </c>
      <c r="L75" s="56">
        <v>10292000</v>
      </c>
      <c r="M75" s="56">
        <v>10423600</v>
      </c>
      <c r="N75" s="56">
        <v>10926200</v>
      </c>
      <c r="O75" s="56">
        <v>9723700</v>
      </c>
      <c r="P75" s="56">
        <v>8066000</v>
      </c>
      <c r="Q75" s="56">
        <v>5870000</v>
      </c>
      <c r="S75" s="355"/>
    </row>
    <row r="76" spans="1:19" x14ac:dyDescent="0.2">
      <c r="A76" s="54" t="s">
        <v>150</v>
      </c>
      <c r="B76" s="55" t="s">
        <v>400</v>
      </c>
      <c r="C76" s="56"/>
      <c r="D76" s="56"/>
      <c r="E76" s="56"/>
      <c r="F76" s="56"/>
      <c r="G76" s="56"/>
      <c r="H76" s="56"/>
      <c r="I76" s="56"/>
      <c r="J76" s="56"/>
      <c r="K76" s="56">
        <v>240000</v>
      </c>
      <c r="L76" s="49">
        <v>0</v>
      </c>
      <c r="M76" s="49">
        <v>0</v>
      </c>
      <c r="N76" s="49">
        <v>0</v>
      </c>
    </row>
    <row r="77" spans="1:19" x14ac:dyDescent="0.2">
      <c r="A77" s="54" t="s">
        <v>151</v>
      </c>
      <c r="B77" s="55" t="s">
        <v>401</v>
      </c>
      <c r="C77" s="56">
        <v>2406117</v>
      </c>
      <c r="D77" s="56">
        <v>2342052</v>
      </c>
      <c r="E77" s="56">
        <v>2343932</v>
      </c>
      <c r="F77" s="56">
        <v>2284478</v>
      </c>
      <c r="G77" s="56">
        <v>2234247</v>
      </c>
      <c r="H77" s="56">
        <v>2114775</v>
      </c>
      <c r="I77" s="56">
        <v>2074821</v>
      </c>
      <c r="J77" s="56">
        <v>1896113</v>
      </c>
      <c r="K77" s="56">
        <v>1545007</v>
      </c>
      <c r="L77" s="56">
        <v>1543414</v>
      </c>
      <c r="M77" s="56">
        <v>1574810</v>
      </c>
      <c r="N77" s="56">
        <v>1844014</v>
      </c>
      <c r="O77" s="56">
        <v>2110044</v>
      </c>
      <c r="P77" s="56">
        <v>2392094</v>
      </c>
      <c r="Q77" s="56">
        <v>1634810</v>
      </c>
    </row>
    <row r="78" spans="1:19" x14ac:dyDescent="0.2">
      <c r="A78" s="54" t="s">
        <v>138</v>
      </c>
      <c r="B78" s="55" t="s">
        <v>402</v>
      </c>
      <c r="C78" s="56">
        <v>564620</v>
      </c>
      <c r="D78" s="56">
        <v>562007</v>
      </c>
      <c r="E78" s="56">
        <f>504416+375035</f>
        <v>879451</v>
      </c>
      <c r="F78" s="56">
        <f>321967+8713</f>
        <v>330680</v>
      </c>
      <c r="G78" s="56">
        <f>351443+10700</f>
        <v>362143</v>
      </c>
      <c r="H78" s="56">
        <f>244870+107808</f>
        <v>352678</v>
      </c>
      <c r="I78" s="56">
        <f>97860+107508</f>
        <v>205368</v>
      </c>
      <c r="J78" s="56">
        <f>138263+124736</f>
        <v>262999</v>
      </c>
      <c r="K78" s="56">
        <v>203368</v>
      </c>
      <c r="L78" s="56">
        <v>176499</v>
      </c>
      <c r="M78" s="56">
        <v>443546</v>
      </c>
      <c r="N78" s="56">
        <v>434053</v>
      </c>
      <c r="O78" s="56">
        <v>300448</v>
      </c>
      <c r="P78" s="56">
        <v>388700</v>
      </c>
      <c r="Q78" s="56">
        <v>389060</v>
      </c>
    </row>
    <row r="79" spans="1:19" x14ac:dyDescent="0.2">
      <c r="A79" s="54" t="s">
        <v>146</v>
      </c>
      <c r="B79" s="55" t="s">
        <v>403</v>
      </c>
      <c r="C79" s="56">
        <f>+C80+C81+C82</f>
        <v>24111</v>
      </c>
      <c r="D79" s="56">
        <f>+D80+D81+D82</f>
        <v>4108</v>
      </c>
      <c r="E79" s="56">
        <f t="shared" ref="E79:J79" si="7">+E80+E81+E82</f>
        <v>28532</v>
      </c>
      <c r="F79" s="56">
        <f t="shared" si="7"/>
        <v>0</v>
      </c>
      <c r="G79" s="56">
        <f t="shared" si="7"/>
        <v>263111</v>
      </c>
      <c r="H79" s="56">
        <f t="shared" si="7"/>
        <v>3197</v>
      </c>
      <c r="I79" s="56">
        <f t="shared" si="7"/>
        <v>0</v>
      </c>
      <c r="J79" s="56">
        <f t="shared" si="7"/>
        <v>50043</v>
      </c>
      <c r="K79" s="56">
        <v>857366</v>
      </c>
      <c r="L79" s="56">
        <v>496782</v>
      </c>
      <c r="M79" s="56">
        <v>557238</v>
      </c>
      <c r="N79" s="56">
        <v>50310</v>
      </c>
      <c r="O79" s="56">
        <v>892593</v>
      </c>
      <c r="P79" s="56"/>
      <c r="Q79" s="56">
        <v>450000</v>
      </c>
    </row>
    <row r="80" spans="1:19" x14ac:dyDescent="0.2">
      <c r="A80" s="54" t="s">
        <v>149</v>
      </c>
      <c r="B80" s="55" t="s">
        <v>404</v>
      </c>
      <c r="C80" s="56">
        <v>0</v>
      </c>
      <c r="D80" s="56">
        <v>0</v>
      </c>
      <c r="E80" s="56">
        <v>0</v>
      </c>
      <c r="F80" s="56">
        <v>0</v>
      </c>
      <c r="G80" s="56">
        <v>0</v>
      </c>
      <c r="H80" s="56">
        <v>0</v>
      </c>
      <c r="I80" s="56">
        <v>0</v>
      </c>
      <c r="J80" s="56">
        <v>0</v>
      </c>
      <c r="K80" s="56">
        <v>0</v>
      </c>
      <c r="L80" s="56">
        <v>396782</v>
      </c>
      <c r="M80" s="56">
        <v>126000</v>
      </c>
      <c r="N80" s="56"/>
      <c r="O80" s="56"/>
      <c r="P80" s="56"/>
      <c r="Q80" s="56">
        <v>450000</v>
      </c>
    </row>
    <row r="81" spans="1:17" x14ac:dyDescent="0.2">
      <c r="A81" s="54" t="s">
        <v>150</v>
      </c>
      <c r="B81" s="55" t="s">
        <v>405</v>
      </c>
      <c r="C81" s="56">
        <v>0</v>
      </c>
      <c r="D81" s="56">
        <v>0</v>
      </c>
      <c r="E81" s="56">
        <v>0</v>
      </c>
      <c r="F81" s="56">
        <v>0</v>
      </c>
      <c r="G81" s="56">
        <v>0</v>
      </c>
      <c r="H81" s="56">
        <v>0</v>
      </c>
      <c r="I81" s="56">
        <v>0</v>
      </c>
      <c r="J81" s="56">
        <v>0</v>
      </c>
      <c r="K81" s="56">
        <v>0</v>
      </c>
    </row>
    <row r="82" spans="1:17" x14ac:dyDescent="0.2">
      <c r="A82" s="54" t="s">
        <v>151</v>
      </c>
      <c r="B82" s="293" t="s">
        <v>580</v>
      </c>
      <c r="C82" s="56">
        <v>24111</v>
      </c>
      <c r="D82" s="56">
        <v>4108</v>
      </c>
      <c r="E82" s="56">
        <v>28532</v>
      </c>
      <c r="F82" s="56">
        <v>0</v>
      </c>
      <c r="G82" s="56">
        <v>263111</v>
      </c>
      <c r="H82" s="56">
        <v>3197</v>
      </c>
      <c r="I82" s="56">
        <v>0</v>
      </c>
      <c r="J82" s="56">
        <v>50043</v>
      </c>
      <c r="K82" s="56">
        <v>857366</v>
      </c>
      <c r="L82" s="56">
        <v>100000</v>
      </c>
      <c r="M82" s="56">
        <v>431238</v>
      </c>
      <c r="N82" s="56">
        <v>50310</v>
      </c>
      <c r="O82" s="56">
        <v>892593</v>
      </c>
      <c r="P82" s="56"/>
      <c r="Q82" s="56"/>
    </row>
    <row r="83" spans="1:17" x14ac:dyDescent="0.2">
      <c r="A83" s="54" t="s">
        <v>147</v>
      </c>
      <c r="B83" s="55" t="s">
        <v>406</v>
      </c>
      <c r="C83" s="56">
        <f t="shared" ref="C83:J83" si="8">+C84</f>
        <v>4148445</v>
      </c>
      <c r="D83" s="56">
        <f t="shared" si="8"/>
        <v>4837274</v>
      </c>
      <c r="E83" s="56">
        <f t="shared" si="8"/>
        <v>7443636</v>
      </c>
      <c r="F83" s="56">
        <f t="shared" si="8"/>
        <v>9080994</v>
      </c>
      <c r="G83" s="56">
        <f t="shared" si="8"/>
        <v>8565571</v>
      </c>
      <c r="H83" s="56">
        <f t="shared" si="8"/>
        <v>1827548</v>
      </c>
      <c r="I83" s="56">
        <f t="shared" si="8"/>
        <v>2556689</v>
      </c>
      <c r="J83" s="56">
        <f t="shared" si="8"/>
        <v>3140340</v>
      </c>
      <c r="K83" s="56">
        <v>2703978</v>
      </c>
      <c r="L83" s="56">
        <v>3766337</v>
      </c>
      <c r="M83" s="56">
        <v>6100456</v>
      </c>
      <c r="N83" s="56">
        <v>2969786</v>
      </c>
      <c r="O83" s="56">
        <v>1142187</v>
      </c>
      <c r="P83" s="56">
        <v>569256</v>
      </c>
      <c r="Q83" s="56">
        <v>960000</v>
      </c>
    </row>
    <row r="84" spans="1:17" x14ac:dyDescent="0.2">
      <c r="A84" s="54" t="s">
        <v>149</v>
      </c>
      <c r="B84" s="55" t="s">
        <v>407</v>
      </c>
      <c r="C84" s="56">
        <v>4148445</v>
      </c>
      <c r="D84" s="56">
        <v>4837274</v>
      </c>
      <c r="E84" s="56">
        <v>7443636</v>
      </c>
      <c r="F84" s="56">
        <v>9080994</v>
      </c>
      <c r="G84" s="56">
        <v>8565571</v>
      </c>
      <c r="H84" s="56">
        <v>1827548</v>
      </c>
      <c r="I84" s="56">
        <v>2556689</v>
      </c>
      <c r="J84" s="56">
        <v>3140340</v>
      </c>
      <c r="K84" s="56">
        <v>2703978</v>
      </c>
      <c r="L84" s="56">
        <v>3766337</v>
      </c>
      <c r="M84" s="56">
        <v>6100456</v>
      </c>
      <c r="N84" s="56">
        <v>2969786</v>
      </c>
      <c r="O84" s="56">
        <v>1142187</v>
      </c>
      <c r="P84" s="56">
        <v>569256</v>
      </c>
      <c r="Q84" s="56">
        <v>960000</v>
      </c>
    </row>
    <row r="85" spans="1:17" x14ac:dyDescent="0.2">
      <c r="A85" s="54" t="s">
        <v>150</v>
      </c>
      <c r="B85" s="55" t="s">
        <v>408</v>
      </c>
    </row>
    <row r="86" spans="1:17" x14ac:dyDescent="0.2">
      <c r="A86" s="54" t="s">
        <v>151</v>
      </c>
      <c r="B86" s="55" t="s">
        <v>409</v>
      </c>
    </row>
    <row r="87" spans="1:17" x14ac:dyDescent="0.2">
      <c r="A87" s="54" t="s">
        <v>153</v>
      </c>
      <c r="B87" s="55" t="s">
        <v>143</v>
      </c>
    </row>
    <row r="88" spans="1:17" x14ac:dyDescent="0.2">
      <c r="A88" s="54" t="s">
        <v>154</v>
      </c>
      <c r="B88" s="55" t="s">
        <v>410</v>
      </c>
    </row>
    <row r="89" spans="1:17" x14ac:dyDescent="0.2">
      <c r="A89" s="54" t="s">
        <v>163</v>
      </c>
      <c r="B89" s="55" t="s">
        <v>112</v>
      </c>
    </row>
    <row r="90" spans="1:17" x14ac:dyDescent="0.2">
      <c r="B90" s="55" t="s">
        <v>375</v>
      </c>
      <c r="C90" s="56">
        <f>+C66</f>
        <v>45449381</v>
      </c>
      <c r="D90" s="56">
        <f>+D66</f>
        <v>53369161</v>
      </c>
      <c r="E90" s="56">
        <f t="shared" ref="E90:J90" si="9">+E66</f>
        <v>50707987.549999997</v>
      </c>
      <c r="F90" s="56">
        <f t="shared" si="9"/>
        <v>48587377</v>
      </c>
      <c r="G90" s="56">
        <f t="shared" si="9"/>
        <v>49168449</v>
      </c>
      <c r="H90" s="56">
        <f t="shared" si="9"/>
        <v>41131527</v>
      </c>
      <c r="I90" s="56">
        <f t="shared" si="9"/>
        <v>45743352.900000006</v>
      </c>
      <c r="J90" s="56">
        <f t="shared" si="9"/>
        <v>60958592</v>
      </c>
      <c r="K90" s="56">
        <v>46274948</v>
      </c>
      <c r="L90" s="56">
        <v>54741665</v>
      </c>
      <c r="M90" s="56">
        <v>54464327</v>
      </c>
      <c r="N90" s="56">
        <v>33681801</v>
      </c>
      <c r="O90" s="56">
        <v>31022540</v>
      </c>
      <c r="P90" s="56">
        <v>26354908</v>
      </c>
      <c r="Q90" s="56">
        <v>23248168</v>
      </c>
    </row>
    <row r="91" spans="1:17" x14ac:dyDescent="0.2">
      <c r="A91" s="54" t="s">
        <v>155</v>
      </c>
      <c r="B91" s="55" t="s">
        <v>411</v>
      </c>
      <c r="C91" s="65">
        <f>SUM(C92:C95)</f>
        <v>265000</v>
      </c>
      <c r="D91" s="65">
        <f>SUM(D92:D95)</f>
        <v>265000</v>
      </c>
      <c r="E91" s="65">
        <f t="shared" ref="E91:J91" si="10">SUM(E92:E95)</f>
        <v>0</v>
      </c>
      <c r="F91" s="65">
        <f t="shared" si="10"/>
        <v>0</v>
      </c>
      <c r="G91" s="65">
        <f t="shared" si="10"/>
        <v>0</v>
      </c>
      <c r="H91" s="65">
        <f t="shared" si="10"/>
        <v>35238</v>
      </c>
      <c r="I91" s="65">
        <f t="shared" si="10"/>
        <v>-1291.0500000000002</v>
      </c>
      <c r="J91" s="65">
        <f t="shared" si="10"/>
        <v>385347</v>
      </c>
      <c r="K91" s="65">
        <v>2544395</v>
      </c>
      <c r="L91" s="65">
        <v>744122</v>
      </c>
      <c r="M91" s="65">
        <v>689052</v>
      </c>
      <c r="N91" s="65">
        <v>921132</v>
      </c>
      <c r="O91" s="65">
        <v>1687669</v>
      </c>
      <c r="P91" s="65">
        <v>1215760</v>
      </c>
      <c r="Q91" s="65">
        <v>512667</v>
      </c>
    </row>
    <row r="92" spans="1:17" x14ac:dyDescent="0.2">
      <c r="A92" s="54" t="s">
        <v>148</v>
      </c>
      <c r="B92" s="55" t="s">
        <v>412</v>
      </c>
      <c r="C92" s="56">
        <v>265000</v>
      </c>
      <c r="D92" s="56">
        <v>265000</v>
      </c>
      <c r="E92" s="56"/>
      <c r="F92" s="56"/>
      <c r="G92" s="56"/>
      <c r="H92" s="56">
        <v>35238</v>
      </c>
      <c r="I92" s="56">
        <v>0</v>
      </c>
      <c r="J92" s="56">
        <v>350000</v>
      </c>
      <c r="K92" s="56">
        <v>2544395</v>
      </c>
      <c r="L92" s="56">
        <v>700000</v>
      </c>
      <c r="M92" s="56">
        <v>350000</v>
      </c>
      <c r="N92" s="56">
        <v>921132</v>
      </c>
      <c r="O92" s="56">
        <v>1685131</v>
      </c>
      <c r="P92" s="56">
        <v>1151731</v>
      </c>
      <c r="Q92" s="56">
        <v>464667</v>
      </c>
    </row>
    <row r="93" spans="1:17" x14ac:dyDescent="0.2">
      <c r="A93" s="54" t="s">
        <v>152</v>
      </c>
      <c r="B93" s="55" t="s">
        <v>413</v>
      </c>
      <c r="C93" s="357"/>
      <c r="D93" s="357"/>
      <c r="E93" s="357"/>
      <c r="F93" s="357"/>
      <c r="G93" s="357"/>
      <c r="H93" s="357"/>
      <c r="I93" s="357"/>
      <c r="J93" s="357"/>
      <c r="K93" s="357"/>
      <c r="L93" s="357"/>
    </row>
    <row r="94" spans="1:17" x14ac:dyDescent="0.2">
      <c r="A94" s="54" t="s">
        <v>156</v>
      </c>
      <c r="B94" s="55" t="s">
        <v>414</v>
      </c>
      <c r="C94" s="56">
        <v>0</v>
      </c>
      <c r="D94" s="56">
        <v>0</v>
      </c>
      <c r="E94" s="56">
        <v>0</v>
      </c>
      <c r="F94" s="56">
        <v>0</v>
      </c>
      <c r="G94" s="56">
        <v>0</v>
      </c>
      <c r="H94" s="56">
        <v>0</v>
      </c>
      <c r="I94" s="56">
        <f>610.34+385.24-2285.69-0.94</f>
        <v>-1291.0500000000002</v>
      </c>
      <c r="J94" s="56">
        <f>39367-4020</f>
        <v>35347</v>
      </c>
      <c r="K94" s="56">
        <v>0</v>
      </c>
      <c r="L94" s="56">
        <v>44122</v>
      </c>
      <c r="M94" s="56">
        <v>339052</v>
      </c>
      <c r="N94" s="56"/>
      <c r="O94" s="56">
        <v>2538</v>
      </c>
      <c r="P94" s="56">
        <v>9029</v>
      </c>
      <c r="Q94" s="56"/>
    </row>
    <row r="95" spans="1:17" x14ac:dyDescent="0.2">
      <c r="A95" s="54" t="s">
        <v>157</v>
      </c>
      <c r="B95" s="55" t="s">
        <v>415</v>
      </c>
    </row>
    <row r="96" spans="1:17" x14ac:dyDescent="0.2">
      <c r="A96" s="54" t="s">
        <v>158</v>
      </c>
      <c r="B96" s="55" t="s">
        <v>416</v>
      </c>
      <c r="P96" s="56">
        <v>55000</v>
      </c>
      <c r="Q96" s="56">
        <v>48000</v>
      </c>
    </row>
    <row r="97" spans="1:20" x14ac:dyDescent="0.2">
      <c r="A97" s="54" t="s">
        <v>159</v>
      </c>
      <c r="B97" s="55" t="s">
        <v>112</v>
      </c>
      <c r="C97" s="355"/>
      <c r="D97" s="355"/>
      <c r="E97" s="355"/>
      <c r="F97" s="355"/>
      <c r="G97" s="355"/>
      <c r="H97" s="355"/>
      <c r="I97" s="355"/>
      <c r="J97" s="355"/>
      <c r="K97" s="355"/>
      <c r="L97" s="355"/>
    </row>
    <row r="98" spans="1:20" x14ac:dyDescent="0.2">
      <c r="B98" s="55" t="s">
        <v>417</v>
      </c>
      <c r="C98" s="65">
        <f>+C90+C91</f>
        <v>45714381</v>
      </c>
      <c r="D98" s="65">
        <f>+D90+D91</f>
        <v>53634161</v>
      </c>
      <c r="E98" s="65">
        <f t="shared" ref="E98:J98" si="11">+E90+E91</f>
        <v>50707987.549999997</v>
      </c>
      <c r="F98" s="65">
        <f t="shared" si="11"/>
        <v>48587377</v>
      </c>
      <c r="G98" s="65">
        <f t="shared" si="11"/>
        <v>49168449</v>
      </c>
      <c r="H98" s="65">
        <f t="shared" si="11"/>
        <v>41166765</v>
      </c>
      <c r="I98" s="65">
        <f t="shared" si="11"/>
        <v>45742061.850000009</v>
      </c>
      <c r="J98" s="65">
        <f t="shared" si="11"/>
        <v>61343939</v>
      </c>
      <c r="K98" s="65">
        <v>48819343</v>
      </c>
      <c r="L98" s="65">
        <v>55485787</v>
      </c>
      <c r="M98" s="65">
        <v>55153379</v>
      </c>
      <c r="N98" s="65">
        <v>34602933</v>
      </c>
      <c r="O98" s="65">
        <v>32710209</v>
      </c>
      <c r="P98" s="65">
        <v>27570668</v>
      </c>
      <c r="Q98" s="65">
        <v>23760835</v>
      </c>
    </row>
    <row r="99" spans="1:20" x14ac:dyDescent="0.2">
      <c r="B99" s="55" t="s">
        <v>418</v>
      </c>
      <c r="C99" s="56">
        <f>+C43-C98</f>
        <v>4517586</v>
      </c>
      <c r="D99" s="56">
        <f>+D43-D98</f>
        <v>5088089</v>
      </c>
      <c r="E99" s="56">
        <f t="shared" ref="E99:J99" si="12">+E43-E98</f>
        <v>8421552.450000003</v>
      </c>
      <c r="F99" s="56">
        <f t="shared" si="12"/>
        <v>8481363</v>
      </c>
      <c r="G99" s="56">
        <f t="shared" si="12"/>
        <v>2897669</v>
      </c>
      <c r="H99" s="56">
        <f t="shared" si="12"/>
        <v>1736680</v>
      </c>
      <c r="I99" s="56">
        <f t="shared" si="12"/>
        <v>3152192.1499999911</v>
      </c>
      <c r="J99" s="56">
        <f t="shared" si="12"/>
        <v>3833879</v>
      </c>
      <c r="K99" s="56">
        <v>3057933</v>
      </c>
      <c r="L99" s="56">
        <v>3630767</v>
      </c>
      <c r="M99" s="56">
        <v>3114356</v>
      </c>
      <c r="N99" s="56">
        <v>-1803182</v>
      </c>
      <c r="O99" s="56">
        <v>2556581</v>
      </c>
      <c r="P99" s="56">
        <v>2220606</v>
      </c>
      <c r="Q99" s="56">
        <v>2530705</v>
      </c>
    </row>
    <row r="100" spans="1:20" x14ac:dyDescent="0.2">
      <c r="A100" s="54" t="s">
        <v>161</v>
      </c>
      <c r="B100" s="55" t="s">
        <v>419</v>
      </c>
      <c r="C100" s="357"/>
      <c r="D100" s="357"/>
      <c r="E100" s="357"/>
      <c r="F100" s="357"/>
      <c r="G100" s="357"/>
      <c r="H100" s="357"/>
      <c r="I100" s="357"/>
      <c r="J100" s="357"/>
      <c r="K100" s="357"/>
      <c r="L100" s="357"/>
    </row>
    <row r="101" spans="1:20" x14ac:dyDescent="0.2">
      <c r="B101" s="55" t="s">
        <v>386</v>
      </c>
    </row>
    <row r="102" spans="1:20" x14ac:dyDescent="0.2">
      <c r="A102" s="54" t="s">
        <v>162</v>
      </c>
      <c r="B102" s="55" t="s">
        <v>420</v>
      </c>
      <c r="C102" s="56">
        <f>+C99</f>
        <v>4517586</v>
      </c>
      <c r="D102" s="56">
        <f>+D99</f>
        <v>5088089</v>
      </c>
      <c r="E102" s="56">
        <f t="shared" ref="E102:J102" si="13">+E99</f>
        <v>8421552.450000003</v>
      </c>
      <c r="F102" s="56">
        <f t="shared" si="13"/>
        <v>8481363</v>
      </c>
      <c r="G102" s="56">
        <f t="shared" si="13"/>
        <v>2897669</v>
      </c>
      <c r="H102" s="56">
        <f t="shared" si="13"/>
        <v>1736680</v>
      </c>
      <c r="I102" s="56">
        <f t="shared" si="13"/>
        <v>3152192.1499999911</v>
      </c>
      <c r="J102" s="56">
        <f t="shared" si="13"/>
        <v>3833879</v>
      </c>
      <c r="K102" s="56">
        <v>3057933</v>
      </c>
      <c r="L102" s="56">
        <v>3630767</v>
      </c>
      <c r="M102" s="56">
        <v>3114356</v>
      </c>
      <c r="N102" s="56">
        <v>-1803182</v>
      </c>
      <c r="O102" s="56">
        <v>2556581</v>
      </c>
      <c r="P102" s="56">
        <v>2220606</v>
      </c>
      <c r="Q102" s="56">
        <v>2530705</v>
      </c>
      <c r="T102" s="418"/>
    </row>
    <row r="103" spans="1:20" x14ac:dyDescent="0.2">
      <c r="A103" s="54" t="s">
        <v>421</v>
      </c>
      <c r="B103" s="55" t="s">
        <v>422</v>
      </c>
      <c r="C103" s="56">
        <f>+(C102+C79)*15%</f>
        <v>681254.54999999993</v>
      </c>
      <c r="D103" s="56">
        <f>+(D102+D79)*15%</f>
        <v>763829.54999999993</v>
      </c>
      <c r="E103" s="56">
        <f>+(E102+E79)*15%</f>
        <v>1267512.6675000004</v>
      </c>
      <c r="F103" s="56">
        <f>+(F102)*15%</f>
        <v>1272204.45</v>
      </c>
      <c r="G103" s="56">
        <f>+(G102+263111)*15%</f>
        <v>474117</v>
      </c>
      <c r="H103" s="56">
        <f>+(H102+H79+107508+350000)*15%</f>
        <v>329607.75</v>
      </c>
      <c r="I103" s="56">
        <f>+(I102+I79)*15%</f>
        <v>472828.82249999861</v>
      </c>
      <c r="J103" s="56">
        <f>+(J102+J79)*10%</f>
        <v>388392.2</v>
      </c>
      <c r="K103" s="56">
        <v>391530</v>
      </c>
      <c r="L103" s="56">
        <v>373077</v>
      </c>
      <c r="M103" s="56">
        <v>354559</v>
      </c>
      <c r="N103" s="56">
        <v>271514</v>
      </c>
      <c r="O103" s="56">
        <v>344917</v>
      </c>
      <c r="P103" s="56">
        <v>444121</v>
      </c>
      <c r="Q103" s="56">
        <v>506141</v>
      </c>
    </row>
    <row r="104" spans="1:20" x14ac:dyDescent="0.2">
      <c r="A104" s="54" t="s">
        <v>149</v>
      </c>
      <c r="B104" s="55" t="s">
        <v>423</v>
      </c>
      <c r="C104" s="65">
        <f>+C103</f>
        <v>681254.54999999993</v>
      </c>
      <c r="D104" s="65">
        <f>+D103</f>
        <v>763829.54999999993</v>
      </c>
      <c r="E104" s="65">
        <f t="shared" ref="E104:J104" si="14">+E103</f>
        <v>1267512.6675000004</v>
      </c>
      <c r="F104" s="65">
        <f t="shared" si="14"/>
        <v>1272204.45</v>
      </c>
      <c r="G104" s="65">
        <f t="shared" si="14"/>
        <v>474117</v>
      </c>
      <c r="H104" s="65">
        <f t="shared" si="14"/>
        <v>329607.75</v>
      </c>
      <c r="I104" s="65">
        <f t="shared" si="14"/>
        <v>472828.82249999861</v>
      </c>
      <c r="J104" s="65">
        <f t="shared" si="14"/>
        <v>388392.2</v>
      </c>
      <c r="K104" s="65">
        <v>391530</v>
      </c>
      <c r="L104" s="65">
        <v>373077</v>
      </c>
      <c r="M104" s="65">
        <v>354559</v>
      </c>
      <c r="N104" s="65">
        <v>271514</v>
      </c>
      <c r="O104" s="65">
        <v>344917</v>
      </c>
      <c r="P104" s="65">
        <v>444121</v>
      </c>
      <c r="Q104" s="65">
        <v>506141</v>
      </c>
    </row>
    <row r="105" spans="1:20" x14ac:dyDescent="0.2">
      <c r="B105" s="55" t="s">
        <v>424</v>
      </c>
    </row>
    <row r="106" spans="1:20" x14ac:dyDescent="0.2">
      <c r="A106" s="54" t="s">
        <v>150</v>
      </c>
      <c r="B106" s="55" t="s">
        <v>425</v>
      </c>
    </row>
    <row r="107" spans="1:20" x14ac:dyDescent="0.2">
      <c r="A107" s="54" t="s">
        <v>426</v>
      </c>
      <c r="B107" s="55" t="s">
        <v>427</v>
      </c>
      <c r="C107" s="65">
        <f>+C102-C104</f>
        <v>3836331.45</v>
      </c>
      <c r="D107" s="65">
        <f>+D102-D104</f>
        <v>4324259.45</v>
      </c>
      <c r="E107" s="65">
        <f t="shared" ref="E107:J107" si="15">+E102-E104</f>
        <v>7154039.7825000025</v>
      </c>
      <c r="F107" s="65">
        <f t="shared" si="15"/>
        <v>7209158.5499999998</v>
      </c>
      <c r="G107" s="65">
        <f t="shared" si="15"/>
        <v>2423552</v>
      </c>
      <c r="H107" s="65">
        <f t="shared" si="15"/>
        <v>1407072.25</v>
      </c>
      <c r="I107" s="65">
        <f t="shared" si="15"/>
        <v>2679363.3274999922</v>
      </c>
      <c r="J107" s="65">
        <f t="shared" si="15"/>
        <v>3445486.8</v>
      </c>
      <c r="K107" s="65">
        <v>2666403</v>
      </c>
      <c r="L107" s="65">
        <v>3257690</v>
      </c>
      <c r="M107" s="65">
        <v>2759796</v>
      </c>
      <c r="N107" s="65">
        <v>-2074696</v>
      </c>
      <c r="O107" s="65">
        <v>2211664</v>
      </c>
      <c r="P107" s="65">
        <v>1776485</v>
      </c>
      <c r="Q107" s="65">
        <v>2024564</v>
      </c>
    </row>
    <row r="108" spans="1:20" x14ac:dyDescent="0.2">
      <c r="C108" s="357"/>
      <c r="D108" s="357"/>
      <c r="E108" s="357"/>
      <c r="F108" s="357"/>
      <c r="G108" s="357"/>
      <c r="H108" s="357"/>
      <c r="I108" s="357"/>
      <c r="J108" s="357"/>
      <c r="K108" s="357"/>
      <c r="L108" s="357"/>
    </row>
    <row r="109" spans="1:20" x14ac:dyDescent="0.2">
      <c r="C109" s="355"/>
      <c r="D109" s="355"/>
      <c r="E109" s="355"/>
      <c r="F109" s="355"/>
      <c r="G109" s="355"/>
      <c r="H109" s="355"/>
      <c r="I109" s="355"/>
      <c r="J109" s="355"/>
      <c r="K109" s="355"/>
      <c r="L109" s="355"/>
    </row>
    <row r="110" spans="1:20" x14ac:dyDescent="0.2">
      <c r="C110" s="573"/>
    </row>
    <row r="111" spans="1:20" x14ac:dyDescent="0.2">
      <c r="C111" s="355"/>
      <c r="D111" s="355"/>
      <c r="E111" s="355"/>
    </row>
    <row r="112" spans="1:20" ht="13.5" x14ac:dyDescent="0.2">
      <c r="A112" s="57"/>
    </row>
  </sheetData>
  <phoneticPr fontId="11" type="noConversion"/>
  <pageMargins left="0.16944444444444445" right="0.1" top="0.4" bottom="0.29930555555555555" header="0.5" footer="0.5"/>
  <pageSetup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5"/>
  <sheetViews>
    <sheetView topLeftCell="A133" workbookViewId="0">
      <selection activeCell="C175" sqref="C175"/>
    </sheetView>
  </sheetViews>
  <sheetFormatPr defaultRowHeight="12.75" x14ac:dyDescent="0.2"/>
  <cols>
    <col min="1" max="1" width="8.28515625" customWidth="1"/>
    <col min="2" max="2" width="8.85546875" customWidth="1"/>
    <col min="3" max="3" width="14.140625" customWidth="1"/>
    <col min="4" max="4" width="13.28515625" customWidth="1"/>
    <col min="5" max="5" width="12.28515625" customWidth="1"/>
    <col min="6" max="7" width="12" customWidth="1"/>
    <col min="8" max="8" width="12.85546875" customWidth="1"/>
    <col min="9" max="9" width="12" customWidth="1"/>
    <col min="10" max="10" width="9.7109375" customWidth="1"/>
    <col min="11" max="11" width="12.28515625" customWidth="1"/>
    <col min="12" max="12" width="11.42578125" customWidth="1"/>
    <col min="13" max="13" width="13.28515625" customWidth="1"/>
    <col min="14" max="14" width="10.140625" customWidth="1"/>
    <col min="15" max="15" width="11.140625" customWidth="1"/>
    <col min="16" max="16" width="13.5703125" customWidth="1"/>
  </cols>
  <sheetData>
    <row r="1" spans="1:16" ht="15" hidden="1" x14ac:dyDescent="0.25">
      <c r="A1" s="426" t="s">
        <v>653</v>
      </c>
    </row>
    <row r="2" spans="1:16" ht="13.5" hidden="1" thickBot="1" x14ac:dyDescent="0.25">
      <c r="A2" s="493" t="s">
        <v>927</v>
      </c>
      <c r="B2" s="494"/>
      <c r="C2" s="492" t="s">
        <v>654</v>
      </c>
      <c r="D2" s="494"/>
      <c r="E2" s="494"/>
      <c r="F2" s="494"/>
      <c r="G2" s="492" t="s">
        <v>655</v>
      </c>
      <c r="H2" s="494"/>
      <c r="I2" s="594" t="s">
        <v>677</v>
      </c>
      <c r="J2" s="595"/>
      <c r="K2" s="594" t="s">
        <v>928</v>
      </c>
      <c r="L2" s="595"/>
      <c r="M2" s="594" t="s">
        <v>678</v>
      </c>
      <c r="N2" s="595"/>
      <c r="O2" s="494"/>
      <c r="P2" s="495" t="s">
        <v>656</v>
      </c>
    </row>
    <row r="3" spans="1:16" ht="15.75" hidden="1" thickBot="1" x14ac:dyDescent="0.3">
      <c r="A3" s="427" t="s">
        <v>657</v>
      </c>
      <c r="B3" s="428" t="s">
        <v>658</v>
      </c>
      <c r="C3" s="428" t="s">
        <v>659</v>
      </c>
      <c r="D3" s="429" t="s">
        <v>660</v>
      </c>
      <c r="E3" s="496"/>
      <c r="G3" s="427" t="s">
        <v>657</v>
      </c>
      <c r="H3" s="428" t="s">
        <v>661</v>
      </c>
      <c r="I3" s="428" t="s">
        <v>676</v>
      </c>
      <c r="J3" s="428" t="s">
        <v>660</v>
      </c>
      <c r="K3" s="428" t="s">
        <v>611</v>
      </c>
      <c r="L3" s="428" t="s">
        <v>660</v>
      </c>
      <c r="M3" s="428" t="s">
        <v>611</v>
      </c>
      <c r="N3" s="428" t="s">
        <v>660</v>
      </c>
      <c r="O3" s="490" t="s">
        <v>929</v>
      </c>
      <c r="P3" s="430" t="s">
        <v>660</v>
      </c>
    </row>
    <row r="4" spans="1:16" hidden="1" x14ac:dyDescent="0.2">
      <c r="A4" s="319" t="s">
        <v>662</v>
      </c>
      <c r="B4" s="431">
        <v>0</v>
      </c>
      <c r="C4" s="432">
        <v>2265130</v>
      </c>
      <c r="D4" s="433">
        <f>+C4*0.2</f>
        <v>453026</v>
      </c>
      <c r="E4" s="497"/>
      <c r="G4" s="434" t="s">
        <v>662</v>
      </c>
      <c r="H4" s="435">
        <v>235060</v>
      </c>
      <c r="I4" s="435">
        <v>0</v>
      </c>
      <c r="J4" s="436">
        <f>+I4*0.2</f>
        <v>0</v>
      </c>
      <c r="K4" s="435">
        <v>0</v>
      </c>
      <c r="L4" s="436">
        <f>+K4*0.2</f>
        <v>0</v>
      </c>
      <c r="M4" s="435">
        <v>1685250</v>
      </c>
      <c r="N4" s="436">
        <f>+M4*0.2</f>
        <v>337050</v>
      </c>
      <c r="O4" s="433">
        <f>+J4+L4+N4</f>
        <v>337050</v>
      </c>
      <c r="P4" s="433">
        <f>+D4-O4-34324</f>
        <v>81652</v>
      </c>
    </row>
    <row r="5" spans="1:16" hidden="1" x14ac:dyDescent="0.2">
      <c r="A5" s="303" t="s">
        <v>663</v>
      </c>
      <c r="B5" s="321">
        <v>0</v>
      </c>
      <c r="C5" s="437">
        <v>3321310</v>
      </c>
      <c r="D5" s="438">
        <f t="shared" ref="D5:D15" si="0">+C5*0.2</f>
        <v>664262</v>
      </c>
      <c r="E5" s="497"/>
      <c r="G5" s="439" t="s">
        <v>663</v>
      </c>
      <c r="H5" s="321">
        <v>613120</v>
      </c>
      <c r="I5" s="321">
        <v>98505</v>
      </c>
      <c r="J5" s="437">
        <f>+I5*0.2</f>
        <v>19701</v>
      </c>
      <c r="K5" s="321">
        <v>0</v>
      </c>
      <c r="L5" s="437">
        <f>+K5*0.2</f>
        <v>0</v>
      </c>
      <c r="M5" s="321">
        <v>3017550</v>
      </c>
      <c r="N5" s="437">
        <f>+M5*0.2</f>
        <v>603510</v>
      </c>
      <c r="O5" s="438">
        <f t="shared" ref="O5:O15" si="1">+J5+L5+N5</f>
        <v>623211</v>
      </c>
      <c r="P5" s="438">
        <f t="shared" ref="P5:P15" si="2">+D5-O5</f>
        <v>41051</v>
      </c>
    </row>
    <row r="6" spans="1:16" hidden="1" x14ac:dyDescent="0.2">
      <c r="A6" s="303" t="s">
        <v>664</v>
      </c>
      <c r="B6" s="321">
        <v>915000</v>
      </c>
      <c r="C6" s="437">
        <v>2888330</v>
      </c>
      <c r="D6" s="438">
        <f t="shared" si="0"/>
        <v>577666</v>
      </c>
      <c r="E6" s="497"/>
      <c r="G6" s="439" t="s">
        <v>664</v>
      </c>
      <c r="H6" s="321">
        <v>595198</v>
      </c>
      <c r="I6" s="321">
        <v>0</v>
      </c>
      <c r="J6" s="437">
        <f t="shared" ref="J6:J15" si="3">+I6*0.2</f>
        <v>0</v>
      </c>
      <c r="K6" s="321">
        <v>0</v>
      </c>
      <c r="L6" s="437">
        <f t="shared" ref="L6:L15" si="4">+K6*0.2</f>
        <v>0</v>
      </c>
      <c r="M6" s="321">
        <v>2143055</v>
      </c>
      <c r="N6" s="437">
        <f t="shared" ref="N6:N15" si="5">+M6*0.2</f>
        <v>428611</v>
      </c>
      <c r="O6" s="438">
        <f t="shared" si="1"/>
        <v>428611</v>
      </c>
      <c r="P6" s="438">
        <f t="shared" si="2"/>
        <v>149055</v>
      </c>
    </row>
    <row r="7" spans="1:16" hidden="1" x14ac:dyDescent="0.2">
      <c r="A7" s="303" t="s">
        <v>665</v>
      </c>
      <c r="B7" s="321">
        <v>0</v>
      </c>
      <c r="C7" s="437">
        <v>3039015</v>
      </c>
      <c r="D7" s="438">
        <f t="shared" si="0"/>
        <v>607803</v>
      </c>
      <c r="E7" s="497"/>
      <c r="G7" s="439" t="s">
        <v>665</v>
      </c>
      <c r="H7" s="321">
        <v>74807</v>
      </c>
      <c r="I7" s="321">
        <v>0</v>
      </c>
      <c r="J7" s="437">
        <f t="shared" si="3"/>
        <v>0</v>
      </c>
      <c r="K7" s="321">
        <v>0</v>
      </c>
      <c r="L7" s="437">
        <f t="shared" si="4"/>
        <v>0</v>
      </c>
      <c r="M7" s="321">
        <v>1922660</v>
      </c>
      <c r="N7" s="437">
        <f t="shared" si="5"/>
        <v>384532</v>
      </c>
      <c r="O7" s="438">
        <f t="shared" si="1"/>
        <v>384532</v>
      </c>
      <c r="P7" s="438">
        <f t="shared" si="2"/>
        <v>223271</v>
      </c>
    </row>
    <row r="8" spans="1:16" hidden="1" x14ac:dyDescent="0.2">
      <c r="A8" s="303" t="s">
        <v>666</v>
      </c>
      <c r="B8" s="321">
        <v>0</v>
      </c>
      <c r="C8" s="437">
        <v>2955815</v>
      </c>
      <c r="D8" s="438">
        <f t="shared" si="0"/>
        <v>591163</v>
      </c>
      <c r="E8" s="497"/>
      <c r="G8" s="439" t="s">
        <v>666</v>
      </c>
      <c r="H8" s="321">
        <v>496095</v>
      </c>
      <c r="I8" s="321">
        <v>0</v>
      </c>
      <c r="J8" s="437">
        <f t="shared" si="3"/>
        <v>0</v>
      </c>
      <c r="K8" s="321">
        <v>0</v>
      </c>
      <c r="L8" s="437">
        <f t="shared" si="4"/>
        <v>0</v>
      </c>
      <c r="M8" s="321">
        <v>1815230</v>
      </c>
      <c r="N8" s="437">
        <f t="shared" si="5"/>
        <v>363046</v>
      </c>
      <c r="O8" s="438">
        <f t="shared" si="1"/>
        <v>363046</v>
      </c>
      <c r="P8" s="438">
        <f t="shared" si="2"/>
        <v>228117</v>
      </c>
    </row>
    <row r="9" spans="1:16" hidden="1" x14ac:dyDescent="0.2">
      <c r="A9" s="303" t="s">
        <v>667</v>
      </c>
      <c r="B9" s="321">
        <v>0</v>
      </c>
      <c r="C9" s="437">
        <v>3459950</v>
      </c>
      <c r="D9" s="438">
        <f t="shared" si="0"/>
        <v>691990</v>
      </c>
      <c r="E9" s="497"/>
      <c r="G9" s="439" t="s">
        <v>667</v>
      </c>
      <c r="H9" s="321">
        <v>604249</v>
      </c>
      <c r="I9" s="321">
        <v>0</v>
      </c>
      <c r="J9" s="437">
        <f t="shared" si="3"/>
        <v>0</v>
      </c>
      <c r="K9" s="321">
        <v>0</v>
      </c>
      <c r="L9" s="437">
        <f t="shared" si="4"/>
        <v>0</v>
      </c>
      <c r="M9" s="321">
        <v>2690235</v>
      </c>
      <c r="N9" s="437">
        <f t="shared" si="5"/>
        <v>538047</v>
      </c>
      <c r="O9" s="438">
        <f t="shared" si="1"/>
        <v>538047</v>
      </c>
      <c r="P9" s="438">
        <f t="shared" si="2"/>
        <v>153943</v>
      </c>
    </row>
    <row r="10" spans="1:16" hidden="1" x14ac:dyDescent="0.2">
      <c r="A10" s="303" t="s">
        <v>668</v>
      </c>
      <c r="B10" s="321">
        <v>0</v>
      </c>
      <c r="C10" s="437">
        <v>2650085</v>
      </c>
      <c r="D10" s="438">
        <f t="shared" si="0"/>
        <v>530017</v>
      </c>
      <c r="E10" s="497"/>
      <c r="G10" s="439" t="s">
        <v>668</v>
      </c>
      <c r="H10" s="321">
        <v>132259</v>
      </c>
      <c r="I10" s="321">
        <v>0</v>
      </c>
      <c r="J10" s="437">
        <f t="shared" si="3"/>
        <v>0</v>
      </c>
      <c r="K10" s="321">
        <v>0</v>
      </c>
      <c r="L10" s="437">
        <f t="shared" si="4"/>
        <v>0</v>
      </c>
      <c r="M10" s="321">
        <v>1643710</v>
      </c>
      <c r="N10" s="437">
        <f t="shared" si="5"/>
        <v>328742</v>
      </c>
      <c r="O10" s="438">
        <f t="shared" si="1"/>
        <v>328742</v>
      </c>
      <c r="P10" s="438">
        <f t="shared" si="2"/>
        <v>201275</v>
      </c>
    </row>
    <row r="11" spans="1:16" hidden="1" x14ac:dyDescent="0.2">
      <c r="A11" s="303" t="s">
        <v>669</v>
      </c>
      <c r="B11" s="321">
        <v>0</v>
      </c>
      <c r="C11" s="437">
        <v>1904040</v>
      </c>
      <c r="D11" s="438">
        <f t="shared" si="0"/>
        <v>380808</v>
      </c>
      <c r="E11" s="497"/>
      <c r="G11" s="439" t="s">
        <v>669</v>
      </c>
      <c r="H11" s="321">
        <v>217595</v>
      </c>
      <c r="I11" s="321">
        <v>0</v>
      </c>
      <c r="J11" s="437">
        <f t="shared" si="3"/>
        <v>0</v>
      </c>
      <c r="K11" s="321">
        <v>73065</v>
      </c>
      <c r="L11" s="437">
        <f t="shared" si="4"/>
        <v>14613</v>
      </c>
      <c r="M11" s="321">
        <v>881155</v>
      </c>
      <c r="N11" s="437">
        <f t="shared" si="5"/>
        <v>176231</v>
      </c>
      <c r="O11" s="438">
        <f t="shared" si="1"/>
        <v>190844</v>
      </c>
      <c r="P11" s="438">
        <f t="shared" si="2"/>
        <v>189964</v>
      </c>
    </row>
    <row r="12" spans="1:16" hidden="1" x14ac:dyDescent="0.2">
      <c r="A12" s="303" t="s">
        <v>670</v>
      </c>
      <c r="B12" s="321">
        <v>0</v>
      </c>
      <c r="C12" s="437">
        <v>3259980</v>
      </c>
      <c r="D12" s="438">
        <f t="shared" si="0"/>
        <v>651996</v>
      </c>
      <c r="E12" s="497"/>
      <c r="G12" s="439" t="s">
        <v>670</v>
      </c>
      <c r="H12" s="321">
        <v>279775</v>
      </c>
      <c r="I12" s="321">
        <v>0</v>
      </c>
      <c r="J12" s="437">
        <f t="shared" si="3"/>
        <v>0</v>
      </c>
      <c r="K12" s="321">
        <v>0</v>
      </c>
      <c r="L12" s="437">
        <f t="shared" si="4"/>
        <v>0</v>
      </c>
      <c r="M12" s="321">
        <v>2325215</v>
      </c>
      <c r="N12" s="437">
        <f t="shared" si="5"/>
        <v>465043</v>
      </c>
      <c r="O12" s="438">
        <f t="shared" si="1"/>
        <v>465043</v>
      </c>
      <c r="P12" s="438">
        <f t="shared" si="2"/>
        <v>186953</v>
      </c>
    </row>
    <row r="13" spans="1:16" hidden="1" x14ac:dyDescent="0.2">
      <c r="A13" s="303" t="s">
        <v>671</v>
      </c>
      <c r="B13" s="321">
        <v>0</v>
      </c>
      <c r="C13" s="437">
        <v>3443100</v>
      </c>
      <c r="D13" s="438">
        <f t="shared" si="0"/>
        <v>688620</v>
      </c>
      <c r="E13" s="497"/>
      <c r="G13" s="439" t="s">
        <v>671</v>
      </c>
      <c r="H13" s="321">
        <v>349328</v>
      </c>
      <c r="I13" s="321">
        <v>0</v>
      </c>
      <c r="J13" s="437">
        <f t="shared" si="3"/>
        <v>0</v>
      </c>
      <c r="K13" s="321">
        <v>23335</v>
      </c>
      <c r="L13" s="437">
        <f t="shared" si="4"/>
        <v>4667</v>
      </c>
      <c r="M13" s="321">
        <v>1555395</v>
      </c>
      <c r="N13" s="437">
        <f t="shared" si="5"/>
        <v>311079</v>
      </c>
      <c r="O13" s="438">
        <f t="shared" si="1"/>
        <v>315746</v>
      </c>
      <c r="P13" s="438">
        <f t="shared" si="2"/>
        <v>372874</v>
      </c>
    </row>
    <row r="14" spans="1:16" hidden="1" x14ac:dyDescent="0.2">
      <c r="A14" s="303" t="s">
        <v>672</v>
      </c>
      <c r="B14" s="321">
        <v>0</v>
      </c>
      <c r="C14" s="437">
        <v>3422385</v>
      </c>
      <c r="D14" s="438">
        <f t="shared" si="0"/>
        <v>684477</v>
      </c>
      <c r="E14" s="497"/>
      <c r="G14" s="439" t="s">
        <v>672</v>
      </c>
      <c r="H14" s="321">
        <v>364022</v>
      </c>
      <c r="I14" s="321">
        <v>0</v>
      </c>
      <c r="J14" s="437">
        <f t="shared" si="3"/>
        <v>0</v>
      </c>
      <c r="K14" s="321">
        <v>0</v>
      </c>
      <c r="L14" s="437">
        <f t="shared" si="4"/>
        <v>0</v>
      </c>
      <c r="M14" s="321">
        <v>2013130</v>
      </c>
      <c r="N14" s="437">
        <f t="shared" si="5"/>
        <v>402626</v>
      </c>
      <c r="O14" s="438">
        <f t="shared" si="1"/>
        <v>402626</v>
      </c>
      <c r="P14" s="438">
        <f t="shared" si="2"/>
        <v>281851</v>
      </c>
    </row>
    <row r="15" spans="1:16" ht="13.5" hidden="1" thickBot="1" x14ac:dyDescent="0.25">
      <c r="A15" s="305" t="s">
        <v>673</v>
      </c>
      <c r="B15" s="440">
        <f>483000+5135140</f>
        <v>5618140</v>
      </c>
      <c r="C15" s="441">
        <v>3761165</v>
      </c>
      <c r="D15" s="442">
        <f t="shared" si="0"/>
        <v>752233</v>
      </c>
      <c r="E15" s="497"/>
      <c r="G15" s="451" t="s">
        <v>673</v>
      </c>
      <c r="H15" s="440">
        <v>470333</v>
      </c>
      <c r="I15" s="440">
        <v>0</v>
      </c>
      <c r="J15" s="441">
        <f t="shared" si="3"/>
        <v>0</v>
      </c>
      <c r="K15" s="440">
        <v>341750</v>
      </c>
      <c r="L15" s="441">
        <f t="shared" si="4"/>
        <v>68350</v>
      </c>
      <c r="M15" s="440">
        <v>1728345</v>
      </c>
      <c r="N15" s="441">
        <f t="shared" si="5"/>
        <v>345669</v>
      </c>
      <c r="O15" s="443">
        <f t="shared" si="1"/>
        <v>414019</v>
      </c>
      <c r="P15" s="443">
        <f t="shared" si="2"/>
        <v>338214</v>
      </c>
    </row>
    <row r="16" spans="1:16" ht="15.75" hidden="1" thickBot="1" x14ac:dyDescent="0.3">
      <c r="A16" s="444"/>
      <c r="B16" s="445">
        <f>SUM(B4:B15)</f>
        <v>6533140</v>
      </c>
      <c r="C16" s="446">
        <f>SUM(C4:C15)</f>
        <v>36370305</v>
      </c>
      <c r="D16" s="447">
        <f>SUM(D4:D15)</f>
        <v>7274061</v>
      </c>
      <c r="E16" s="497"/>
      <c r="G16" s="444"/>
      <c r="H16" s="445">
        <f t="shared" ref="H16:O16" si="6">SUM(H4:H15)</f>
        <v>4431841</v>
      </c>
      <c r="I16" s="445">
        <f t="shared" si="6"/>
        <v>98505</v>
      </c>
      <c r="J16" s="446">
        <f t="shared" si="6"/>
        <v>19701</v>
      </c>
      <c r="K16" s="445">
        <f t="shared" si="6"/>
        <v>438150</v>
      </c>
      <c r="L16" s="446">
        <f t="shared" si="6"/>
        <v>87630</v>
      </c>
      <c r="M16" s="445">
        <f t="shared" si="6"/>
        <v>23420930</v>
      </c>
      <c r="N16" s="446">
        <f t="shared" si="6"/>
        <v>4684186</v>
      </c>
      <c r="O16" s="491">
        <f t="shared" si="6"/>
        <v>4791517</v>
      </c>
      <c r="P16" s="448">
        <f>SUM(P4:P15)</f>
        <v>2448220</v>
      </c>
    </row>
    <row r="17" spans="1:16" hidden="1" x14ac:dyDescent="0.2"/>
    <row r="18" spans="1:16" ht="18.75" hidden="1" x14ac:dyDescent="0.3">
      <c r="A18" t="s">
        <v>674</v>
      </c>
      <c r="B18" s="449">
        <f>+B16+C16</f>
        <v>42903445</v>
      </c>
      <c r="G18" t="s">
        <v>675</v>
      </c>
      <c r="H18" s="323">
        <f>+H16+K16+M16</f>
        <v>28290921</v>
      </c>
      <c r="M18" s="450"/>
    </row>
    <row r="19" spans="1:16" hidden="1" x14ac:dyDescent="0.2"/>
    <row r="20" spans="1:16" hidden="1" x14ac:dyDescent="0.2">
      <c r="H20" s="323"/>
    </row>
    <row r="21" spans="1:16" hidden="1" x14ac:dyDescent="0.2"/>
    <row r="22" spans="1:16" ht="15.75" hidden="1" thickBot="1" x14ac:dyDescent="0.3">
      <c r="A22" s="426" t="s">
        <v>653</v>
      </c>
    </row>
    <row r="23" spans="1:16" ht="13.5" hidden="1" thickBot="1" x14ac:dyDescent="0.25">
      <c r="A23" s="493" t="s">
        <v>939</v>
      </c>
      <c r="B23" s="494"/>
      <c r="C23" s="492" t="s">
        <v>654</v>
      </c>
      <c r="D23" s="494"/>
      <c r="E23" s="494"/>
      <c r="F23" s="494"/>
      <c r="G23" s="492" t="s">
        <v>655</v>
      </c>
      <c r="H23" s="494"/>
      <c r="I23" s="594" t="s">
        <v>677</v>
      </c>
      <c r="J23" s="595"/>
      <c r="K23" s="594" t="s">
        <v>928</v>
      </c>
      <c r="L23" s="595"/>
      <c r="M23" s="594" t="s">
        <v>678</v>
      </c>
      <c r="N23" s="595"/>
      <c r="O23" s="494"/>
      <c r="P23" s="495" t="s">
        <v>656</v>
      </c>
    </row>
    <row r="24" spans="1:16" ht="15.75" hidden="1" thickBot="1" x14ac:dyDescent="0.3">
      <c r="A24" s="427" t="s">
        <v>657</v>
      </c>
      <c r="B24" s="428" t="s">
        <v>658</v>
      </c>
      <c r="C24" s="428" t="s">
        <v>659</v>
      </c>
      <c r="D24" s="429" t="s">
        <v>660</v>
      </c>
      <c r="E24" s="496"/>
      <c r="G24" s="427" t="s">
        <v>657</v>
      </c>
      <c r="H24" s="428" t="s">
        <v>661</v>
      </c>
      <c r="I24" s="428" t="s">
        <v>676</v>
      </c>
      <c r="J24" s="428" t="s">
        <v>660</v>
      </c>
      <c r="K24" s="428" t="s">
        <v>611</v>
      </c>
      <c r="L24" s="428" t="s">
        <v>660</v>
      </c>
      <c r="M24" s="428" t="s">
        <v>611</v>
      </c>
      <c r="N24" s="428" t="s">
        <v>660</v>
      </c>
      <c r="O24" s="490" t="s">
        <v>929</v>
      </c>
      <c r="P24" s="430" t="s">
        <v>660</v>
      </c>
    </row>
    <row r="25" spans="1:16" hidden="1" x14ac:dyDescent="0.2">
      <c r="A25" s="319" t="s">
        <v>662</v>
      </c>
      <c r="B25" s="431"/>
      <c r="C25" s="432">
        <v>3786680</v>
      </c>
      <c r="D25" s="433">
        <f>+C25*0.2</f>
        <v>757336</v>
      </c>
      <c r="E25" s="497"/>
      <c r="G25" s="434" t="s">
        <v>662</v>
      </c>
      <c r="H25" s="435">
        <v>145489</v>
      </c>
      <c r="I25" s="435"/>
      <c r="J25" s="436">
        <f>+I25*0.2</f>
        <v>0</v>
      </c>
      <c r="K25" s="435">
        <v>0</v>
      </c>
      <c r="L25" s="436">
        <f>+K25*0.2</f>
        <v>0</v>
      </c>
      <c r="M25" s="435">
        <v>2362105</v>
      </c>
      <c r="N25" s="436">
        <f>+M25*0.2</f>
        <v>472421</v>
      </c>
      <c r="O25" s="433">
        <f>+J25+L25+N25</f>
        <v>472421</v>
      </c>
      <c r="P25" s="433">
        <f>+D25-O25</f>
        <v>284915</v>
      </c>
    </row>
    <row r="26" spans="1:16" hidden="1" x14ac:dyDescent="0.2">
      <c r="A26" s="303" t="s">
        <v>663</v>
      </c>
      <c r="B26" s="321"/>
      <c r="C26" s="437">
        <v>4050330</v>
      </c>
      <c r="D26" s="438">
        <f t="shared" ref="D26:D36" si="7">+C26*0.2</f>
        <v>810066</v>
      </c>
      <c r="E26" s="497">
        <f>+B25+C25+C26</f>
        <v>7837010</v>
      </c>
      <c r="G26" s="439" t="s">
        <v>663</v>
      </c>
      <c r="H26" s="321">
        <v>182963</v>
      </c>
      <c r="I26" s="321"/>
      <c r="J26" s="437">
        <f>+I26*0.2</f>
        <v>0</v>
      </c>
      <c r="K26" s="321"/>
      <c r="L26" s="437">
        <f>+K26*0.2</f>
        <v>0</v>
      </c>
      <c r="M26" s="321">
        <v>1928690</v>
      </c>
      <c r="N26" s="437">
        <f>+M26*0.2</f>
        <v>385738</v>
      </c>
      <c r="O26" s="438">
        <f t="shared" ref="O26:O36" si="8">+J26+L26+N26</f>
        <v>385738</v>
      </c>
      <c r="P26" s="438">
        <f t="shared" ref="P26:P36" si="9">+D26-O26</f>
        <v>424328</v>
      </c>
    </row>
    <row r="27" spans="1:16" hidden="1" x14ac:dyDescent="0.2">
      <c r="A27" s="303" t="s">
        <v>664</v>
      </c>
      <c r="B27" s="321">
        <v>120000</v>
      </c>
      <c r="C27" s="437">
        <v>4037900</v>
      </c>
      <c r="D27" s="438">
        <f t="shared" si="7"/>
        <v>807580</v>
      </c>
      <c r="E27" s="497">
        <f>+E26+B27+C27</f>
        <v>11994910</v>
      </c>
      <c r="G27" s="439" t="s">
        <v>664</v>
      </c>
      <c r="H27" s="321">
        <v>450251</v>
      </c>
      <c r="I27" s="321"/>
      <c r="J27" s="437">
        <f t="shared" ref="J27:J36" si="10">+I27*0.2</f>
        <v>0</v>
      </c>
      <c r="K27" s="321"/>
      <c r="L27" s="437">
        <f t="shared" ref="L27:L36" si="11">+K27*0.2</f>
        <v>0</v>
      </c>
      <c r="M27" s="321">
        <v>1077245</v>
      </c>
      <c r="N27" s="437">
        <f t="shared" ref="N27:N36" si="12">+M27*0.2</f>
        <v>215449</v>
      </c>
      <c r="O27" s="438">
        <f t="shared" si="8"/>
        <v>215449</v>
      </c>
      <c r="P27" s="438">
        <f t="shared" si="9"/>
        <v>592131</v>
      </c>
    </row>
    <row r="28" spans="1:16" hidden="1" x14ac:dyDescent="0.2">
      <c r="A28" s="303" t="s">
        <v>665</v>
      </c>
      <c r="B28" s="321">
        <v>48475</v>
      </c>
      <c r="C28" s="437">
        <v>4422290</v>
      </c>
      <c r="D28" s="438">
        <f t="shared" si="7"/>
        <v>884458</v>
      </c>
      <c r="E28" s="497">
        <f t="shared" ref="E28:E36" si="13">+E27+B28+C28</f>
        <v>16465675</v>
      </c>
      <c r="G28" s="439" t="s">
        <v>665</v>
      </c>
      <c r="H28" s="321">
        <v>737159</v>
      </c>
      <c r="I28" s="321"/>
      <c r="J28" s="437">
        <f t="shared" si="10"/>
        <v>0</v>
      </c>
      <c r="K28" s="321"/>
      <c r="L28" s="437">
        <f t="shared" si="11"/>
        <v>0</v>
      </c>
      <c r="M28" s="321">
        <v>2926845</v>
      </c>
      <c r="N28" s="437">
        <f t="shared" si="12"/>
        <v>585369</v>
      </c>
      <c r="O28" s="438">
        <f t="shared" si="8"/>
        <v>585369</v>
      </c>
      <c r="P28" s="438">
        <f t="shared" si="9"/>
        <v>299089</v>
      </c>
    </row>
    <row r="29" spans="1:16" hidden="1" x14ac:dyDescent="0.2">
      <c r="A29" s="303" t="s">
        <v>666</v>
      </c>
      <c r="B29" s="321">
        <v>680000</v>
      </c>
      <c r="C29" s="437">
        <v>4459425</v>
      </c>
      <c r="D29" s="438">
        <f t="shared" si="7"/>
        <v>891885</v>
      </c>
      <c r="E29" s="497">
        <f t="shared" si="13"/>
        <v>21605100</v>
      </c>
      <c r="F29">
        <v>44160</v>
      </c>
      <c r="G29" s="439" t="s">
        <v>666</v>
      </c>
      <c r="H29" s="321">
        <f>231389+44160</f>
        <v>275549</v>
      </c>
      <c r="I29" s="321"/>
      <c r="J29" s="437">
        <f t="shared" si="10"/>
        <v>0</v>
      </c>
      <c r="K29" s="321"/>
      <c r="L29" s="437">
        <f t="shared" si="11"/>
        <v>0</v>
      </c>
      <c r="M29" s="321">
        <v>1631090</v>
      </c>
      <c r="N29" s="437">
        <f t="shared" si="12"/>
        <v>326218</v>
      </c>
      <c r="O29" s="438">
        <f t="shared" si="8"/>
        <v>326218</v>
      </c>
      <c r="P29" s="438">
        <f t="shared" si="9"/>
        <v>565667</v>
      </c>
    </row>
    <row r="30" spans="1:16" hidden="1" x14ac:dyDescent="0.2">
      <c r="A30" s="303" t="s">
        <v>667</v>
      </c>
      <c r="B30" s="321"/>
      <c r="C30" s="437">
        <v>2982220</v>
      </c>
      <c r="D30" s="438">
        <f t="shared" si="7"/>
        <v>596444</v>
      </c>
      <c r="E30" s="497">
        <f t="shared" si="13"/>
        <v>24587320</v>
      </c>
      <c r="G30" s="439" t="s">
        <v>667</v>
      </c>
      <c r="H30" s="321">
        <v>274291</v>
      </c>
      <c r="I30" s="321"/>
      <c r="J30" s="437">
        <f t="shared" si="10"/>
        <v>0</v>
      </c>
      <c r="K30" s="321">
        <v>95835</v>
      </c>
      <c r="L30" s="437">
        <f t="shared" si="11"/>
        <v>19167</v>
      </c>
      <c r="M30" s="321">
        <v>1710325</v>
      </c>
      <c r="N30" s="437">
        <f t="shared" si="12"/>
        <v>342065</v>
      </c>
      <c r="O30" s="438">
        <f t="shared" si="8"/>
        <v>361232</v>
      </c>
      <c r="P30" s="438">
        <f t="shared" si="9"/>
        <v>235212</v>
      </c>
    </row>
    <row r="31" spans="1:16" hidden="1" x14ac:dyDescent="0.2">
      <c r="A31" s="303" t="s">
        <v>668</v>
      </c>
      <c r="B31" s="321">
        <v>712000</v>
      </c>
      <c r="C31" s="437">
        <v>4085255</v>
      </c>
      <c r="D31" s="438">
        <f t="shared" si="7"/>
        <v>817051</v>
      </c>
      <c r="E31" s="497">
        <f t="shared" si="13"/>
        <v>29384575</v>
      </c>
      <c r="G31" s="439" t="s">
        <v>668</v>
      </c>
      <c r="H31" s="321">
        <v>581722</v>
      </c>
      <c r="I31" s="321"/>
      <c r="J31" s="437">
        <f t="shared" si="10"/>
        <v>0</v>
      </c>
      <c r="K31" s="321"/>
      <c r="L31" s="437">
        <f t="shared" si="11"/>
        <v>0</v>
      </c>
      <c r="M31" s="321">
        <v>1383070</v>
      </c>
      <c r="N31" s="437">
        <f t="shared" si="12"/>
        <v>276614</v>
      </c>
      <c r="O31" s="438">
        <f t="shared" si="8"/>
        <v>276614</v>
      </c>
      <c r="P31" s="438">
        <f t="shared" si="9"/>
        <v>540437</v>
      </c>
    </row>
    <row r="32" spans="1:16" hidden="1" x14ac:dyDescent="0.2">
      <c r="A32" s="303" t="s">
        <v>669</v>
      </c>
      <c r="B32" s="321">
        <v>157500</v>
      </c>
      <c r="C32" s="437">
        <v>4218445</v>
      </c>
      <c r="D32" s="438">
        <f t="shared" si="7"/>
        <v>843689</v>
      </c>
      <c r="E32" s="497">
        <f t="shared" si="13"/>
        <v>33760520</v>
      </c>
      <c r="G32" s="439" t="s">
        <v>669</v>
      </c>
      <c r="H32" s="321">
        <v>156995</v>
      </c>
      <c r="I32" s="321"/>
      <c r="J32" s="437">
        <f t="shared" si="10"/>
        <v>0</v>
      </c>
      <c r="K32" s="321">
        <v>343835</v>
      </c>
      <c r="L32" s="437">
        <f t="shared" si="11"/>
        <v>68767</v>
      </c>
      <c r="M32" s="321">
        <v>1186100</v>
      </c>
      <c r="N32" s="437">
        <f t="shared" si="12"/>
        <v>237220</v>
      </c>
      <c r="O32" s="438">
        <f t="shared" si="8"/>
        <v>305987</v>
      </c>
      <c r="P32" s="438">
        <f t="shared" si="9"/>
        <v>537702</v>
      </c>
    </row>
    <row r="33" spans="1:16" hidden="1" x14ac:dyDescent="0.2">
      <c r="A33" s="303" t="s">
        <v>670</v>
      </c>
      <c r="B33" s="321">
        <v>401400</v>
      </c>
      <c r="C33" s="437">
        <v>4018415</v>
      </c>
      <c r="D33" s="438">
        <f t="shared" si="7"/>
        <v>803683</v>
      </c>
      <c r="E33" s="497">
        <f t="shared" si="13"/>
        <v>38180335</v>
      </c>
      <c r="G33" s="439" t="s">
        <v>670</v>
      </c>
      <c r="H33" s="321">
        <v>119430</v>
      </c>
      <c r="I33" s="321"/>
      <c r="J33" s="437">
        <f t="shared" si="10"/>
        <v>0</v>
      </c>
      <c r="K33" s="321">
        <v>16355</v>
      </c>
      <c r="L33" s="437">
        <f t="shared" si="11"/>
        <v>3271</v>
      </c>
      <c r="M33" s="321">
        <v>1526090</v>
      </c>
      <c r="N33" s="437">
        <f t="shared" si="12"/>
        <v>305218</v>
      </c>
      <c r="O33" s="438">
        <f t="shared" si="8"/>
        <v>308489</v>
      </c>
      <c r="P33" s="438">
        <f t="shared" si="9"/>
        <v>495194</v>
      </c>
    </row>
    <row r="34" spans="1:16" hidden="1" x14ac:dyDescent="0.2">
      <c r="A34" s="303" t="s">
        <v>671</v>
      </c>
      <c r="B34" s="321">
        <v>18838</v>
      </c>
      <c r="C34" s="437">
        <v>4348025</v>
      </c>
      <c r="D34" s="438">
        <f t="shared" si="7"/>
        <v>869605</v>
      </c>
      <c r="E34" s="497">
        <f t="shared" si="13"/>
        <v>42547198</v>
      </c>
      <c r="G34" s="439" t="s">
        <v>671</v>
      </c>
      <c r="H34" s="321">
        <v>101018</v>
      </c>
      <c r="I34" s="321"/>
      <c r="J34" s="437">
        <f t="shared" si="10"/>
        <v>0</v>
      </c>
      <c r="K34" s="321">
        <v>47915</v>
      </c>
      <c r="L34" s="437">
        <f t="shared" si="11"/>
        <v>9583</v>
      </c>
      <c r="M34" s="321">
        <v>1478240</v>
      </c>
      <c r="N34" s="437">
        <f t="shared" si="12"/>
        <v>295648</v>
      </c>
      <c r="O34" s="438">
        <f t="shared" si="8"/>
        <v>305231</v>
      </c>
      <c r="P34" s="438">
        <f t="shared" si="9"/>
        <v>564374</v>
      </c>
    </row>
    <row r="35" spans="1:16" hidden="1" x14ac:dyDescent="0.2">
      <c r="A35" s="303" t="s">
        <v>672</v>
      </c>
      <c r="B35" s="321"/>
      <c r="C35" s="437">
        <v>4080245</v>
      </c>
      <c r="D35" s="438">
        <f t="shared" si="7"/>
        <v>816049</v>
      </c>
      <c r="E35" s="497">
        <f t="shared" si="13"/>
        <v>46627443</v>
      </c>
      <c r="G35" s="439" t="s">
        <v>672</v>
      </c>
      <c r="H35" s="321">
        <v>1208462</v>
      </c>
      <c r="I35" s="321"/>
      <c r="J35" s="437">
        <f t="shared" si="10"/>
        <v>0</v>
      </c>
      <c r="K35" s="321"/>
      <c r="L35" s="437">
        <f t="shared" si="11"/>
        <v>0</v>
      </c>
      <c r="M35" s="321">
        <v>1133705</v>
      </c>
      <c r="N35" s="437">
        <f t="shared" si="12"/>
        <v>226741</v>
      </c>
      <c r="O35" s="438">
        <f t="shared" si="8"/>
        <v>226741</v>
      </c>
      <c r="P35" s="438">
        <f t="shared" si="9"/>
        <v>589308</v>
      </c>
    </row>
    <row r="36" spans="1:16" ht="13.5" hidden="1" thickBot="1" x14ac:dyDescent="0.25">
      <c r="A36" s="305" t="s">
        <v>673</v>
      </c>
      <c r="B36" s="440">
        <v>365000</v>
      </c>
      <c r="C36" s="441">
        <v>5073675</v>
      </c>
      <c r="D36" s="442">
        <f t="shared" si="7"/>
        <v>1014735</v>
      </c>
      <c r="E36" s="497">
        <f t="shared" si="13"/>
        <v>52066118</v>
      </c>
      <c r="G36" s="451" t="s">
        <v>673</v>
      </c>
      <c r="H36" s="440">
        <v>200398</v>
      </c>
      <c r="I36" s="440"/>
      <c r="J36" s="441">
        <f t="shared" si="10"/>
        <v>0</v>
      </c>
      <c r="K36" s="440"/>
      <c r="L36" s="441">
        <f t="shared" si="11"/>
        <v>0</v>
      </c>
      <c r="M36" s="440">
        <v>1782025</v>
      </c>
      <c r="N36" s="441">
        <f t="shared" si="12"/>
        <v>356405</v>
      </c>
      <c r="O36" s="443">
        <f t="shared" si="8"/>
        <v>356405</v>
      </c>
      <c r="P36" s="443">
        <f t="shared" si="9"/>
        <v>658330</v>
      </c>
    </row>
    <row r="37" spans="1:16" ht="15.75" hidden="1" thickBot="1" x14ac:dyDescent="0.3">
      <c r="A37" s="444"/>
      <c r="B37" s="445">
        <f>SUM(B25:B36)</f>
        <v>2503213</v>
      </c>
      <c r="C37" s="446">
        <f>SUM(C25:C36)</f>
        <v>49562905</v>
      </c>
      <c r="D37" s="447">
        <f>SUM(D25:D36)</f>
        <v>9912581</v>
      </c>
      <c r="E37" s="497"/>
      <c r="G37" s="444"/>
      <c r="H37" s="445">
        <f t="shared" ref="H37:O37" si="14">SUM(H25:H36)</f>
        <v>4433727</v>
      </c>
      <c r="I37" s="445">
        <f t="shared" si="14"/>
        <v>0</v>
      </c>
      <c r="J37" s="446">
        <f t="shared" si="14"/>
        <v>0</v>
      </c>
      <c r="K37" s="445">
        <f t="shared" si="14"/>
        <v>503940</v>
      </c>
      <c r="L37" s="446">
        <f t="shared" si="14"/>
        <v>100788</v>
      </c>
      <c r="M37" s="445">
        <f t="shared" si="14"/>
        <v>20125530</v>
      </c>
      <c r="N37" s="446">
        <f t="shared" si="14"/>
        <v>4025106</v>
      </c>
      <c r="O37" s="491">
        <f t="shared" si="14"/>
        <v>4125894</v>
      </c>
      <c r="P37" s="448">
        <f>SUM(P25:P36)</f>
        <v>5786687</v>
      </c>
    </row>
    <row r="38" spans="1:16" hidden="1" x14ac:dyDescent="0.2"/>
    <row r="39" spans="1:16" ht="18.75" hidden="1" x14ac:dyDescent="0.3">
      <c r="A39" t="s">
        <v>674</v>
      </c>
      <c r="B39" s="449">
        <f>+B37+C37</f>
        <v>52066118</v>
      </c>
      <c r="G39" t="s">
        <v>675</v>
      </c>
      <c r="H39" s="323">
        <f>+H37+K37+M37</f>
        <v>25063197</v>
      </c>
      <c r="M39" s="450"/>
    </row>
    <row r="40" spans="1:16" hidden="1" x14ac:dyDescent="0.2">
      <c r="K40" s="323">
        <f>+K37+F29</f>
        <v>548100</v>
      </c>
    </row>
    <row r="41" spans="1:16" hidden="1" x14ac:dyDescent="0.2"/>
    <row r="42" spans="1:16" hidden="1" x14ac:dyDescent="0.2">
      <c r="G42" s="323">
        <f>+B39-H39</f>
        <v>27002921</v>
      </c>
    </row>
    <row r="43" spans="1:16" hidden="1" x14ac:dyDescent="0.2"/>
    <row r="44" spans="1:16" hidden="1" x14ac:dyDescent="0.2"/>
    <row r="45" spans="1:16" hidden="1" x14ac:dyDescent="0.2"/>
    <row r="46" spans="1:16" hidden="1" x14ac:dyDescent="0.2"/>
    <row r="47" spans="1:16" hidden="1" x14ac:dyDescent="0.2"/>
    <row r="48" spans="1:16" ht="15.75" hidden="1" thickBot="1" x14ac:dyDescent="0.3">
      <c r="A48" s="426" t="s">
        <v>653</v>
      </c>
    </row>
    <row r="49" spans="1:16" ht="13.5" hidden="1" thickBot="1" x14ac:dyDescent="0.25">
      <c r="A49" s="493" t="s">
        <v>1003</v>
      </c>
      <c r="B49" s="494"/>
      <c r="C49" s="492" t="s">
        <v>654</v>
      </c>
      <c r="D49" s="494"/>
      <c r="E49" s="494"/>
      <c r="F49" s="494"/>
      <c r="G49" s="492" t="s">
        <v>655</v>
      </c>
      <c r="H49" s="494"/>
      <c r="I49" s="594" t="s">
        <v>677</v>
      </c>
      <c r="J49" s="595"/>
      <c r="K49" s="594" t="s">
        <v>928</v>
      </c>
      <c r="L49" s="595"/>
      <c r="M49" s="594" t="s">
        <v>678</v>
      </c>
      <c r="N49" s="595"/>
      <c r="O49" s="494"/>
      <c r="P49" s="495" t="s">
        <v>656</v>
      </c>
    </row>
    <row r="50" spans="1:16" ht="15.75" hidden="1" thickBot="1" x14ac:dyDescent="0.3">
      <c r="A50" s="427" t="s">
        <v>657</v>
      </c>
      <c r="B50" s="428" t="s">
        <v>658</v>
      </c>
      <c r="C50" s="428" t="s">
        <v>659</v>
      </c>
      <c r="D50" s="429" t="s">
        <v>660</v>
      </c>
      <c r="E50" s="496"/>
      <c r="G50" s="427" t="s">
        <v>657</v>
      </c>
      <c r="H50" s="428" t="s">
        <v>661</v>
      </c>
      <c r="I50" s="428" t="s">
        <v>676</v>
      </c>
      <c r="J50" s="428" t="s">
        <v>660</v>
      </c>
      <c r="K50" s="428" t="s">
        <v>611</v>
      </c>
      <c r="L50" s="428" t="s">
        <v>660</v>
      </c>
      <c r="M50" s="428" t="s">
        <v>611</v>
      </c>
      <c r="N50" s="428" t="s">
        <v>660</v>
      </c>
      <c r="O50" s="490" t="s">
        <v>929</v>
      </c>
      <c r="P50" s="430" t="s">
        <v>660</v>
      </c>
    </row>
    <row r="51" spans="1:16" hidden="1" x14ac:dyDescent="0.2">
      <c r="A51" s="319" t="s">
        <v>662</v>
      </c>
      <c r="B51" s="431">
        <v>830000</v>
      </c>
      <c r="C51" s="432">
        <v>3458640</v>
      </c>
      <c r="D51" s="433">
        <f>+C51*0.2</f>
        <v>691728</v>
      </c>
      <c r="E51" s="497">
        <f>+B51+C51</f>
        <v>4288640</v>
      </c>
      <c r="G51" s="434" t="s">
        <v>662</v>
      </c>
      <c r="H51" s="435">
        <v>204054</v>
      </c>
      <c r="I51" s="435"/>
      <c r="J51" s="436">
        <f>+I51*0.2</f>
        <v>0</v>
      </c>
      <c r="K51" s="435">
        <v>1799370</v>
      </c>
      <c r="L51" s="436">
        <f>+K51*0.2</f>
        <v>359874</v>
      </c>
      <c r="M51" s="435"/>
      <c r="N51" s="436">
        <f>+M51*0.2</f>
        <v>0</v>
      </c>
      <c r="O51" s="433">
        <f>+J51+L51+N51</f>
        <v>359874</v>
      </c>
      <c r="P51" s="433">
        <f>+D51-O51</f>
        <v>331854</v>
      </c>
    </row>
    <row r="52" spans="1:16" hidden="1" x14ac:dyDescent="0.2">
      <c r="A52" s="303" t="s">
        <v>663</v>
      </c>
      <c r="B52" s="321">
        <v>245000</v>
      </c>
      <c r="C52" s="437">
        <v>4031815</v>
      </c>
      <c r="D52" s="438">
        <f t="shared" ref="D52:D62" si="15">+C52*0.2</f>
        <v>806363</v>
      </c>
      <c r="E52" s="497">
        <f>+E51+B52+C52</f>
        <v>8565455</v>
      </c>
      <c r="G52" s="439" t="s">
        <v>663</v>
      </c>
      <c r="H52" s="321">
        <v>137659</v>
      </c>
      <c r="I52" s="321"/>
      <c r="J52" s="437">
        <f>+I52*0.2</f>
        <v>0</v>
      </c>
      <c r="K52" s="321">
        <v>935000</v>
      </c>
      <c r="L52" s="437">
        <f>+K52*0.2</f>
        <v>187000</v>
      </c>
      <c r="M52" s="321"/>
      <c r="N52" s="437">
        <f>+M52*0.2</f>
        <v>0</v>
      </c>
      <c r="O52" s="438">
        <f t="shared" ref="O52:O62" si="16">+J52+L52+N52</f>
        <v>187000</v>
      </c>
      <c r="P52" s="438">
        <f t="shared" ref="P52:P62" si="17">+D52-O52</f>
        <v>619363</v>
      </c>
    </row>
    <row r="53" spans="1:16" hidden="1" x14ac:dyDescent="0.2">
      <c r="A53" s="303" t="s">
        <v>664</v>
      </c>
      <c r="B53" s="321">
        <v>340000</v>
      </c>
      <c r="C53" s="437">
        <v>4836530</v>
      </c>
      <c r="D53" s="438">
        <f t="shared" si="15"/>
        <v>967306</v>
      </c>
      <c r="E53" s="497">
        <f t="shared" ref="E53:E62" si="18">+E52+B53+C53</f>
        <v>13741985</v>
      </c>
      <c r="G53" s="439" t="s">
        <v>664</v>
      </c>
      <c r="H53" s="321">
        <v>150748</v>
      </c>
      <c r="I53" s="321"/>
      <c r="J53" s="437">
        <f t="shared" ref="J53:J62" si="19">+I53*0.2</f>
        <v>0</v>
      </c>
      <c r="K53" s="321">
        <v>1894760</v>
      </c>
      <c r="L53" s="437">
        <f t="shared" ref="L53:L62" si="20">+K53*0.2</f>
        <v>378952</v>
      </c>
      <c r="M53" s="321">
        <v>19250</v>
      </c>
      <c r="N53" s="437">
        <f t="shared" ref="N53:N62" si="21">+M53*0.2</f>
        <v>3850</v>
      </c>
      <c r="O53" s="438">
        <f t="shared" si="16"/>
        <v>382802</v>
      </c>
      <c r="P53" s="438">
        <f t="shared" si="17"/>
        <v>584504</v>
      </c>
    </row>
    <row r="54" spans="1:16" hidden="1" x14ac:dyDescent="0.2">
      <c r="A54" s="303" t="s">
        <v>665</v>
      </c>
      <c r="B54" s="321">
        <v>280000</v>
      </c>
      <c r="C54" s="437">
        <v>4010770</v>
      </c>
      <c r="D54" s="438">
        <f t="shared" si="15"/>
        <v>802154</v>
      </c>
      <c r="E54" s="497">
        <f t="shared" si="18"/>
        <v>18032755</v>
      </c>
      <c r="G54" s="439" t="s">
        <v>665</v>
      </c>
      <c r="H54" s="321">
        <v>251182</v>
      </c>
      <c r="I54" s="321"/>
      <c r="J54" s="437">
        <f t="shared" si="19"/>
        <v>0</v>
      </c>
      <c r="K54" s="321">
        <v>811055</v>
      </c>
      <c r="L54" s="437">
        <f t="shared" si="20"/>
        <v>162211</v>
      </c>
      <c r="M54" s="321">
        <v>149865</v>
      </c>
      <c r="N54" s="437">
        <f t="shared" si="21"/>
        <v>29973</v>
      </c>
      <c r="O54" s="438">
        <f t="shared" si="16"/>
        <v>192184</v>
      </c>
      <c r="P54" s="438">
        <f t="shared" si="17"/>
        <v>609970</v>
      </c>
    </row>
    <row r="55" spans="1:16" hidden="1" x14ac:dyDescent="0.2">
      <c r="A55" s="303" t="s">
        <v>666</v>
      </c>
      <c r="B55" s="321">
        <v>295000</v>
      </c>
      <c r="C55" s="437">
        <v>5075965</v>
      </c>
      <c r="D55" s="438">
        <f t="shared" si="15"/>
        <v>1015193</v>
      </c>
      <c r="E55" s="497">
        <f t="shared" si="18"/>
        <v>23403720</v>
      </c>
      <c r="G55" s="439" t="s">
        <v>666</v>
      </c>
      <c r="H55" s="321">
        <v>105049</v>
      </c>
      <c r="I55" s="321"/>
      <c r="J55" s="437">
        <f t="shared" si="19"/>
        <v>0</v>
      </c>
      <c r="K55" s="321">
        <v>2229075</v>
      </c>
      <c r="L55" s="437">
        <f t="shared" si="20"/>
        <v>445815</v>
      </c>
      <c r="M55" s="321">
        <v>72580</v>
      </c>
      <c r="N55" s="437">
        <f t="shared" si="21"/>
        <v>14516</v>
      </c>
      <c r="O55" s="438">
        <f t="shared" si="16"/>
        <v>460331</v>
      </c>
      <c r="P55" s="438">
        <f t="shared" si="17"/>
        <v>554862</v>
      </c>
    </row>
    <row r="56" spans="1:16" hidden="1" x14ac:dyDescent="0.2">
      <c r="A56" s="303" t="s">
        <v>667</v>
      </c>
      <c r="B56" s="321">
        <v>240000</v>
      </c>
      <c r="C56" s="437">
        <v>4643375</v>
      </c>
      <c r="D56" s="438">
        <f t="shared" si="15"/>
        <v>928675</v>
      </c>
      <c r="E56" s="497">
        <f t="shared" si="18"/>
        <v>28287095</v>
      </c>
      <c r="G56" s="439" t="s">
        <v>667</v>
      </c>
      <c r="H56" s="321">
        <v>201149</v>
      </c>
      <c r="I56" s="321"/>
      <c r="J56" s="437">
        <f t="shared" si="19"/>
        <v>0</v>
      </c>
      <c r="K56" s="321">
        <v>1463140</v>
      </c>
      <c r="L56" s="437">
        <f t="shared" si="20"/>
        <v>292628</v>
      </c>
      <c r="M56" s="321">
        <v>167935</v>
      </c>
      <c r="N56" s="437">
        <f t="shared" si="21"/>
        <v>33587</v>
      </c>
      <c r="O56" s="438">
        <f t="shared" si="16"/>
        <v>326215</v>
      </c>
      <c r="P56" s="438">
        <f t="shared" si="17"/>
        <v>602460</v>
      </c>
    </row>
    <row r="57" spans="1:16" hidden="1" x14ac:dyDescent="0.2">
      <c r="A57" s="303" t="s">
        <v>668</v>
      </c>
      <c r="B57" s="321">
        <v>0</v>
      </c>
      <c r="C57" s="437">
        <v>4994165</v>
      </c>
      <c r="D57" s="438">
        <f t="shared" si="15"/>
        <v>998833</v>
      </c>
      <c r="E57" s="497">
        <f t="shared" si="18"/>
        <v>33281260</v>
      </c>
      <c r="G57" s="439" t="s">
        <v>668</v>
      </c>
      <c r="H57" s="321">
        <v>641258</v>
      </c>
      <c r="I57" s="321"/>
      <c r="J57" s="437">
        <f t="shared" si="19"/>
        <v>0</v>
      </c>
      <c r="K57" s="321">
        <v>1915785</v>
      </c>
      <c r="L57" s="437">
        <f t="shared" si="20"/>
        <v>383157</v>
      </c>
      <c r="M57" s="321">
        <v>0</v>
      </c>
      <c r="N57" s="437">
        <f t="shared" si="21"/>
        <v>0</v>
      </c>
      <c r="O57" s="438">
        <f t="shared" si="16"/>
        <v>383157</v>
      </c>
      <c r="P57" s="438">
        <f t="shared" si="17"/>
        <v>615676</v>
      </c>
    </row>
    <row r="58" spans="1:16" hidden="1" x14ac:dyDescent="0.2">
      <c r="A58" s="303" t="s">
        <v>669</v>
      </c>
      <c r="B58" s="321">
        <v>710000</v>
      </c>
      <c r="C58" s="437">
        <v>4093430</v>
      </c>
      <c r="D58" s="438">
        <f t="shared" si="15"/>
        <v>818686</v>
      </c>
      <c r="E58" s="497">
        <f t="shared" si="18"/>
        <v>38084690</v>
      </c>
      <c r="G58" s="439" t="s">
        <v>669</v>
      </c>
      <c r="H58" s="321">
        <v>167735</v>
      </c>
      <c r="I58" s="321"/>
      <c r="J58" s="437">
        <f t="shared" si="19"/>
        <v>0</v>
      </c>
      <c r="K58" s="321">
        <v>1558100</v>
      </c>
      <c r="L58" s="437">
        <f t="shared" si="20"/>
        <v>311620</v>
      </c>
      <c r="M58" s="321">
        <v>19165</v>
      </c>
      <c r="N58" s="437">
        <f t="shared" si="21"/>
        <v>3833</v>
      </c>
      <c r="O58" s="438">
        <f t="shared" si="16"/>
        <v>315453</v>
      </c>
      <c r="P58" s="438">
        <f t="shared" si="17"/>
        <v>503233</v>
      </c>
    </row>
    <row r="59" spans="1:16" hidden="1" x14ac:dyDescent="0.2">
      <c r="A59" s="303" t="s">
        <v>670</v>
      </c>
      <c r="B59" s="321">
        <v>0</v>
      </c>
      <c r="C59" s="437">
        <v>4499290</v>
      </c>
      <c r="D59" s="438">
        <f t="shared" si="15"/>
        <v>899858</v>
      </c>
      <c r="E59" s="497">
        <f t="shared" si="18"/>
        <v>42583980</v>
      </c>
      <c r="G59" s="439" t="s">
        <v>670</v>
      </c>
      <c r="H59" s="321">
        <v>106472</v>
      </c>
      <c r="I59" s="321"/>
      <c r="J59" s="437">
        <f t="shared" si="19"/>
        <v>0</v>
      </c>
      <c r="K59" s="321">
        <v>1304205</v>
      </c>
      <c r="L59" s="437">
        <f t="shared" si="20"/>
        <v>260841</v>
      </c>
      <c r="M59" s="321">
        <v>0</v>
      </c>
      <c r="N59" s="437">
        <f t="shared" si="21"/>
        <v>0</v>
      </c>
      <c r="O59" s="438">
        <f t="shared" si="16"/>
        <v>260841</v>
      </c>
      <c r="P59" s="438">
        <f t="shared" si="17"/>
        <v>639017</v>
      </c>
    </row>
    <row r="60" spans="1:16" hidden="1" x14ac:dyDescent="0.2">
      <c r="A60" s="303" t="s">
        <v>671</v>
      </c>
      <c r="B60" s="321">
        <v>0</v>
      </c>
      <c r="C60" s="437">
        <v>5255945</v>
      </c>
      <c r="D60" s="438">
        <f t="shared" si="15"/>
        <v>1051189</v>
      </c>
      <c r="E60" s="497">
        <f t="shared" si="18"/>
        <v>47839925</v>
      </c>
      <c r="G60" s="439" t="s">
        <v>671</v>
      </c>
      <c r="H60" s="321">
        <v>372566</v>
      </c>
      <c r="I60" s="321"/>
      <c r="J60" s="437">
        <f t="shared" si="19"/>
        <v>0</v>
      </c>
      <c r="K60" s="321">
        <v>2117615</v>
      </c>
      <c r="L60" s="437">
        <f t="shared" si="20"/>
        <v>423523</v>
      </c>
      <c r="M60" s="321">
        <v>0</v>
      </c>
      <c r="N60" s="437">
        <f t="shared" si="21"/>
        <v>0</v>
      </c>
      <c r="O60" s="438">
        <f t="shared" si="16"/>
        <v>423523</v>
      </c>
      <c r="P60" s="438">
        <f t="shared" si="17"/>
        <v>627666</v>
      </c>
    </row>
    <row r="61" spans="1:16" hidden="1" x14ac:dyDescent="0.2">
      <c r="A61" s="303" t="s">
        <v>672</v>
      </c>
      <c r="B61" s="321">
        <v>0</v>
      </c>
      <c r="C61" s="437">
        <v>5132895</v>
      </c>
      <c r="D61" s="438">
        <f t="shared" si="15"/>
        <v>1026579</v>
      </c>
      <c r="E61" s="497">
        <f t="shared" si="18"/>
        <v>52972820</v>
      </c>
      <c r="G61" s="439" t="s">
        <v>672</v>
      </c>
      <c r="H61" s="321">
        <v>1392159</v>
      </c>
      <c r="I61" s="321">
        <v>58605</v>
      </c>
      <c r="J61" s="437">
        <f t="shared" si="19"/>
        <v>11721</v>
      </c>
      <c r="K61" s="321">
        <v>1664755</v>
      </c>
      <c r="L61" s="437">
        <f t="shared" si="20"/>
        <v>332951</v>
      </c>
      <c r="M61" s="321">
        <v>0</v>
      </c>
      <c r="N61" s="437">
        <f t="shared" si="21"/>
        <v>0</v>
      </c>
      <c r="O61" s="438">
        <f t="shared" si="16"/>
        <v>344672</v>
      </c>
      <c r="P61" s="438">
        <f t="shared" si="17"/>
        <v>681907</v>
      </c>
    </row>
    <row r="62" spans="1:16" ht="13.5" hidden="1" thickBot="1" x14ac:dyDescent="0.25">
      <c r="A62" s="305" t="s">
        <v>673</v>
      </c>
      <c r="B62" s="440">
        <v>0</v>
      </c>
      <c r="C62" s="441">
        <v>4095920</v>
      </c>
      <c r="D62" s="442">
        <f t="shared" si="15"/>
        <v>819184</v>
      </c>
      <c r="E62" s="497">
        <f t="shared" si="18"/>
        <v>57068740</v>
      </c>
      <c r="G62" s="451" t="s">
        <v>673</v>
      </c>
      <c r="H62" s="440">
        <v>20859</v>
      </c>
      <c r="I62" s="440">
        <v>0</v>
      </c>
      <c r="J62" s="441">
        <f t="shared" si="19"/>
        <v>0</v>
      </c>
      <c r="K62" s="440">
        <v>981915</v>
      </c>
      <c r="L62" s="441">
        <f t="shared" si="20"/>
        <v>196383</v>
      </c>
      <c r="M62" s="440">
        <v>51065</v>
      </c>
      <c r="N62" s="441">
        <f t="shared" si="21"/>
        <v>10213</v>
      </c>
      <c r="O62" s="443">
        <f t="shared" si="16"/>
        <v>206596</v>
      </c>
      <c r="P62" s="443">
        <f t="shared" si="17"/>
        <v>612588</v>
      </c>
    </row>
    <row r="63" spans="1:16" ht="13.5" hidden="1" thickBot="1" x14ac:dyDescent="0.25">
      <c r="A63" s="444"/>
      <c r="B63" s="445">
        <f>SUM(B51:B62)</f>
        <v>2940000</v>
      </c>
      <c r="C63" s="446">
        <f>SUM(C51:C62)</f>
        <v>54128740</v>
      </c>
      <c r="D63" s="447">
        <f>SUM(D51:D62)</f>
        <v>10825748</v>
      </c>
      <c r="E63" s="497"/>
      <c r="G63" s="444"/>
      <c r="H63" s="445">
        <f>SUM(H51:H62)</f>
        <v>3750890</v>
      </c>
      <c r="I63" s="445">
        <f t="shared" ref="I63:P63" si="22">SUM(I51:I62)</f>
        <v>58605</v>
      </c>
      <c r="J63" s="445">
        <f t="shared" si="22"/>
        <v>11721</v>
      </c>
      <c r="K63" s="445">
        <f t="shared" si="22"/>
        <v>18674775</v>
      </c>
      <c r="L63" s="445">
        <f t="shared" si="22"/>
        <v>3734955</v>
      </c>
      <c r="M63" s="445">
        <f t="shared" si="22"/>
        <v>479860</v>
      </c>
      <c r="N63" s="445">
        <f t="shared" si="22"/>
        <v>95972</v>
      </c>
      <c r="O63" s="445">
        <f t="shared" si="22"/>
        <v>3842648</v>
      </c>
      <c r="P63" s="445">
        <f t="shared" si="22"/>
        <v>6983100</v>
      </c>
    </row>
    <row r="64" spans="1:16" hidden="1" x14ac:dyDescent="0.2"/>
    <row r="65" spans="1:16" ht="18.75" hidden="1" x14ac:dyDescent="0.3">
      <c r="A65" t="s">
        <v>674</v>
      </c>
      <c r="B65" s="449">
        <f>+B63+C63</f>
        <v>57068740</v>
      </c>
      <c r="G65" t="s">
        <v>675</v>
      </c>
      <c r="H65" s="323">
        <f>+H63+K63+M63+I63</f>
        <v>22964130</v>
      </c>
      <c r="I65" s="323">
        <f>+H63+I63+K63+M63</f>
        <v>22964130</v>
      </c>
      <c r="M65" s="450"/>
    </row>
    <row r="66" spans="1:16" hidden="1" x14ac:dyDescent="0.2">
      <c r="K66" s="323"/>
    </row>
    <row r="67" spans="1:16" hidden="1" x14ac:dyDescent="0.2"/>
    <row r="68" spans="1:16" hidden="1" x14ac:dyDescent="0.2">
      <c r="G68" s="323">
        <f>+B65-H65</f>
        <v>34104610</v>
      </c>
    </row>
    <row r="69" spans="1:16" hidden="1" x14ac:dyDescent="0.2"/>
    <row r="70" spans="1:16" ht="15.75" hidden="1" thickBot="1" x14ac:dyDescent="0.3">
      <c r="A70" s="426" t="s">
        <v>653</v>
      </c>
    </row>
    <row r="71" spans="1:16" ht="13.5" hidden="1" thickBot="1" x14ac:dyDescent="0.25">
      <c r="A71" s="493" t="s">
        <v>1017</v>
      </c>
      <c r="B71" s="494"/>
      <c r="C71" s="492" t="s">
        <v>654</v>
      </c>
      <c r="D71" s="494"/>
      <c r="E71" s="494"/>
      <c r="F71" s="494"/>
      <c r="G71" s="492" t="s">
        <v>655</v>
      </c>
      <c r="H71" s="494"/>
      <c r="I71" s="594" t="s">
        <v>677</v>
      </c>
      <c r="J71" s="595"/>
      <c r="K71" s="594" t="s">
        <v>928</v>
      </c>
      <c r="L71" s="595"/>
      <c r="M71" s="594" t="s">
        <v>678</v>
      </c>
      <c r="N71" s="595"/>
      <c r="O71" s="494"/>
      <c r="P71" s="495" t="s">
        <v>656</v>
      </c>
    </row>
    <row r="72" spans="1:16" ht="15.75" hidden="1" thickBot="1" x14ac:dyDescent="0.3">
      <c r="A72" s="427" t="s">
        <v>657</v>
      </c>
      <c r="B72" s="428" t="s">
        <v>658</v>
      </c>
      <c r="C72" s="428" t="s">
        <v>659</v>
      </c>
      <c r="D72" s="429" t="s">
        <v>660</v>
      </c>
      <c r="E72" s="496"/>
      <c r="G72" s="427" t="s">
        <v>657</v>
      </c>
      <c r="H72" s="428" t="s">
        <v>661</v>
      </c>
      <c r="I72" s="428" t="s">
        <v>676</v>
      </c>
      <c r="J72" s="428" t="s">
        <v>660</v>
      </c>
      <c r="K72" s="428" t="s">
        <v>611</v>
      </c>
      <c r="L72" s="428" t="s">
        <v>660</v>
      </c>
      <c r="M72" s="428" t="s">
        <v>611</v>
      </c>
      <c r="N72" s="428" t="s">
        <v>660</v>
      </c>
      <c r="O72" s="490" t="s">
        <v>929</v>
      </c>
      <c r="P72" s="430" t="s">
        <v>660</v>
      </c>
    </row>
    <row r="73" spans="1:16" hidden="1" x14ac:dyDescent="0.2">
      <c r="A73" s="319" t="s">
        <v>662</v>
      </c>
      <c r="B73" s="431">
        <v>0</v>
      </c>
      <c r="C73" s="432">
        <v>3798210</v>
      </c>
      <c r="D73" s="433">
        <f>+C73*0.2</f>
        <v>759642</v>
      </c>
      <c r="E73" s="497">
        <f>+B73+C73</f>
        <v>3798210</v>
      </c>
      <c r="G73" s="434" t="s">
        <v>662</v>
      </c>
      <c r="H73" s="435">
        <v>113228</v>
      </c>
      <c r="I73" s="435"/>
      <c r="J73" s="436">
        <f>+I73*0.2</f>
        <v>0</v>
      </c>
      <c r="K73" s="435"/>
      <c r="L73" s="436">
        <f>+K73*0.2</f>
        <v>0</v>
      </c>
      <c r="M73" s="435">
        <v>1087995</v>
      </c>
      <c r="N73" s="436">
        <f>+M73*0.2</f>
        <v>217599</v>
      </c>
      <c r="O73" s="433">
        <f>+J73+L73+N73</f>
        <v>217599</v>
      </c>
      <c r="P73" s="433">
        <f>+D73-O73</f>
        <v>542043</v>
      </c>
    </row>
    <row r="74" spans="1:16" hidden="1" x14ac:dyDescent="0.2">
      <c r="A74" s="303" t="s">
        <v>663</v>
      </c>
      <c r="B74" s="321">
        <v>0</v>
      </c>
      <c r="C74" s="437">
        <v>4298635</v>
      </c>
      <c r="D74" s="438">
        <f t="shared" ref="D74:D84" si="23">+C74*0.2</f>
        <v>859727</v>
      </c>
      <c r="E74" s="497">
        <f>+E73+B74+C74</f>
        <v>8096845</v>
      </c>
      <c r="G74" s="439" t="s">
        <v>663</v>
      </c>
      <c r="H74" s="321">
        <v>146437</v>
      </c>
      <c r="I74" s="321"/>
      <c r="J74" s="437">
        <f>+I74*0.2</f>
        <v>0</v>
      </c>
      <c r="K74" s="321">
        <v>14205</v>
      </c>
      <c r="L74" s="437">
        <f>+K74*0.2</f>
        <v>2841</v>
      </c>
      <c r="M74" s="321">
        <v>1240845</v>
      </c>
      <c r="N74" s="437">
        <f>+M74*0.2</f>
        <v>248169</v>
      </c>
      <c r="O74" s="438">
        <f t="shared" ref="O74:O84" si="24">+J74+L74+N74</f>
        <v>251010</v>
      </c>
      <c r="P74" s="438">
        <f t="shared" ref="P74:P84" si="25">+D74-O74</f>
        <v>608717</v>
      </c>
    </row>
    <row r="75" spans="1:16" hidden="1" x14ac:dyDescent="0.2">
      <c r="A75" s="303" t="s">
        <v>664</v>
      </c>
      <c r="B75" s="321">
        <v>0</v>
      </c>
      <c r="C75" s="437">
        <v>4744415</v>
      </c>
      <c r="D75" s="438">
        <f t="shared" si="23"/>
        <v>948883</v>
      </c>
      <c r="E75" s="497">
        <f t="shared" ref="E75:E84" si="26">+E74+B75+C75</f>
        <v>12841260</v>
      </c>
      <c r="G75" s="439" t="s">
        <v>664</v>
      </c>
      <c r="H75" s="321">
        <v>193726</v>
      </c>
      <c r="I75" s="321"/>
      <c r="J75" s="437">
        <f t="shared" ref="J75:J84" si="27">+I75*0.2</f>
        <v>0</v>
      </c>
      <c r="K75" s="321">
        <v>3348300</v>
      </c>
      <c r="L75" s="437">
        <f t="shared" ref="L75:L84" si="28">+K75*0.2</f>
        <v>669660</v>
      </c>
      <c r="M75" s="321">
        <v>382280</v>
      </c>
      <c r="N75" s="437">
        <f t="shared" ref="N75:N84" si="29">+M75*0.2</f>
        <v>76456</v>
      </c>
      <c r="O75" s="438">
        <f t="shared" si="24"/>
        <v>746116</v>
      </c>
      <c r="P75" s="438">
        <f t="shared" si="25"/>
        <v>202767</v>
      </c>
    </row>
    <row r="76" spans="1:16" hidden="1" x14ac:dyDescent="0.2">
      <c r="A76" s="303" t="s">
        <v>665</v>
      </c>
      <c r="B76" s="321">
        <v>0</v>
      </c>
      <c r="C76" s="437">
        <v>4341995</v>
      </c>
      <c r="D76" s="438">
        <f t="shared" si="23"/>
        <v>868399</v>
      </c>
      <c r="E76" s="497">
        <f t="shared" si="26"/>
        <v>17183255</v>
      </c>
      <c r="G76" s="439" t="s">
        <v>665</v>
      </c>
      <c r="H76" s="321">
        <v>454804</v>
      </c>
      <c r="I76" s="321"/>
      <c r="J76" s="437">
        <f t="shared" si="27"/>
        <v>0</v>
      </c>
      <c r="K76" s="321">
        <v>0</v>
      </c>
      <c r="L76" s="437">
        <f t="shared" si="28"/>
        <v>0</v>
      </c>
      <c r="M76" s="321">
        <v>1775620</v>
      </c>
      <c r="N76" s="437">
        <f t="shared" si="29"/>
        <v>355124</v>
      </c>
      <c r="O76" s="438">
        <f t="shared" si="24"/>
        <v>355124</v>
      </c>
      <c r="P76" s="438">
        <f t="shared" si="25"/>
        <v>513275</v>
      </c>
    </row>
    <row r="77" spans="1:16" hidden="1" x14ac:dyDescent="0.2">
      <c r="A77" s="303" t="s">
        <v>666</v>
      </c>
      <c r="B77" s="321">
        <v>0</v>
      </c>
      <c r="C77" s="437">
        <v>5147265</v>
      </c>
      <c r="D77" s="438">
        <f t="shared" si="23"/>
        <v>1029453</v>
      </c>
      <c r="E77" s="497">
        <f t="shared" si="26"/>
        <v>22330520</v>
      </c>
      <c r="G77" s="439" t="s">
        <v>666</v>
      </c>
      <c r="H77" s="321">
        <v>236199</v>
      </c>
      <c r="I77" s="321"/>
      <c r="J77" s="437">
        <f t="shared" si="27"/>
        <v>0</v>
      </c>
      <c r="K77" s="321">
        <v>32250</v>
      </c>
      <c r="L77" s="437">
        <f t="shared" si="28"/>
        <v>6450</v>
      </c>
      <c r="M77" s="321">
        <v>1690785</v>
      </c>
      <c r="N77" s="437">
        <f t="shared" si="29"/>
        <v>338157</v>
      </c>
      <c r="O77" s="438">
        <f t="shared" si="24"/>
        <v>344607</v>
      </c>
      <c r="P77" s="438">
        <f t="shared" si="25"/>
        <v>684846</v>
      </c>
    </row>
    <row r="78" spans="1:16" hidden="1" x14ac:dyDescent="0.2">
      <c r="A78" s="303" t="s">
        <v>667</v>
      </c>
      <c r="B78" s="321">
        <v>15000</v>
      </c>
      <c r="C78" s="437">
        <v>4648035</v>
      </c>
      <c r="D78" s="438">
        <f t="shared" si="23"/>
        <v>929607</v>
      </c>
      <c r="E78" s="497">
        <f t="shared" si="26"/>
        <v>26993555</v>
      </c>
      <c r="G78" s="439" t="s">
        <v>667</v>
      </c>
      <c r="H78" s="321">
        <v>303308</v>
      </c>
      <c r="I78" s="321"/>
      <c r="J78" s="437">
        <f t="shared" si="27"/>
        <v>0</v>
      </c>
      <c r="K78" s="321">
        <v>64255</v>
      </c>
      <c r="L78" s="437">
        <f t="shared" si="28"/>
        <v>12851</v>
      </c>
      <c r="M78" s="321">
        <v>1678535</v>
      </c>
      <c r="N78" s="437">
        <f t="shared" si="29"/>
        <v>335707</v>
      </c>
      <c r="O78" s="438">
        <f t="shared" si="24"/>
        <v>348558</v>
      </c>
      <c r="P78" s="438">
        <f t="shared" si="25"/>
        <v>581049</v>
      </c>
    </row>
    <row r="79" spans="1:16" hidden="1" x14ac:dyDescent="0.2">
      <c r="A79" s="303" t="s">
        <v>668</v>
      </c>
      <c r="B79" s="321">
        <v>0</v>
      </c>
      <c r="C79" s="437">
        <v>5009070</v>
      </c>
      <c r="D79" s="438">
        <f t="shared" si="23"/>
        <v>1001814</v>
      </c>
      <c r="E79" s="497">
        <f t="shared" si="26"/>
        <v>32002625</v>
      </c>
      <c r="G79" s="439" t="s">
        <v>668</v>
      </c>
      <c r="H79" s="321">
        <v>265363</v>
      </c>
      <c r="I79" s="321"/>
      <c r="J79" s="437">
        <f t="shared" si="27"/>
        <v>0</v>
      </c>
      <c r="K79" s="321">
        <v>1015165</v>
      </c>
      <c r="L79" s="437">
        <f t="shared" si="28"/>
        <v>203033</v>
      </c>
      <c r="M79" s="321">
        <v>1113195</v>
      </c>
      <c r="N79" s="437">
        <f t="shared" si="29"/>
        <v>222639</v>
      </c>
      <c r="O79" s="438">
        <f t="shared" si="24"/>
        <v>425672</v>
      </c>
      <c r="P79" s="438">
        <f t="shared" si="25"/>
        <v>576142</v>
      </c>
    </row>
    <row r="80" spans="1:16" hidden="1" x14ac:dyDescent="0.2">
      <c r="A80" s="303" t="s">
        <v>669</v>
      </c>
      <c r="B80" s="321">
        <v>0</v>
      </c>
      <c r="C80" s="437">
        <v>5220610</v>
      </c>
      <c r="D80" s="438">
        <f t="shared" si="23"/>
        <v>1044122</v>
      </c>
      <c r="E80" s="497">
        <f t="shared" si="26"/>
        <v>37223235</v>
      </c>
      <c r="G80" s="439" t="s">
        <v>669</v>
      </c>
      <c r="H80" s="321">
        <v>94484</v>
      </c>
      <c r="I80" s="321"/>
      <c r="J80" s="437">
        <f t="shared" si="27"/>
        <v>0</v>
      </c>
      <c r="K80" s="321">
        <v>0</v>
      </c>
      <c r="L80" s="437">
        <f t="shared" si="28"/>
        <v>0</v>
      </c>
      <c r="M80" s="321">
        <v>1834310</v>
      </c>
      <c r="N80" s="437">
        <f t="shared" si="29"/>
        <v>366862</v>
      </c>
      <c r="O80" s="438">
        <f t="shared" si="24"/>
        <v>366862</v>
      </c>
      <c r="P80" s="438">
        <f t="shared" si="25"/>
        <v>677260</v>
      </c>
    </row>
    <row r="81" spans="1:16" hidden="1" x14ac:dyDescent="0.2">
      <c r="A81" s="303" t="s">
        <v>670</v>
      </c>
      <c r="B81" s="321">
        <v>60000</v>
      </c>
      <c r="C81" s="437">
        <v>4986420</v>
      </c>
      <c r="D81" s="438">
        <f t="shared" si="23"/>
        <v>997284</v>
      </c>
      <c r="E81" s="497">
        <f t="shared" si="26"/>
        <v>42269655</v>
      </c>
      <c r="G81" s="439" t="s">
        <v>670</v>
      </c>
      <c r="H81" s="321">
        <v>113711</v>
      </c>
      <c r="I81" s="321"/>
      <c r="J81" s="437">
        <f t="shared" si="27"/>
        <v>0</v>
      </c>
      <c r="K81" s="321"/>
      <c r="L81" s="437">
        <f t="shared" si="28"/>
        <v>0</v>
      </c>
      <c r="M81" s="321">
        <v>2094355</v>
      </c>
      <c r="N81" s="437">
        <f t="shared" si="29"/>
        <v>418871</v>
      </c>
      <c r="O81" s="438">
        <f t="shared" si="24"/>
        <v>418871</v>
      </c>
      <c r="P81" s="438">
        <f t="shared" si="25"/>
        <v>578413</v>
      </c>
    </row>
    <row r="82" spans="1:16" hidden="1" x14ac:dyDescent="0.2">
      <c r="A82" s="303" t="s">
        <v>671</v>
      </c>
      <c r="B82" s="321">
        <v>0</v>
      </c>
      <c r="C82" s="437">
        <v>5146015</v>
      </c>
      <c r="D82" s="438">
        <f t="shared" si="23"/>
        <v>1029203</v>
      </c>
      <c r="E82" s="497">
        <f t="shared" si="26"/>
        <v>47415670</v>
      </c>
      <c r="G82" s="439" t="s">
        <v>671</v>
      </c>
      <c r="H82" s="321">
        <v>1418716</v>
      </c>
      <c r="I82" s="321"/>
      <c r="J82" s="437">
        <f t="shared" si="27"/>
        <v>0</v>
      </c>
      <c r="K82" s="321">
        <v>252580</v>
      </c>
      <c r="L82" s="437">
        <f t="shared" si="28"/>
        <v>50516</v>
      </c>
      <c r="M82" s="321">
        <v>1504320</v>
      </c>
      <c r="N82" s="437">
        <f t="shared" si="29"/>
        <v>300864</v>
      </c>
      <c r="O82" s="438">
        <f t="shared" si="24"/>
        <v>351380</v>
      </c>
      <c r="P82" s="438">
        <f t="shared" si="25"/>
        <v>677823</v>
      </c>
    </row>
    <row r="83" spans="1:16" hidden="1" x14ac:dyDescent="0.2">
      <c r="A83" s="303" t="s">
        <v>672</v>
      </c>
      <c r="B83" s="321">
        <v>24000</v>
      </c>
      <c r="C83" s="437">
        <v>5110805</v>
      </c>
      <c r="D83" s="438">
        <f t="shared" si="23"/>
        <v>1022161</v>
      </c>
      <c r="E83" s="497">
        <f t="shared" si="26"/>
        <v>52550475</v>
      </c>
      <c r="G83" s="439" t="s">
        <v>672</v>
      </c>
      <c r="H83" s="321">
        <v>401752</v>
      </c>
      <c r="I83" s="321"/>
      <c r="J83" s="437">
        <f t="shared" si="27"/>
        <v>0</v>
      </c>
      <c r="K83" s="321">
        <v>0</v>
      </c>
      <c r="L83" s="437">
        <f t="shared" si="28"/>
        <v>0</v>
      </c>
      <c r="M83" s="321">
        <v>1901905</v>
      </c>
      <c r="N83" s="437">
        <f t="shared" si="29"/>
        <v>380381</v>
      </c>
      <c r="O83" s="438">
        <f t="shared" si="24"/>
        <v>380381</v>
      </c>
      <c r="P83" s="438">
        <f t="shared" si="25"/>
        <v>641780</v>
      </c>
    </row>
    <row r="84" spans="1:16" ht="13.5" hidden="1" thickBot="1" x14ac:dyDescent="0.25">
      <c r="A84" s="305" t="s">
        <v>673</v>
      </c>
      <c r="B84" s="440">
        <v>0</v>
      </c>
      <c r="C84" s="441">
        <v>6579065</v>
      </c>
      <c r="D84" s="442">
        <f t="shared" si="23"/>
        <v>1315813</v>
      </c>
      <c r="E84" s="497">
        <f t="shared" si="26"/>
        <v>59129540</v>
      </c>
      <c r="G84" s="451" t="s">
        <v>673</v>
      </c>
      <c r="H84" s="440">
        <v>271942</v>
      </c>
      <c r="I84" s="440"/>
      <c r="J84" s="441">
        <f t="shared" si="27"/>
        <v>0</v>
      </c>
      <c r="K84" s="440"/>
      <c r="L84" s="441">
        <f t="shared" si="28"/>
        <v>0</v>
      </c>
      <c r="M84" s="440">
        <v>5397700</v>
      </c>
      <c r="N84" s="441">
        <f t="shared" si="29"/>
        <v>1079540</v>
      </c>
      <c r="O84" s="443">
        <f t="shared" si="24"/>
        <v>1079540</v>
      </c>
      <c r="P84" s="443">
        <f t="shared" si="25"/>
        <v>236273</v>
      </c>
    </row>
    <row r="85" spans="1:16" ht="13.5" hidden="1" thickBot="1" x14ac:dyDescent="0.25">
      <c r="A85" s="444"/>
      <c r="B85" s="445">
        <f>SUM(B73:B84)</f>
        <v>99000</v>
      </c>
      <c r="C85" s="446">
        <f>SUM(C73:C84)</f>
        <v>59030540</v>
      </c>
      <c r="D85" s="447">
        <f>SUM(D73:D84)</f>
        <v>11806108</v>
      </c>
      <c r="E85" s="497"/>
      <c r="G85" s="444"/>
      <c r="H85" s="445">
        <f>SUM(H73:H84)</f>
        <v>4013670</v>
      </c>
      <c r="I85" s="445">
        <f t="shared" ref="I85:P85" si="30">SUM(I73:I84)</f>
        <v>0</v>
      </c>
      <c r="J85" s="445">
        <f t="shared" si="30"/>
        <v>0</v>
      </c>
      <c r="K85" s="445">
        <f t="shared" si="30"/>
        <v>4726755</v>
      </c>
      <c r="L85" s="445">
        <f t="shared" si="30"/>
        <v>945351</v>
      </c>
      <c r="M85" s="445">
        <f t="shared" si="30"/>
        <v>21701845</v>
      </c>
      <c r="N85" s="445">
        <f t="shared" si="30"/>
        <v>4340369</v>
      </c>
      <c r="O85" s="445">
        <f t="shared" si="30"/>
        <v>5285720</v>
      </c>
      <c r="P85" s="445">
        <f t="shared" si="30"/>
        <v>6520388</v>
      </c>
    </row>
    <row r="86" spans="1:16" hidden="1" x14ac:dyDescent="0.2"/>
    <row r="87" spans="1:16" ht="18.75" hidden="1" x14ac:dyDescent="0.3">
      <c r="A87" t="s">
        <v>674</v>
      </c>
      <c r="B87" s="449">
        <f>+B85+C85</f>
        <v>59129540</v>
      </c>
      <c r="G87" t="s">
        <v>675</v>
      </c>
      <c r="H87" s="323">
        <f>+H85+K85+M85+I85</f>
        <v>30442270</v>
      </c>
      <c r="I87" s="323">
        <f>+H85+I85+K85+M85</f>
        <v>30442270</v>
      </c>
      <c r="M87" s="450"/>
    </row>
    <row r="88" spans="1:16" hidden="1" x14ac:dyDescent="0.2">
      <c r="K88" s="323"/>
    </row>
    <row r="89" spans="1:16" hidden="1" x14ac:dyDescent="0.2"/>
    <row r="90" spans="1:16" hidden="1" x14ac:dyDescent="0.2">
      <c r="F90" s="323" t="s">
        <v>1031</v>
      </c>
      <c r="G90" s="323">
        <f>+B87-H87</f>
        <v>28687270</v>
      </c>
      <c r="K90">
        <v>14205</v>
      </c>
      <c r="L90" t="s">
        <v>1020</v>
      </c>
    </row>
    <row r="91" spans="1:16" hidden="1" x14ac:dyDescent="0.2">
      <c r="K91">
        <v>612000</v>
      </c>
      <c r="L91" t="s">
        <v>1021</v>
      </c>
    </row>
    <row r="92" spans="1:16" hidden="1" x14ac:dyDescent="0.2">
      <c r="K92">
        <v>628300</v>
      </c>
      <c r="L92" t="s">
        <v>1022</v>
      </c>
    </row>
    <row r="93" spans="1:16" hidden="1" x14ac:dyDescent="0.2">
      <c r="K93">
        <v>378000</v>
      </c>
      <c r="L93" t="s">
        <v>1023</v>
      </c>
    </row>
    <row r="94" spans="1:16" hidden="1" x14ac:dyDescent="0.2">
      <c r="K94">
        <v>390000</v>
      </c>
      <c r="L94" t="s">
        <v>1024</v>
      </c>
    </row>
    <row r="95" spans="1:16" hidden="1" x14ac:dyDescent="0.2">
      <c r="K95">
        <v>575000</v>
      </c>
      <c r="L95" t="s">
        <v>1025</v>
      </c>
    </row>
    <row r="96" spans="1:16" hidden="1" x14ac:dyDescent="0.2">
      <c r="K96">
        <v>765000</v>
      </c>
      <c r="L96" t="s">
        <v>1026</v>
      </c>
    </row>
    <row r="97" spans="1:16" hidden="1" x14ac:dyDescent="0.2">
      <c r="K97">
        <v>32250</v>
      </c>
      <c r="L97" t="s">
        <v>1027</v>
      </c>
    </row>
    <row r="98" spans="1:16" hidden="1" x14ac:dyDescent="0.2">
      <c r="K98">
        <v>64255</v>
      </c>
      <c r="L98" t="s">
        <v>1028</v>
      </c>
    </row>
    <row r="99" spans="1:16" hidden="1" x14ac:dyDescent="0.2">
      <c r="K99">
        <v>1015165</v>
      </c>
      <c r="L99" t="s">
        <v>1029</v>
      </c>
    </row>
    <row r="100" spans="1:16" hidden="1" x14ac:dyDescent="0.2">
      <c r="K100">
        <v>252580</v>
      </c>
      <c r="L100" t="s">
        <v>1030</v>
      </c>
    </row>
    <row r="101" spans="1:16" hidden="1" x14ac:dyDescent="0.2">
      <c r="K101">
        <f>SUM(K90:K100)</f>
        <v>4726755</v>
      </c>
    </row>
    <row r="102" spans="1:16" hidden="1" x14ac:dyDescent="0.2"/>
    <row r="103" spans="1:16" hidden="1" x14ac:dyDescent="0.2"/>
    <row r="104" spans="1:16" hidden="1" x14ac:dyDescent="0.2"/>
    <row r="105" spans="1:16" ht="15.75" hidden="1" thickBot="1" x14ac:dyDescent="0.3">
      <c r="A105" s="426" t="s">
        <v>653</v>
      </c>
    </row>
    <row r="106" spans="1:16" ht="13.5" hidden="1" thickBot="1" x14ac:dyDescent="0.25">
      <c r="A106" s="493" t="s">
        <v>1033</v>
      </c>
      <c r="B106" s="494"/>
      <c r="C106" s="492" t="s">
        <v>654</v>
      </c>
      <c r="D106" s="494"/>
      <c r="E106" s="494"/>
      <c r="F106" s="494"/>
      <c r="G106" s="492" t="s">
        <v>655</v>
      </c>
      <c r="H106" s="494"/>
      <c r="I106" s="594" t="s">
        <v>677</v>
      </c>
      <c r="J106" s="595"/>
      <c r="K106" s="594" t="s">
        <v>928</v>
      </c>
      <c r="L106" s="595"/>
      <c r="M106" s="594" t="s">
        <v>678</v>
      </c>
      <c r="N106" s="595"/>
      <c r="O106" s="494"/>
      <c r="P106" s="495" t="s">
        <v>656</v>
      </c>
    </row>
    <row r="107" spans="1:16" ht="15.75" hidden="1" thickBot="1" x14ac:dyDescent="0.3">
      <c r="A107" s="427" t="s">
        <v>657</v>
      </c>
      <c r="B107" s="428" t="s">
        <v>658</v>
      </c>
      <c r="C107" s="428" t="s">
        <v>659</v>
      </c>
      <c r="D107" s="429" t="s">
        <v>660</v>
      </c>
      <c r="E107" s="496"/>
      <c r="G107" s="427" t="s">
        <v>657</v>
      </c>
      <c r="H107" s="428" t="s">
        <v>661</v>
      </c>
      <c r="I107" s="428" t="s">
        <v>676</v>
      </c>
      <c r="J107" s="428" t="s">
        <v>660</v>
      </c>
      <c r="K107" s="428" t="s">
        <v>611</v>
      </c>
      <c r="L107" s="428" t="s">
        <v>660</v>
      </c>
      <c r="M107" s="428" t="s">
        <v>611</v>
      </c>
      <c r="N107" s="428" t="s">
        <v>660</v>
      </c>
      <c r="O107" s="490" t="s">
        <v>929</v>
      </c>
      <c r="P107" s="430" t="s">
        <v>660</v>
      </c>
    </row>
    <row r="108" spans="1:16" hidden="1" x14ac:dyDescent="0.2">
      <c r="A108" s="319" t="s">
        <v>662</v>
      </c>
      <c r="B108" s="431">
        <v>0</v>
      </c>
      <c r="C108" s="432">
        <v>4195735</v>
      </c>
      <c r="D108" s="433">
        <f>+C108*0.2</f>
        <v>839147</v>
      </c>
      <c r="E108" s="497">
        <f>+B108+C108</f>
        <v>4195735</v>
      </c>
      <c r="G108" s="434" t="s">
        <v>662</v>
      </c>
      <c r="H108" s="435">
        <v>206873</v>
      </c>
      <c r="I108" s="435"/>
      <c r="J108" s="436">
        <f>+I108*0.2</f>
        <v>0</v>
      </c>
      <c r="K108" s="435">
        <v>468725</v>
      </c>
      <c r="L108" s="436">
        <f>+K108*0.2</f>
        <v>93745</v>
      </c>
      <c r="M108" s="435">
        <v>386015</v>
      </c>
      <c r="N108" s="436">
        <f>+M108*0.2</f>
        <v>77203</v>
      </c>
      <c r="O108" s="433">
        <f>+J108+L108+N108</f>
        <v>170948</v>
      </c>
      <c r="P108" s="549">
        <f>+D108-O108</f>
        <v>668199</v>
      </c>
    </row>
    <row r="109" spans="1:16" hidden="1" x14ac:dyDescent="0.2">
      <c r="A109" s="303" t="s">
        <v>663</v>
      </c>
      <c r="B109" s="321"/>
      <c r="C109" s="437">
        <v>4250995</v>
      </c>
      <c r="D109" s="438">
        <f t="shared" ref="D109:D119" si="31">+C109*0.2</f>
        <v>850199</v>
      </c>
      <c r="E109" s="497">
        <f>+E108+B109+C109</f>
        <v>8446730</v>
      </c>
      <c r="G109" s="439" t="s">
        <v>663</v>
      </c>
      <c r="H109" s="321">
        <v>186019</v>
      </c>
      <c r="I109" s="321"/>
      <c r="J109" s="437">
        <f>+I109*0.2</f>
        <v>0</v>
      </c>
      <c r="K109" s="321">
        <v>45042000</v>
      </c>
      <c r="L109" s="437">
        <f>+K109*0.2</f>
        <v>9008400</v>
      </c>
      <c r="M109" s="321">
        <v>412970</v>
      </c>
      <c r="N109" s="437">
        <f>+M109*0.2</f>
        <v>82594</v>
      </c>
      <c r="O109" s="438">
        <f>+J109+L109+N109</f>
        <v>9090994</v>
      </c>
      <c r="P109" s="550">
        <f t="shared" ref="P109:P119" si="32">+D109-O109</f>
        <v>-8240795</v>
      </c>
    </row>
    <row r="110" spans="1:16" hidden="1" x14ac:dyDescent="0.2">
      <c r="A110" s="303" t="s">
        <v>664</v>
      </c>
      <c r="B110" s="321"/>
      <c r="C110" s="437">
        <v>5192020</v>
      </c>
      <c r="D110" s="438">
        <f t="shared" si="31"/>
        <v>1038404</v>
      </c>
      <c r="E110" s="497">
        <f t="shared" ref="E110:E119" si="33">+E109+B110+C110</f>
        <v>13638750</v>
      </c>
      <c r="G110" s="439" t="s">
        <v>664</v>
      </c>
      <c r="H110" s="321">
        <v>635123</v>
      </c>
      <c r="I110" s="321"/>
      <c r="J110" s="437">
        <f t="shared" ref="J110:J119" si="34">+I110*0.2</f>
        <v>0</v>
      </c>
      <c r="K110" s="321"/>
      <c r="L110" s="437">
        <f t="shared" ref="L110:L118" si="35">+K110*0.2</f>
        <v>0</v>
      </c>
      <c r="M110" s="321">
        <v>319470</v>
      </c>
      <c r="N110" s="437">
        <f t="shared" ref="N110:N119" si="36">+M110*0.2</f>
        <v>63894</v>
      </c>
      <c r="O110" s="438">
        <f t="shared" ref="O110:O119" si="37">+J110+L110+N110</f>
        <v>63894</v>
      </c>
      <c r="P110" s="550">
        <f t="shared" si="32"/>
        <v>974510</v>
      </c>
    </row>
    <row r="111" spans="1:16" hidden="1" x14ac:dyDescent="0.2">
      <c r="A111" s="303" t="s">
        <v>665</v>
      </c>
      <c r="B111" s="321"/>
      <c r="C111" s="437">
        <v>4433590</v>
      </c>
      <c r="D111" s="438">
        <f t="shared" si="31"/>
        <v>886718</v>
      </c>
      <c r="E111" s="497">
        <f t="shared" si="33"/>
        <v>18072340</v>
      </c>
      <c r="G111" s="439" t="s">
        <v>665</v>
      </c>
      <c r="H111" s="321">
        <v>187081</v>
      </c>
      <c r="I111" s="321"/>
      <c r="J111" s="437">
        <f t="shared" si="34"/>
        <v>0</v>
      </c>
      <c r="K111" s="321">
        <v>54165</v>
      </c>
      <c r="L111" s="437">
        <f t="shared" si="35"/>
        <v>10833</v>
      </c>
      <c r="M111" s="321">
        <v>341065</v>
      </c>
      <c r="N111" s="437">
        <f t="shared" si="36"/>
        <v>68213</v>
      </c>
      <c r="O111" s="438">
        <f t="shared" si="37"/>
        <v>79046</v>
      </c>
      <c r="P111" s="550">
        <f t="shared" si="32"/>
        <v>807672</v>
      </c>
    </row>
    <row r="112" spans="1:16" hidden="1" x14ac:dyDescent="0.2">
      <c r="A112" s="303" t="s">
        <v>666</v>
      </c>
      <c r="B112" s="321">
        <v>167400</v>
      </c>
      <c r="C112" s="437">
        <v>6051565</v>
      </c>
      <c r="D112" s="438">
        <f t="shared" si="31"/>
        <v>1210313</v>
      </c>
      <c r="E112" s="497">
        <f t="shared" si="33"/>
        <v>24291305</v>
      </c>
      <c r="G112" s="439" t="s">
        <v>666</v>
      </c>
      <c r="H112" s="321">
        <v>514471</v>
      </c>
      <c r="I112" s="321"/>
      <c r="J112" s="437">
        <f t="shared" si="34"/>
        <v>0</v>
      </c>
      <c r="K112" s="321"/>
      <c r="L112" s="437">
        <f t="shared" si="35"/>
        <v>0</v>
      </c>
      <c r="M112" s="321">
        <v>489165</v>
      </c>
      <c r="N112" s="437">
        <f t="shared" si="36"/>
        <v>97833</v>
      </c>
      <c r="O112" s="438">
        <f t="shared" si="37"/>
        <v>97833</v>
      </c>
      <c r="P112" s="550">
        <f t="shared" si="32"/>
        <v>1112480</v>
      </c>
    </row>
    <row r="113" spans="1:16" hidden="1" x14ac:dyDescent="0.2">
      <c r="A113" s="303" t="s">
        <v>667</v>
      </c>
      <c r="B113" s="321"/>
      <c r="C113" s="437">
        <v>5102230</v>
      </c>
      <c r="D113" s="438">
        <f t="shared" si="31"/>
        <v>1020446</v>
      </c>
      <c r="E113" s="497">
        <f t="shared" si="33"/>
        <v>29393535</v>
      </c>
      <c r="G113" s="439" t="s">
        <v>667</v>
      </c>
      <c r="H113" s="321">
        <v>95369</v>
      </c>
      <c r="I113" s="321"/>
      <c r="J113" s="437">
        <f t="shared" si="34"/>
        <v>0</v>
      </c>
      <c r="K113" s="321">
        <v>42700</v>
      </c>
      <c r="L113" s="437">
        <f t="shared" si="35"/>
        <v>8540</v>
      </c>
      <c r="M113" s="321">
        <v>456250</v>
      </c>
      <c r="N113" s="437">
        <f t="shared" si="36"/>
        <v>91250</v>
      </c>
      <c r="O113" s="438">
        <f t="shared" si="37"/>
        <v>99790</v>
      </c>
      <c r="P113" s="550">
        <f t="shared" si="32"/>
        <v>920656</v>
      </c>
    </row>
    <row r="114" spans="1:16" hidden="1" x14ac:dyDescent="0.2">
      <c r="A114" s="303" t="s">
        <v>668</v>
      </c>
      <c r="B114" s="321"/>
      <c r="C114" s="437">
        <v>5329345</v>
      </c>
      <c r="D114" s="438">
        <f t="shared" si="31"/>
        <v>1065869</v>
      </c>
      <c r="E114" s="497">
        <f t="shared" si="33"/>
        <v>34722880</v>
      </c>
      <c r="G114" s="439" t="s">
        <v>668</v>
      </c>
      <c r="H114" s="321">
        <v>144545</v>
      </c>
      <c r="I114" s="321"/>
      <c r="J114" s="437">
        <f t="shared" si="34"/>
        <v>0</v>
      </c>
      <c r="K114" s="321">
        <v>50960</v>
      </c>
      <c r="L114" s="437">
        <f t="shared" si="35"/>
        <v>10192</v>
      </c>
      <c r="M114" s="321">
        <v>333710</v>
      </c>
      <c r="N114" s="437">
        <f t="shared" si="36"/>
        <v>66742</v>
      </c>
      <c r="O114" s="438">
        <f t="shared" si="37"/>
        <v>76934</v>
      </c>
      <c r="P114" s="550">
        <f t="shared" si="32"/>
        <v>988935</v>
      </c>
    </row>
    <row r="115" spans="1:16" hidden="1" x14ac:dyDescent="0.2">
      <c r="A115" s="303" t="s">
        <v>669</v>
      </c>
      <c r="B115" s="321"/>
      <c r="C115" s="437">
        <v>4310145</v>
      </c>
      <c r="D115" s="438">
        <f t="shared" si="31"/>
        <v>862029</v>
      </c>
      <c r="E115" s="497">
        <f t="shared" si="33"/>
        <v>39033025</v>
      </c>
      <c r="G115" s="439" t="s">
        <v>669</v>
      </c>
      <c r="H115" s="321">
        <v>65170</v>
      </c>
      <c r="I115" s="321"/>
      <c r="J115" s="437">
        <f t="shared" si="34"/>
        <v>0</v>
      </c>
      <c r="K115" s="321">
        <v>497420</v>
      </c>
      <c r="L115" s="437">
        <f t="shared" si="35"/>
        <v>99484</v>
      </c>
      <c r="M115" s="321">
        <v>387490</v>
      </c>
      <c r="N115" s="437">
        <f t="shared" si="36"/>
        <v>77498</v>
      </c>
      <c r="O115" s="438">
        <f t="shared" si="37"/>
        <v>176982</v>
      </c>
      <c r="P115" s="550">
        <f t="shared" si="32"/>
        <v>685047</v>
      </c>
    </row>
    <row r="116" spans="1:16" hidden="1" x14ac:dyDescent="0.2">
      <c r="A116" s="303" t="s">
        <v>670</v>
      </c>
      <c r="B116" s="321"/>
      <c r="C116" s="437">
        <v>4713635</v>
      </c>
      <c r="D116" s="438">
        <f t="shared" si="31"/>
        <v>942727</v>
      </c>
      <c r="E116" s="497">
        <f t="shared" si="33"/>
        <v>43746660</v>
      </c>
      <c r="G116" s="439" t="s">
        <v>670</v>
      </c>
      <c r="H116" s="321">
        <v>547679</v>
      </c>
      <c r="I116" s="321"/>
      <c r="J116" s="437">
        <f t="shared" si="34"/>
        <v>0</v>
      </c>
      <c r="K116" s="321">
        <v>225500</v>
      </c>
      <c r="L116" s="437">
        <f t="shared" si="35"/>
        <v>45100</v>
      </c>
      <c r="M116" s="321">
        <v>283855</v>
      </c>
      <c r="N116" s="437">
        <f t="shared" si="36"/>
        <v>56771</v>
      </c>
      <c r="O116" s="438">
        <f t="shared" si="37"/>
        <v>101871</v>
      </c>
      <c r="P116" s="550">
        <f t="shared" si="32"/>
        <v>840856</v>
      </c>
    </row>
    <row r="117" spans="1:16" hidden="1" x14ac:dyDescent="0.2">
      <c r="A117" s="303" t="s">
        <v>671</v>
      </c>
      <c r="B117" s="321"/>
      <c r="C117" s="437">
        <v>6163430</v>
      </c>
      <c r="D117" s="438">
        <f t="shared" si="31"/>
        <v>1232686</v>
      </c>
      <c r="E117" s="497">
        <f t="shared" si="33"/>
        <v>49910090</v>
      </c>
      <c r="G117" s="439" t="s">
        <v>671</v>
      </c>
      <c r="H117" s="321">
        <v>1395650</v>
      </c>
      <c r="I117" s="321"/>
      <c r="J117" s="437">
        <f t="shared" si="34"/>
        <v>0</v>
      </c>
      <c r="K117" s="321"/>
      <c r="L117" s="437">
        <f t="shared" si="35"/>
        <v>0</v>
      </c>
      <c r="M117" s="321">
        <v>500405</v>
      </c>
      <c r="N117" s="437">
        <f t="shared" si="36"/>
        <v>100081</v>
      </c>
      <c r="O117" s="438">
        <f t="shared" si="37"/>
        <v>100081</v>
      </c>
      <c r="P117" s="550">
        <f t="shared" si="32"/>
        <v>1132605</v>
      </c>
    </row>
    <row r="118" spans="1:16" hidden="1" x14ac:dyDescent="0.2">
      <c r="A118" s="303" t="s">
        <v>672</v>
      </c>
      <c r="B118" s="321"/>
      <c r="C118" s="437">
        <v>4048585</v>
      </c>
      <c r="D118" s="438">
        <f t="shared" si="31"/>
        <v>809717</v>
      </c>
      <c r="E118" s="497">
        <f t="shared" si="33"/>
        <v>53958675</v>
      </c>
      <c r="G118" s="439" t="s">
        <v>672</v>
      </c>
      <c r="H118" s="321">
        <v>67859</v>
      </c>
      <c r="I118" s="321">
        <v>2520360</v>
      </c>
      <c r="J118" s="437">
        <f t="shared" si="34"/>
        <v>504072</v>
      </c>
      <c r="K118" s="321">
        <v>2850000</v>
      </c>
      <c r="L118" s="437">
        <f t="shared" si="35"/>
        <v>570000</v>
      </c>
      <c r="M118" s="321">
        <v>313795</v>
      </c>
      <c r="N118" s="437">
        <f t="shared" si="36"/>
        <v>62759</v>
      </c>
      <c r="O118" s="438">
        <f t="shared" si="37"/>
        <v>1136831</v>
      </c>
      <c r="P118" s="550">
        <f t="shared" si="32"/>
        <v>-327114</v>
      </c>
    </row>
    <row r="119" spans="1:16" ht="13.5" hidden="1" thickBot="1" x14ac:dyDescent="0.25">
      <c r="A119" s="305" t="s">
        <v>673</v>
      </c>
      <c r="B119" s="440"/>
      <c r="C119" s="441">
        <v>4763575</v>
      </c>
      <c r="D119" s="442">
        <f t="shared" si="31"/>
        <v>952715</v>
      </c>
      <c r="E119" s="497">
        <f t="shared" si="33"/>
        <v>58722250</v>
      </c>
      <c r="G119" s="451" t="s">
        <v>673</v>
      </c>
      <c r="H119" s="440">
        <v>246057</v>
      </c>
      <c r="I119" s="440"/>
      <c r="J119" s="441">
        <f t="shared" si="34"/>
        <v>0</v>
      </c>
      <c r="K119" s="440">
        <v>25690</v>
      </c>
      <c r="L119" s="441">
        <f>+K119*0.2</f>
        <v>5138</v>
      </c>
      <c r="M119" s="440">
        <v>418775</v>
      </c>
      <c r="N119" s="441">
        <f t="shared" si="36"/>
        <v>83755</v>
      </c>
      <c r="O119" s="438">
        <f t="shared" si="37"/>
        <v>88893</v>
      </c>
      <c r="P119" s="551">
        <f t="shared" si="32"/>
        <v>863822</v>
      </c>
    </row>
    <row r="120" spans="1:16" ht="13.5" hidden="1" thickBot="1" x14ac:dyDescent="0.25">
      <c r="A120" s="444"/>
      <c r="B120" s="445">
        <f>SUM(B108:B119)</f>
        <v>167400</v>
      </c>
      <c r="C120" s="445">
        <f>SUM(C108:C119)</f>
        <v>58554850</v>
      </c>
      <c r="D120" s="445">
        <f>SUM(D108:D119)</f>
        <v>11710970</v>
      </c>
      <c r="E120" s="497"/>
      <c r="G120" s="444"/>
      <c r="H120" s="445">
        <f>SUM(H108:H119)</f>
        <v>4291896</v>
      </c>
      <c r="I120" s="445">
        <f t="shared" ref="I120:O120" si="38">SUM(I108:I119)</f>
        <v>2520360</v>
      </c>
      <c r="J120" s="445">
        <f t="shared" si="38"/>
        <v>504072</v>
      </c>
      <c r="K120" s="445">
        <f t="shared" si="38"/>
        <v>49257160</v>
      </c>
      <c r="L120" s="445">
        <f t="shared" si="38"/>
        <v>9851432</v>
      </c>
      <c r="M120" s="445">
        <f t="shared" si="38"/>
        <v>4642965</v>
      </c>
      <c r="N120" s="446">
        <f t="shared" si="38"/>
        <v>928593</v>
      </c>
      <c r="O120" s="447">
        <f t="shared" si="38"/>
        <v>11284097</v>
      </c>
      <c r="P120" s="552">
        <f>SUM(P108:P119)</f>
        <v>426873</v>
      </c>
    </row>
    <row r="121" spans="1:16" hidden="1" x14ac:dyDescent="0.2"/>
    <row r="122" spans="1:16" ht="18.75" hidden="1" x14ac:dyDescent="0.3">
      <c r="A122" t="s">
        <v>674</v>
      </c>
      <c r="C122" s="449">
        <f>+B120+C120</f>
        <v>58722250</v>
      </c>
      <c r="G122" t="s">
        <v>675</v>
      </c>
      <c r="H122" s="323">
        <f>+H120+I120+K120+M120</f>
        <v>60712381</v>
      </c>
      <c r="I122" s="323">
        <f>+H120+I120+K120+M120</f>
        <v>60712381</v>
      </c>
      <c r="M122" s="450"/>
    </row>
    <row r="123" spans="1:16" hidden="1" x14ac:dyDescent="0.2">
      <c r="K123" s="323"/>
    </row>
    <row r="124" spans="1:16" hidden="1" x14ac:dyDescent="0.2"/>
    <row r="125" spans="1:16" hidden="1" x14ac:dyDescent="0.2">
      <c r="F125" s="323" t="s">
        <v>1031</v>
      </c>
      <c r="G125" s="323">
        <f>+C122-H122</f>
        <v>-1990131</v>
      </c>
      <c r="K125" s="323">
        <f>+K109/24*11</f>
        <v>20644250</v>
      </c>
    </row>
    <row r="126" spans="1:16" hidden="1" x14ac:dyDescent="0.2">
      <c r="K126">
        <f>+K118/24*2</f>
        <v>237500</v>
      </c>
    </row>
    <row r="127" spans="1:16" hidden="1" x14ac:dyDescent="0.2">
      <c r="K127" s="323">
        <f>+K125+K126</f>
        <v>20881750</v>
      </c>
    </row>
    <row r="128" spans="1:16" hidden="1" x14ac:dyDescent="0.2"/>
    <row r="129" spans="1:16" hidden="1" x14ac:dyDescent="0.2"/>
    <row r="130" spans="1:16" hidden="1" x14ac:dyDescent="0.2"/>
    <row r="131" spans="1:16" hidden="1" x14ac:dyDescent="0.2"/>
    <row r="132" spans="1:16" hidden="1" x14ac:dyDescent="0.2"/>
    <row r="133" spans="1:16" ht="15.75" thickBot="1" x14ac:dyDescent="0.3">
      <c r="A133" s="426" t="s">
        <v>653</v>
      </c>
    </row>
    <row r="134" spans="1:16" ht="13.5" thickBot="1" x14ac:dyDescent="0.25">
      <c r="A134" s="493" t="s">
        <v>1052</v>
      </c>
      <c r="B134" s="494"/>
      <c r="C134" s="492" t="s">
        <v>654</v>
      </c>
      <c r="D134" s="494"/>
      <c r="E134" s="494"/>
      <c r="F134" s="494"/>
      <c r="G134" s="492" t="s">
        <v>655</v>
      </c>
      <c r="H134" s="494"/>
      <c r="I134" s="594" t="s">
        <v>677</v>
      </c>
      <c r="J134" s="595"/>
      <c r="K134" s="594" t="s">
        <v>928</v>
      </c>
      <c r="L134" s="595"/>
      <c r="M134" s="594" t="s">
        <v>678</v>
      </c>
      <c r="N134" s="595"/>
      <c r="O134" s="494"/>
      <c r="P134" s="495" t="s">
        <v>656</v>
      </c>
    </row>
    <row r="135" spans="1:16" ht="15.75" thickBot="1" x14ac:dyDescent="0.3">
      <c r="A135" s="427" t="s">
        <v>657</v>
      </c>
      <c r="B135" s="428" t="s">
        <v>658</v>
      </c>
      <c r="C135" s="428" t="s">
        <v>659</v>
      </c>
      <c r="D135" s="429" t="s">
        <v>660</v>
      </c>
      <c r="E135" s="496"/>
      <c r="G135" s="427" t="s">
        <v>657</v>
      </c>
      <c r="H135" s="428" t="s">
        <v>661</v>
      </c>
      <c r="I135" s="428" t="s">
        <v>676</v>
      </c>
      <c r="J135" s="428" t="s">
        <v>660</v>
      </c>
      <c r="K135" s="428" t="s">
        <v>611</v>
      </c>
      <c r="L135" s="428" t="s">
        <v>660</v>
      </c>
      <c r="M135" s="428" t="s">
        <v>611</v>
      </c>
      <c r="N135" s="428" t="s">
        <v>660</v>
      </c>
      <c r="O135" s="490" t="s">
        <v>929</v>
      </c>
      <c r="P135" s="430" t="s">
        <v>660</v>
      </c>
    </row>
    <row r="136" spans="1:16" x14ac:dyDescent="0.2">
      <c r="A136" s="319" t="s">
        <v>662</v>
      </c>
      <c r="B136" s="431"/>
      <c r="C136" s="432"/>
      <c r="D136" s="433">
        <f>+C136*0.2</f>
        <v>0</v>
      </c>
      <c r="E136" s="497">
        <f>+B136+C136</f>
        <v>0</v>
      </c>
      <c r="G136" s="434" t="s">
        <v>662</v>
      </c>
      <c r="H136" s="435"/>
      <c r="I136" s="435"/>
      <c r="J136" s="436">
        <f>+I136*0.2</f>
        <v>0</v>
      </c>
      <c r="K136" s="435"/>
      <c r="L136" s="436">
        <f>+K136*0.2</f>
        <v>0</v>
      </c>
      <c r="M136" s="435"/>
      <c r="N136" s="436">
        <f>+M136*0.2</f>
        <v>0</v>
      </c>
      <c r="O136" s="433">
        <f>+J136+L136+N136</f>
        <v>0</v>
      </c>
      <c r="P136" s="549">
        <f>+D136-O136</f>
        <v>0</v>
      </c>
    </row>
    <row r="137" spans="1:16" x14ac:dyDescent="0.2">
      <c r="A137" s="303" t="s">
        <v>663</v>
      </c>
      <c r="B137" s="321"/>
      <c r="C137" s="437"/>
      <c r="D137" s="438">
        <f t="shared" ref="D137:D147" si="39">+C137*0.2</f>
        <v>0</v>
      </c>
      <c r="E137" s="497">
        <f>+E136+B137+C137</f>
        <v>0</v>
      </c>
      <c r="G137" s="439" t="s">
        <v>663</v>
      </c>
      <c r="H137" s="321"/>
      <c r="I137" s="321"/>
      <c r="J137" s="437">
        <f>+I137*0.2</f>
        <v>0</v>
      </c>
      <c r="K137" s="321"/>
      <c r="L137" s="437">
        <f>+K137*0.2</f>
        <v>0</v>
      </c>
      <c r="M137" s="321"/>
      <c r="N137" s="437">
        <f>+M137*0.2</f>
        <v>0</v>
      </c>
      <c r="O137" s="438">
        <f>+J137+L137+N137</f>
        <v>0</v>
      </c>
      <c r="P137" s="550">
        <f t="shared" ref="P137:P147" si="40">+D137-O137</f>
        <v>0</v>
      </c>
    </row>
    <row r="138" spans="1:16" x14ac:dyDescent="0.2">
      <c r="A138" s="303" t="s">
        <v>664</v>
      </c>
      <c r="B138" s="321"/>
      <c r="C138" s="437"/>
      <c r="D138" s="438">
        <f t="shared" si="39"/>
        <v>0</v>
      </c>
      <c r="E138" s="497">
        <f t="shared" ref="E138:E147" si="41">+E137+B138+C138</f>
        <v>0</v>
      </c>
      <c r="G138" s="439" t="s">
        <v>664</v>
      </c>
      <c r="H138" s="321"/>
      <c r="I138" s="321"/>
      <c r="J138" s="437">
        <f t="shared" ref="J138:J147" si="42">+I138*0.2</f>
        <v>0</v>
      </c>
      <c r="K138" s="321"/>
      <c r="L138" s="437">
        <f t="shared" ref="L138:L146" si="43">+K138*0.2</f>
        <v>0</v>
      </c>
      <c r="M138" s="321"/>
      <c r="N138" s="437">
        <f t="shared" ref="N138:N147" si="44">+M138*0.2</f>
        <v>0</v>
      </c>
      <c r="O138" s="438">
        <f t="shared" ref="O138:O147" si="45">+J138+L138+N138</f>
        <v>0</v>
      </c>
      <c r="P138" s="550">
        <f t="shared" si="40"/>
        <v>0</v>
      </c>
    </row>
    <row r="139" spans="1:16" x14ac:dyDescent="0.2">
      <c r="A139" s="303" t="s">
        <v>665</v>
      </c>
      <c r="B139" s="321"/>
      <c r="C139" s="437"/>
      <c r="D139" s="438">
        <f t="shared" si="39"/>
        <v>0</v>
      </c>
      <c r="E139" s="497">
        <f t="shared" si="41"/>
        <v>0</v>
      </c>
      <c r="G139" s="439" t="s">
        <v>665</v>
      </c>
      <c r="H139" s="321"/>
      <c r="I139" s="321"/>
      <c r="J139" s="437">
        <f t="shared" si="42"/>
        <v>0</v>
      </c>
      <c r="K139" s="321"/>
      <c r="L139" s="437">
        <f t="shared" si="43"/>
        <v>0</v>
      </c>
      <c r="M139" s="321"/>
      <c r="N139" s="437">
        <f t="shared" si="44"/>
        <v>0</v>
      </c>
      <c r="O139" s="438">
        <f t="shared" si="45"/>
        <v>0</v>
      </c>
      <c r="P139" s="550">
        <f t="shared" si="40"/>
        <v>0</v>
      </c>
    </row>
    <row r="140" spans="1:16" x14ac:dyDescent="0.2">
      <c r="A140" s="303" t="s">
        <v>666</v>
      </c>
      <c r="B140" s="321"/>
      <c r="C140" s="437"/>
      <c r="D140" s="438">
        <f t="shared" si="39"/>
        <v>0</v>
      </c>
      <c r="E140" s="497">
        <f t="shared" si="41"/>
        <v>0</v>
      </c>
      <c r="G140" s="439" t="s">
        <v>666</v>
      </c>
      <c r="H140" s="321"/>
      <c r="I140" s="321"/>
      <c r="J140" s="437">
        <f t="shared" si="42"/>
        <v>0</v>
      </c>
      <c r="K140" s="321"/>
      <c r="L140" s="437">
        <f t="shared" si="43"/>
        <v>0</v>
      </c>
      <c r="M140" s="321"/>
      <c r="N140" s="437">
        <f t="shared" si="44"/>
        <v>0</v>
      </c>
      <c r="O140" s="438">
        <f t="shared" si="45"/>
        <v>0</v>
      </c>
      <c r="P140" s="550">
        <f t="shared" si="40"/>
        <v>0</v>
      </c>
    </row>
    <row r="141" spans="1:16" x14ac:dyDescent="0.2">
      <c r="A141" s="303" t="s">
        <v>667</v>
      </c>
      <c r="B141" s="321"/>
      <c r="C141" s="437"/>
      <c r="D141" s="438">
        <f t="shared" si="39"/>
        <v>0</v>
      </c>
      <c r="E141" s="497">
        <f t="shared" si="41"/>
        <v>0</v>
      </c>
      <c r="G141" s="439" t="s">
        <v>667</v>
      </c>
      <c r="H141" s="321"/>
      <c r="I141" s="321"/>
      <c r="J141" s="437">
        <f t="shared" si="42"/>
        <v>0</v>
      </c>
      <c r="K141" s="321"/>
      <c r="L141" s="437">
        <f t="shared" si="43"/>
        <v>0</v>
      </c>
      <c r="M141" s="321"/>
      <c r="N141" s="437">
        <f t="shared" si="44"/>
        <v>0</v>
      </c>
      <c r="O141" s="438">
        <f t="shared" si="45"/>
        <v>0</v>
      </c>
      <c r="P141" s="550">
        <f t="shared" si="40"/>
        <v>0</v>
      </c>
    </row>
    <row r="142" spans="1:16" x14ac:dyDescent="0.2">
      <c r="A142" s="303" t="s">
        <v>668</v>
      </c>
      <c r="B142" s="321"/>
      <c r="C142" s="437"/>
      <c r="D142" s="438">
        <f t="shared" si="39"/>
        <v>0</v>
      </c>
      <c r="E142" s="497">
        <f t="shared" si="41"/>
        <v>0</v>
      </c>
      <c r="G142" s="439" t="s">
        <v>668</v>
      </c>
      <c r="H142" s="321"/>
      <c r="I142" s="321"/>
      <c r="J142" s="437">
        <f t="shared" si="42"/>
        <v>0</v>
      </c>
      <c r="K142" s="321"/>
      <c r="L142" s="437">
        <f t="shared" si="43"/>
        <v>0</v>
      </c>
      <c r="M142" s="321"/>
      <c r="N142" s="437">
        <f t="shared" si="44"/>
        <v>0</v>
      </c>
      <c r="O142" s="438">
        <f t="shared" si="45"/>
        <v>0</v>
      </c>
      <c r="P142" s="550">
        <f t="shared" si="40"/>
        <v>0</v>
      </c>
    </row>
    <row r="143" spans="1:16" x14ac:dyDescent="0.2">
      <c r="A143" s="303" t="s">
        <v>669</v>
      </c>
      <c r="B143" s="321"/>
      <c r="C143" s="437"/>
      <c r="D143" s="438">
        <f t="shared" si="39"/>
        <v>0</v>
      </c>
      <c r="E143" s="497">
        <f t="shared" si="41"/>
        <v>0</v>
      </c>
      <c r="G143" s="439" t="s">
        <v>669</v>
      </c>
      <c r="H143" s="321"/>
      <c r="I143" s="321"/>
      <c r="J143" s="437">
        <f t="shared" si="42"/>
        <v>0</v>
      </c>
      <c r="K143" s="321"/>
      <c r="L143" s="437">
        <f t="shared" si="43"/>
        <v>0</v>
      </c>
      <c r="M143" s="321"/>
      <c r="N143" s="437">
        <f t="shared" si="44"/>
        <v>0</v>
      </c>
      <c r="O143" s="438">
        <f t="shared" si="45"/>
        <v>0</v>
      </c>
      <c r="P143" s="550">
        <f t="shared" si="40"/>
        <v>0</v>
      </c>
    </row>
    <row r="144" spans="1:16" x14ac:dyDescent="0.2">
      <c r="A144" s="303" t="s">
        <v>670</v>
      </c>
      <c r="B144" s="321"/>
      <c r="C144" s="437"/>
      <c r="D144" s="438">
        <f t="shared" si="39"/>
        <v>0</v>
      </c>
      <c r="E144" s="497">
        <f t="shared" si="41"/>
        <v>0</v>
      </c>
      <c r="G144" s="439" t="s">
        <v>670</v>
      </c>
      <c r="H144" s="321"/>
      <c r="I144" s="321"/>
      <c r="J144" s="437">
        <f t="shared" si="42"/>
        <v>0</v>
      </c>
      <c r="K144" s="321"/>
      <c r="L144" s="437">
        <f t="shared" si="43"/>
        <v>0</v>
      </c>
      <c r="M144" s="321"/>
      <c r="N144" s="437">
        <f t="shared" si="44"/>
        <v>0</v>
      </c>
      <c r="O144" s="438">
        <f t="shared" si="45"/>
        <v>0</v>
      </c>
      <c r="P144" s="550">
        <f t="shared" si="40"/>
        <v>0</v>
      </c>
    </row>
    <row r="145" spans="1:16" x14ac:dyDescent="0.2">
      <c r="A145" s="303" t="s">
        <v>671</v>
      </c>
      <c r="B145" s="321"/>
      <c r="C145" s="437"/>
      <c r="D145" s="438">
        <f t="shared" si="39"/>
        <v>0</v>
      </c>
      <c r="E145" s="497">
        <f t="shared" si="41"/>
        <v>0</v>
      </c>
      <c r="G145" s="439" t="s">
        <v>671</v>
      </c>
      <c r="H145" s="321"/>
      <c r="I145" s="321"/>
      <c r="J145" s="437">
        <f t="shared" si="42"/>
        <v>0</v>
      </c>
      <c r="K145" s="321"/>
      <c r="L145" s="437">
        <f t="shared" si="43"/>
        <v>0</v>
      </c>
      <c r="M145" s="321"/>
      <c r="N145" s="437">
        <f t="shared" si="44"/>
        <v>0</v>
      </c>
      <c r="O145" s="438">
        <f t="shared" si="45"/>
        <v>0</v>
      </c>
      <c r="P145" s="550">
        <f t="shared" si="40"/>
        <v>0</v>
      </c>
    </row>
    <row r="146" spans="1:16" x14ac:dyDescent="0.2">
      <c r="A146" s="303" t="s">
        <v>672</v>
      </c>
      <c r="B146" s="321"/>
      <c r="C146" s="437"/>
      <c r="D146" s="438">
        <f t="shared" si="39"/>
        <v>0</v>
      </c>
      <c r="E146" s="497">
        <f t="shared" si="41"/>
        <v>0</v>
      </c>
      <c r="G146" s="439" t="s">
        <v>672</v>
      </c>
      <c r="H146" s="321"/>
      <c r="I146" s="321"/>
      <c r="J146" s="437">
        <f t="shared" si="42"/>
        <v>0</v>
      </c>
      <c r="K146" s="321"/>
      <c r="L146" s="437">
        <f t="shared" si="43"/>
        <v>0</v>
      </c>
      <c r="M146" s="321"/>
      <c r="N146" s="437">
        <f t="shared" si="44"/>
        <v>0</v>
      </c>
      <c r="O146" s="438">
        <f t="shared" si="45"/>
        <v>0</v>
      </c>
      <c r="P146" s="550">
        <f t="shared" si="40"/>
        <v>0</v>
      </c>
    </row>
    <row r="147" spans="1:16" ht="13.5" thickBot="1" x14ac:dyDescent="0.25">
      <c r="A147" s="305" t="s">
        <v>673</v>
      </c>
      <c r="B147" s="440"/>
      <c r="C147" s="441"/>
      <c r="D147" s="442">
        <f t="shared" si="39"/>
        <v>0</v>
      </c>
      <c r="E147" s="497">
        <f t="shared" si="41"/>
        <v>0</v>
      </c>
      <c r="G147" s="451" t="s">
        <v>673</v>
      </c>
      <c r="H147" s="440"/>
      <c r="I147" s="440"/>
      <c r="J147" s="441">
        <f t="shared" si="42"/>
        <v>0</v>
      </c>
      <c r="K147" s="440"/>
      <c r="L147" s="441">
        <f>+K147*0.2</f>
        <v>0</v>
      </c>
      <c r="M147" s="440"/>
      <c r="N147" s="441">
        <f t="shared" si="44"/>
        <v>0</v>
      </c>
      <c r="O147" s="438">
        <f t="shared" si="45"/>
        <v>0</v>
      </c>
      <c r="P147" s="551">
        <f t="shared" si="40"/>
        <v>0</v>
      </c>
    </row>
    <row r="148" spans="1:16" ht="13.5" thickBot="1" x14ac:dyDescent="0.25">
      <c r="A148" s="444"/>
      <c r="B148" s="445">
        <f>SUM(B136:B147)</f>
        <v>0</v>
      </c>
      <c r="C148" s="445">
        <f>SUM(C136:C147)</f>
        <v>0</v>
      </c>
      <c r="D148" s="445">
        <f>SUM(D136:D147)</f>
        <v>0</v>
      </c>
      <c r="E148" s="497"/>
      <c r="G148" s="444"/>
      <c r="H148" s="445">
        <f>SUM(H136:H147)</f>
        <v>0</v>
      </c>
      <c r="I148" s="445">
        <f t="shared" ref="I148:O148" si="46">SUM(I136:I147)</f>
        <v>0</v>
      </c>
      <c r="J148" s="445">
        <f t="shared" si="46"/>
        <v>0</v>
      </c>
      <c r="K148" s="445">
        <f t="shared" si="46"/>
        <v>0</v>
      </c>
      <c r="L148" s="445">
        <f t="shared" si="46"/>
        <v>0</v>
      </c>
      <c r="M148" s="445">
        <f t="shared" si="46"/>
        <v>0</v>
      </c>
      <c r="N148" s="446">
        <f t="shared" si="46"/>
        <v>0</v>
      </c>
      <c r="O148" s="447">
        <f t="shared" si="46"/>
        <v>0</v>
      </c>
      <c r="P148" s="552">
        <f>SUM(P136:P147)</f>
        <v>0</v>
      </c>
    </row>
    <row r="150" spans="1:16" ht="18.75" x14ac:dyDescent="0.3">
      <c r="A150" t="s">
        <v>674</v>
      </c>
      <c r="C150" s="449">
        <f>+B148+C148</f>
        <v>0</v>
      </c>
      <c r="G150" t="s">
        <v>675</v>
      </c>
      <c r="H150" s="323">
        <f>+H148+I148+K148+M148</f>
        <v>0</v>
      </c>
      <c r="I150" s="323">
        <f>+H148+I148+K148+M148</f>
        <v>0</v>
      </c>
      <c r="M150" s="450"/>
    </row>
    <row r="151" spans="1:16" x14ac:dyDescent="0.2">
      <c r="K151" s="323"/>
    </row>
    <row r="153" spans="1:16" x14ac:dyDescent="0.2">
      <c r="F153" s="323" t="s">
        <v>1031</v>
      </c>
      <c r="G153" s="323">
        <f>+C150-H150</f>
        <v>0</v>
      </c>
      <c r="K153" s="323">
        <f>+K137/24*11</f>
        <v>0</v>
      </c>
    </row>
    <row r="154" spans="1:16" x14ac:dyDescent="0.2">
      <c r="K154">
        <f>+K146/24*2</f>
        <v>0</v>
      </c>
    </row>
    <row r="155" spans="1:16" x14ac:dyDescent="0.2">
      <c r="K155" s="323">
        <f>+K153+K154</f>
        <v>0</v>
      </c>
    </row>
  </sheetData>
  <mergeCells count="18">
    <mergeCell ref="K71:L71"/>
    <mergeCell ref="M71:N71"/>
    <mergeCell ref="I2:J2"/>
    <mergeCell ref="K2:L2"/>
    <mergeCell ref="M2:N2"/>
    <mergeCell ref="I23:J23"/>
    <mergeCell ref="K23:L23"/>
    <mergeCell ref="M23:N23"/>
    <mergeCell ref="I134:J134"/>
    <mergeCell ref="K134:L134"/>
    <mergeCell ref="M134:N134"/>
    <mergeCell ref="I49:J49"/>
    <mergeCell ref="K49:L49"/>
    <mergeCell ref="M49:N49"/>
    <mergeCell ref="I106:J106"/>
    <mergeCell ref="K106:L106"/>
    <mergeCell ref="M106:N106"/>
    <mergeCell ref="I71:J71"/>
  </mergeCells>
  <pageMargins left="0.19685039370078741" right="0.19685039370078741" top="0.74803149606299213" bottom="0.74803149606299213" header="0.31496062992125984" footer="0.31496062992125984"/>
  <pageSetup scale="78"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244"/>
  <sheetViews>
    <sheetView topLeftCell="A82" zoomScale="80" workbookViewId="0">
      <selection activeCell="R132" sqref="R132"/>
    </sheetView>
  </sheetViews>
  <sheetFormatPr defaultRowHeight="15" x14ac:dyDescent="0.25"/>
  <cols>
    <col min="1" max="1" width="5.85546875" style="25" customWidth="1"/>
    <col min="2" max="2" width="54.5703125" style="25" customWidth="1"/>
    <col min="3" max="4" width="21.5703125" style="25" customWidth="1"/>
    <col min="5" max="9" width="21.5703125" style="25" hidden="1" customWidth="1"/>
    <col min="10" max="10" width="20.140625" style="25" hidden="1" customWidth="1"/>
    <col min="11" max="11" width="22.85546875" style="25" hidden="1" customWidth="1"/>
    <col min="12" max="12" width="19.28515625" style="25" hidden="1" customWidth="1"/>
    <col min="13" max="13" width="3.85546875" style="25" hidden="1" customWidth="1"/>
    <col min="14" max="14" width="19.28515625" style="25" hidden="1" customWidth="1"/>
    <col min="15" max="15" width="3.7109375" style="25" hidden="1" customWidth="1"/>
    <col min="16" max="16" width="18.7109375" style="25" hidden="1" customWidth="1"/>
    <col min="17" max="17" width="5.42578125" style="25" customWidth="1"/>
    <col min="18" max="18" width="18.42578125" style="25" customWidth="1"/>
    <col min="19" max="19" width="16" style="25" customWidth="1"/>
    <col min="20" max="16384" width="9.140625" style="25"/>
  </cols>
  <sheetData>
    <row r="3" spans="2:18" x14ac:dyDescent="0.25">
      <c r="B3" s="373" t="s">
        <v>98</v>
      </c>
      <c r="C3" s="373"/>
      <c r="D3" s="373"/>
      <c r="E3" s="373"/>
      <c r="F3" s="373"/>
      <c r="G3" s="373"/>
      <c r="H3" s="373"/>
      <c r="I3" s="373"/>
      <c r="J3" s="373"/>
      <c r="M3" s="373"/>
    </row>
    <row r="4" spans="2:18" x14ac:dyDescent="0.25">
      <c r="B4" s="373" t="s">
        <v>514</v>
      </c>
      <c r="C4" s="373"/>
      <c r="D4" s="373"/>
      <c r="E4" s="373"/>
      <c r="F4" s="373"/>
      <c r="G4" s="373"/>
      <c r="H4" s="373"/>
      <c r="I4" s="373"/>
      <c r="J4" s="373"/>
      <c r="M4" s="373"/>
    </row>
    <row r="5" spans="2:18" x14ac:dyDescent="0.25">
      <c r="B5" s="452" t="s">
        <v>478</v>
      </c>
      <c r="C5" s="453" t="s">
        <v>1018</v>
      </c>
      <c r="D5" s="453" t="s">
        <v>1008</v>
      </c>
      <c r="E5" s="453" t="s">
        <v>944</v>
      </c>
      <c r="F5" s="453" t="s">
        <v>938</v>
      </c>
      <c r="G5" s="453" t="s">
        <v>697</v>
      </c>
      <c r="H5" s="453" t="s">
        <v>652</v>
      </c>
      <c r="I5" s="453" t="s">
        <v>639</v>
      </c>
      <c r="J5" s="375" t="s">
        <v>626</v>
      </c>
      <c r="K5" s="375" t="s">
        <v>584</v>
      </c>
      <c r="L5" s="375" t="s">
        <v>568</v>
      </c>
      <c r="M5" s="374"/>
      <c r="N5" s="375" t="s">
        <v>109</v>
      </c>
      <c r="P5" s="375" t="s">
        <v>99</v>
      </c>
      <c r="Q5" s="376"/>
    </row>
    <row r="6" spans="2:18" x14ac:dyDescent="0.25">
      <c r="B6" s="452" t="s">
        <v>100</v>
      </c>
      <c r="C6" s="454">
        <f>+'Bilanci Alpha'!F50</f>
        <v>115120</v>
      </c>
      <c r="D6" s="454">
        <f>+'Bilanci Alpha'!G50</f>
        <v>42353</v>
      </c>
      <c r="E6" s="454">
        <f>+'Bilanci Alpha'!H50</f>
        <v>92981</v>
      </c>
      <c r="F6" s="454">
        <f>+'Bilanci Alpha'!I50</f>
        <v>136674</v>
      </c>
      <c r="G6" s="454">
        <f>+'Bilanci Alpha'!J50</f>
        <v>133824</v>
      </c>
      <c r="H6" s="454">
        <f>+'Bilanci Alpha'!K50</f>
        <v>123693</v>
      </c>
      <c r="I6" s="454">
        <f>+'Bilanci Alpha'!L50</f>
        <v>91125</v>
      </c>
      <c r="J6" s="377">
        <v>770283</v>
      </c>
      <c r="K6" s="377">
        <f>+'Bilanci Alpha'!N50</f>
        <v>775338</v>
      </c>
      <c r="L6" s="377">
        <f>+'Bilanci Alpha'!O50</f>
        <v>256846</v>
      </c>
      <c r="M6" s="374"/>
      <c r="N6" s="377">
        <f>+'Bilanci Alpha'!P50</f>
        <v>1544672</v>
      </c>
      <c r="O6" s="377"/>
      <c r="P6" s="377">
        <f>+'Bilanci Alpha'!Q50</f>
        <v>1515402</v>
      </c>
      <c r="R6" s="17"/>
    </row>
    <row r="7" spans="2:18" x14ac:dyDescent="0.25">
      <c r="B7" s="452" t="s">
        <v>101</v>
      </c>
      <c r="C7" s="454">
        <f>+'Bilanci Alpha'!F49</f>
        <v>921111.58</v>
      </c>
      <c r="D7" s="454">
        <f>+'Bilanci Alpha'!G49</f>
        <v>1009901</v>
      </c>
      <c r="E7" s="454">
        <f>+'Bilanci Alpha'!H49</f>
        <v>1939334.38</v>
      </c>
      <c r="F7" s="454">
        <f>+'Bilanci Alpha'!I49</f>
        <v>248558.1</v>
      </c>
      <c r="G7" s="454">
        <f>+'Bilanci Alpha'!J49</f>
        <v>718297.37</v>
      </c>
      <c r="H7" s="454">
        <f>+'Bilanci Alpha'!K49</f>
        <v>1357836</v>
      </c>
      <c r="I7" s="454">
        <f>+'Bilanci Alpha'!L49</f>
        <v>679038</v>
      </c>
      <c r="J7" s="377">
        <v>710478</v>
      </c>
      <c r="K7" s="377">
        <f>+'Bilanci Alpha'!N49</f>
        <v>386127</v>
      </c>
      <c r="L7" s="377">
        <f>+'Bilanci Alpha'!O49</f>
        <v>610133</v>
      </c>
      <c r="M7" s="374"/>
      <c r="N7" s="377">
        <f>+'Bilanci Alpha'!P49</f>
        <v>568971</v>
      </c>
      <c r="O7" s="377"/>
      <c r="P7" s="377">
        <f>+'Bilanci Alpha'!Q49</f>
        <v>1182269</v>
      </c>
      <c r="R7" s="17"/>
    </row>
    <row r="8" spans="2:18" x14ac:dyDescent="0.25">
      <c r="B8" s="452" t="s">
        <v>571</v>
      </c>
      <c r="C8" s="454">
        <f>+'Bilanci Alpha'!F51</f>
        <v>0</v>
      </c>
      <c r="D8" s="454">
        <f>+'Bilanci Alpha'!G51</f>
        <v>0</v>
      </c>
      <c r="E8" s="454">
        <f>+'Bilanci Alpha'!H51</f>
        <v>0</v>
      </c>
      <c r="F8" s="454">
        <f>+'Bilanci Alpha'!I51</f>
        <v>0</v>
      </c>
      <c r="G8" s="454">
        <f>+'Bilanci Alpha'!J51</f>
        <v>0</v>
      </c>
      <c r="H8" s="454">
        <f>+'Bilanci Alpha'!K51</f>
        <v>0</v>
      </c>
      <c r="I8" s="454">
        <f>+'Bilanci Alpha'!L51</f>
        <v>0</v>
      </c>
      <c r="J8" s="377">
        <f>+'Bilanci Alpha'!M51</f>
        <v>0</v>
      </c>
      <c r="K8" s="377">
        <f>+'Bilanci Alpha'!N51</f>
        <v>0</v>
      </c>
      <c r="L8" s="377">
        <f>+'Bilanci Alpha'!O51</f>
        <v>151999</v>
      </c>
      <c r="M8" s="374"/>
      <c r="N8" s="377"/>
      <c r="O8" s="377"/>
      <c r="P8" s="377">
        <f>+'Bilanci Alpha'!Q51</f>
        <v>615400</v>
      </c>
    </row>
    <row r="9" spans="2:18" ht="15.75" thickBot="1" x14ac:dyDescent="0.3">
      <c r="B9" s="455" t="s">
        <v>2</v>
      </c>
      <c r="C9" s="456">
        <f>SUM(C6:C8)</f>
        <v>1036231.58</v>
      </c>
      <c r="D9" s="456">
        <f>SUM(D6:D8)</f>
        <v>1052254</v>
      </c>
      <c r="E9" s="456">
        <f>SUM(E6:E8)</f>
        <v>2032315.38</v>
      </c>
      <c r="F9" s="456">
        <f>SUM(F6:F8)</f>
        <v>385232.1</v>
      </c>
      <c r="G9" s="456">
        <f t="shared" ref="G9:L9" si="0">SUM(G6:G8)</f>
        <v>852121.37</v>
      </c>
      <c r="H9" s="456">
        <f t="shared" si="0"/>
        <v>1481529</v>
      </c>
      <c r="I9" s="456">
        <f t="shared" si="0"/>
        <v>770163</v>
      </c>
      <c r="J9" s="379">
        <f t="shared" si="0"/>
        <v>1480761</v>
      </c>
      <c r="K9" s="379">
        <f t="shared" si="0"/>
        <v>1161465</v>
      </c>
      <c r="L9" s="380">
        <f t="shared" si="0"/>
        <v>1018978</v>
      </c>
      <c r="M9" s="378"/>
      <c r="N9" s="380">
        <f>SUM(N6:N8)</f>
        <v>2113643</v>
      </c>
      <c r="O9" s="377"/>
      <c r="P9" s="380">
        <f>SUM(P6:P8)</f>
        <v>3313071</v>
      </c>
      <c r="Q9" s="373"/>
    </row>
    <row r="10" spans="2:18" ht="15.75" thickTop="1" x14ac:dyDescent="0.25">
      <c r="B10" s="20">
        <f>+N9-N10</f>
        <v>0</v>
      </c>
      <c r="C10" s="381">
        <f>+BK!F8</f>
        <v>1036231.58</v>
      </c>
      <c r="D10" s="381">
        <f>+BK!G8</f>
        <v>1052254</v>
      </c>
      <c r="E10" s="381">
        <f>+BK!H8</f>
        <v>2032315.38</v>
      </c>
      <c r="F10" s="381">
        <f>+BK!I8</f>
        <v>385232.1</v>
      </c>
      <c r="G10" s="381">
        <f>+BK!J8</f>
        <v>852121.37</v>
      </c>
      <c r="H10" s="381">
        <f>+BK!K8</f>
        <v>1481529</v>
      </c>
      <c r="I10" s="381">
        <f>+BK!L8</f>
        <v>770163</v>
      </c>
      <c r="J10" s="381">
        <f>+BK!M8</f>
        <v>1480761</v>
      </c>
      <c r="K10" s="381">
        <f>+BK!N8</f>
        <v>1161465</v>
      </c>
      <c r="L10" s="381">
        <f>+BK!O8</f>
        <v>1018978</v>
      </c>
      <c r="M10" s="20"/>
      <c r="N10" s="381">
        <f>+BK!P8</f>
        <v>2113643</v>
      </c>
      <c r="O10" s="381"/>
      <c r="P10" s="381">
        <f>+BK!R8</f>
        <v>3313071</v>
      </c>
    </row>
    <row r="11" spans="2:18" x14ac:dyDescent="0.25">
      <c r="B11" s="382" t="s">
        <v>102</v>
      </c>
      <c r="C11" s="382"/>
      <c r="D11" s="382"/>
      <c r="E11" s="382"/>
      <c r="F11" s="382"/>
      <c r="G11" s="382"/>
      <c r="H11" s="382"/>
      <c r="I11" s="382"/>
      <c r="J11" s="382"/>
      <c r="K11" s="374"/>
      <c r="L11" s="374"/>
      <c r="M11" s="382"/>
      <c r="N11" s="374"/>
      <c r="O11" s="374"/>
      <c r="P11" s="374"/>
    </row>
    <row r="12" spans="2:18" x14ac:dyDescent="0.25">
      <c r="B12" s="374"/>
      <c r="C12" s="375" t="str">
        <f>+C5</f>
        <v>31 Dhjetor 2018</v>
      </c>
      <c r="D12" s="375" t="str">
        <f>+D5</f>
        <v>31 Dhjetor 2017</v>
      </c>
      <c r="E12" s="375" t="str">
        <f>+E5</f>
        <v>31 Dhjetor 2016</v>
      </c>
      <c r="F12" s="375" t="str">
        <f t="shared" ref="F12:K12" si="1">+F5</f>
        <v>31 Dhjetor 2015</v>
      </c>
      <c r="G12" s="375" t="str">
        <f t="shared" si="1"/>
        <v>31 Dhjetor 2014</v>
      </c>
      <c r="H12" s="375" t="str">
        <f t="shared" si="1"/>
        <v>31 Dhjetor 2013</v>
      </c>
      <c r="I12" s="375" t="str">
        <f t="shared" si="1"/>
        <v>31 Dhjetor 2012</v>
      </c>
      <c r="J12" s="375" t="str">
        <f t="shared" si="1"/>
        <v>31 Dhjetor 2011</v>
      </c>
      <c r="K12" s="375" t="str">
        <f t="shared" si="1"/>
        <v>31 Dhjetor 2010</v>
      </c>
      <c r="L12" s="375" t="s">
        <v>568</v>
      </c>
      <c r="M12" s="374"/>
      <c r="N12" s="375" t="s">
        <v>109</v>
      </c>
      <c r="P12" s="375" t="s">
        <v>99</v>
      </c>
      <c r="Q12" s="376"/>
    </row>
    <row r="13" spans="2:18" x14ac:dyDescent="0.25">
      <c r="B13" s="374" t="s">
        <v>141</v>
      </c>
      <c r="C13" s="25">
        <f>+BK!F20</f>
        <v>0</v>
      </c>
      <c r="D13" s="25">
        <f>+BK!G20</f>
        <v>0</v>
      </c>
      <c r="E13" s="25">
        <f>+BK!H20</f>
        <v>0</v>
      </c>
      <c r="F13" s="25">
        <f>+BK!I20</f>
        <v>0</v>
      </c>
      <c r="G13" s="25">
        <f>+BK!J20</f>
        <v>0</v>
      </c>
      <c r="H13" s="25">
        <f>+BK!K20</f>
        <v>0</v>
      </c>
      <c r="I13" s="25">
        <f>+BK!L20</f>
        <v>0</v>
      </c>
      <c r="J13" s="25">
        <f>+BK!M20</f>
        <v>0</v>
      </c>
      <c r="K13" s="25">
        <f>+BK!N20</f>
        <v>0</v>
      </c>
      <c r="L13" s="25">
        <f>+BK!O20</f>
        <v>0</v>
      </c>
      <c r="N13" s="25">
        <f>+BK!P20</f>
        <v>0</v>
      </c>
      <c r="O13" s="377"/>
      <c r="P13" s="25">
        <f>+BK!R20</f>
        <v>0</v>
      </c>
    </row>
    <row r="14" spans="2:18" x14ac:dyDescent="0.25">
      <c r="B14" s="374"/>
      <c r="C14" s="374"/>
      <c r="D14" s="374"/>
      <c r="E14" s="374"/>
      <c r="F14" s="374"/>
      <c r="G14" s="374"/>
      <c r="H14" s="374"/>
      <c r="I14" s="374"/>
      <c r="J14" s="374"/>
      <c r="M14" s="374"/>
      <c r="O14" s="377"/>
    </row>
    <row r="15" spans="2:18" ht="15.75" thickBot="1" x14ac:dyDescent="0.3">
      <c r="B15" s="378" t="s">
        <v>2</v>
      </c>
      <c r="C15" s="378"/>
      <c r="D15" s="378"/>
      <c r="E15" s="378"/>
      <c r="F15" s="378"/>
      <c r="G15" s="378"/>
      <c r="H15" s="378"/>
      <c r="I15" s="378"/>
      <c r="J15" s="378"/>
      <c r="K15" s="380">
        <f>SUM(K13:K14)</f>
        <v>0</v>
      </c>
      <c r="L15" s="380">
        <f>SUM(L13:L14)</f>
        <v>0</v>
      </c>
      <c r="M15" s="378"/>
      <c r="N15" s="380">
        <f>SUM(N13:N14)</f>
        <v>0</v>
      </c>
      <c r="O15" s="377"/>
      <c r="P15" s="380">
        <f>SUM(P13:P14)</f>
        <v>0</v>
      </c>
      <c r="Q15" s="373"/>
    </row>
    <row r="16" spans="2:18" ht="15.75" thickTop="1" x14ac:dyDescent="0.25">
      <c r="B16" s="378"/>
      <c r="C16" s="378"/>
      <c r="D16" s="378"/>
      <c r="E16" s="378"/>
      <c r="F16" s="378"/>
      <c r="G16" s="378"/>
      <c r="H16" s="378"/>
      <c r="I16" s="378"/>
      <c r="J16" s="378"/>
      <c r="K16" s="161"/>
      <c r="L16" s="161"/>
      <c r="M16" s="378"/>
      <c r="N16" s="161"/>
      <c r="O16" s="377"/>
      <c r="P16" s="161"/>
      <c r="Q16" s="373"/>
    </row>
    <row r="17" spans="1:22" x14ac:dyDescent="0.25">
      <c r="B17" s="20"/>
      <c r="C17" s="20"/>
      <c r="D17" s="20"/>
      <c r="E17" s="20"/>
      <c r="F17" s="20"/>
      <c r="G17" s="20"/>
      <c r="H17" s="20"/>
      <c r="I17" s="20"/>
      <c r="J17" s="20"/>
      <c r="K17" s="381" t="str">
        <f>+BK!B18</f>
        <v xml:space="preserve">Lendet e para </v>
      </c>
      <c r="L17" s="381">
        <f>+BK!C18</f>
        <v>0</v>
      </c>
      <c r="M17" s="20"/>
      <c r="N17" s="381">
        <f>+BK!P18</f>
        <v>0</v>
      </c>
      <c r="O17" s="381"/>
      <c r="P17" s="381">
        <f>+BK!R18</f>
        <v>0</v>
      </c>
    </row>
    <row r="18" spans="1:22" x14ac:dyDescent="0.25">
      <c r="B18" s="374" t="s">
        <v>103</v>
      </c>
      <c r="C18" s="374"/>
      <c r="D18" s="374"/>
      <c r="E18" s="374"/>
      <c r="F18" s="374"/>
      <c r="G18" s="374"/>
      <c r="H18" s="374"/>
      <c r="I18" s="374"/>
      <c r="J18" s="374"/>
      <c r="K18" s="383"/>
      <c r="L18" s="383"/>
      <c r="M18" s="374"/>
      <c r="N18" s="383"/>
      <c r="O18" s="374"/>
      <c r="P18" s="374"/>
    </row>
    <row r="19" spans="1:22" x14ac:dyDescent="0.25">
      <c r="B19" s="457" t="s">
        <v>478</v>
      </c>
      <c r="C19" s="453" t="str">
        <f>+C12</f>
        <v>31 Dhjetor 2018</v>
      </c>
      <c r="D19" s="453" t="str">
        <f>+D12</f>
        <v>31 Dhjetor 2017</v>
      </c>
      <c r="E19" s="453" t="str">
        <f>+E12</f>
        <v>31 Dhjetor 2016</v>
      </c>
      <c r="F19" s="453" t="str">
        <f t="shared" ref="F19:K19" si="2">+F12</f>
        <v>31 Dhjetor 2015</v>
      </c>
      <c r="G19" s="453" t="str">
        <f t="shared" si="2"/>
        <v>31 Dhjetor 2014</v>
      </c>
      <c r="H19" s="453" t="str">
        <f t="shared" si="2"/>
        <v>31 Dhjetor 2013</v>
      </c>
      <c r="I19" s="453" t="str">
        <f t="shared" si="2"/>
        <v>31 Dhjetor 2012</v>
      </c>
      <c r="J19" s="375" t="str">
        <f t="shared" si="2"/>
        <v>31 Dhjetor 2011</v>
      </c>
      <c r="K19" s="375" t="str">
        <f t="shared" si="2"/>
        <v>31 Dhjetor 2010</v>
      </c>
      <c r="L19" s="375" t="s">
        <v>568</v>
      </c>
      <c r="M19" s="384"/>
      <c r="N19" s="375" t="s">
        <v>109</v>
      </c>
      <c r="O19" s="385"/>
      <c r="P19" s="375" t="s">
        <v>99</v>
      </c>
      <c r="Q19" s="376"/>
    </row>
    <row r="20" spans="1:22" x14ac:dyDescent="0.25">
      <c r="B20" s="458" t="s">
        <v>133</v>
      </c>
      <c r="C20" s="459">
        <f>+BK!F12</f>
        <v>21137033.129000001</v>
      </c>
      <c r="D20" s="459">
        <f>+BK!G12</f>
        <v>12740703.280000001</v>
      </c>
      <c r="E20" s="459">
        <f>+BK!H12</f>
        <v>18499447</v>
      </c>
      <c r="F20" s="459">
        <f>+BK!I12</f>
        <v>10485211</v>
      </c>
      <c r="G20" s="459">
        <f>+BK!J12</f>
        <v>12252050</v>
      </c>
      <c r="H20" s="459">
        <f>+BK!K12</f>
        <v>17792038</v>
      </c>
      <c r="I20" s="459">
        <f>+BK!L12</f>
        <v>18285958</v>
      </c>
      <c r="J20" s="387">
        <f>+BK!M12</f>
        <v>17374090</v>
      </c>
      <c r="K20" s="387">
        <f>+BK!N12</f>
        <v>16908659</v>
      </c>
      <c r="L20" s="387">
        <f>+BK!O12</f>
        <v>6005912</v>
      </c>
      <c r="M20" s="386"/>
      <c r="N20" s="387">
        <f>+BK!P12</f>
        <v>3183589</v>
      </c>
      <c r="O20" s="387"/>
      <c r="P20" s="387">
        <f>+BK!R12</f>
        <v>1896742</v>
      </c>
      <c r="S20" s="159"/>
      <c r="T20" s="160"/>
      <c r="U20" s="159"/>
      <c r="V20" s="160"/>
    </row>
    <row r="21" spans="1:22" x14ac:dyDescent="0.25">
      <c r="B21" s="458" t="s">
        <v>1002</v>
      </c>
      <c r="C21" s="459">
        <f>+BK!F13</f>
        <v>0</v>
      </c>
      <c r="D21" s="459">
        <f>+BK!G13</f>
        <v>1075022</v>
      </c>
      <c r="E21" s="459">
        <f>+BK!H13</f>
        <v>2347227</v>
      </c>
      <c r="F21" s="459">
        <f>+BK!I13</f>
        <v>2870098</v>
      </c>
      <c r="G21" s="459">
        <f>+BK!J13</f>
        <v>3219407.1775000012</v>
      </c>
      <c r="H21" s="459">
        <f>+BK!K13</f>
        <v>3692236</v>
      </c>
      <c r="I21" s="459">
        <f>+BK!L13</f>
        <v>4012173</v>
      </c>
      <c r="J21" s="387">
        <f>+BK!M13</f>
        <v>3549977</v>
      </c>
      <c r="K21" s="387">
        <f>+BK!N13</f>
        <v>8416359</v>
      </c>
      <c r="L21" s="387">
        <f>+BK!O13</f>
        <v>15156696</v>
      </c>
      <c r="M21" s="386"/>
      <c r="N21" s="387">
        <f>+BK!P13</f>
        <v>4488007</v>
      </c>
      <c r="O21" s="387"/>
      <c r="P21" s="387">
        <f>+BK!R13</f>
        <v>6214125</v>
      </c>
      <c r="S21" s="159"/>
      <c r="T21" s="161"/>
      <c r="U21" s="159"/>
      <c r="V21" s="161"/>
    </row>
    <row r="22" spans="1:22" x14ac:dyDescent="0.25">
      <c r="B22" s="457"/>
      <c r="C22" s="457"/>
      <c r="D22" s="457"/>
      <c r="E22" s="457"/>
      <c r="F22" s="457"/>
      <c r="G22" s="457"/>
      <c r="H22" s="457"/>
      <c r="I22" s="457"/>
      <c r="J22" s="384"/>
      <c r="K22" s="387"/>
      <c r="L22" s="387"/>
      <c r="M22" s="384"/>
      <c r="N22" s="387"/>
      <c r="O22" s="387"/>
      <c r="P22" s="387"/>
      <c r="Q22" s="373"/>
      <c r="S22" s="159"/>
      <c r="T22" s="161"/>
      <c r="U22" s="159"/>
      <c r="V22" s="161"/>
    </row>
    <row r="23" spans="1:22" ht="15.75" thickBot="1" x14ac:dyDescent="0.3">
      <c r="B23" s="455" t="s">
        <v>2</v>
      </c>
      <c r="C23" s="460">
        <f>SUM(C20:C22)</f>
        <v>21137033.129000001</v>
      </c>
      <c r="D23" s="460">
        <f>SUM(D20:D22)</f>
        <v>13815725.280000001</v>
      </c>
      <c r="E23" s="460">
        <f>SUM(E20:E22)</f>
        <v>20846674</v>
      </c>
      <c r="F23" s="460">
        <f>SUM(F20:F22)</f>
        <v>13355309</v>
      </c>
      <c r="G23" s="460">
        <f t="shared" ref="G23:L23" si="3">SUM(G20:G22)</f>
        <v>15471457.177500002</v>
      </c>
      <c r="H23" s="460">
        <f t="shared" si="3"/>
        <v>21484274</v>
      </c>
      <c r="I23" s="460">
        <f t="shared" si="3"/>
        <v>22298131</v>
      </c>
      <c r="J23" s="388">
        <f t="shared" si="3"/>
        <v>20924067</v>
      </c>
      <c r="K23" s="388">
        <f t="shared" si="3"/>
        <v>25325018</v>
      </c>
      <c r="L23" s="389">
        <f t="shared" si="3"/>
        <v>21162608</v>
      </c>
      <c r="M23" s="378"/>
      <c r="N23" s="389">
        <f>SUM(N20:N22)</f>
        <v>7671596</v>
      </c>
      <c r="O23" s="390"/>
      <c r="P23" s="389">
        <f>SUM(P20:P22)</f>
        <v>8110867</v>
      </c>
      <c r="S23" s="159"/>
      <c r="T23" s="161"/>
      <c r="U23" s="159"/>
      <c r="V23" s="161"/>
    </row>
    <row r="24" spans="1:22" ht="15.75" thickTop="1" x14ac:dyDescent="0.25">
      <c r="B24" s="374"/>
      <c r="C24" s="548">
        <f>+BK!F16</f>
        <v>21137033.129000001</v>
      </c>
      <c r="D24" s="548">
        <f>+BK!G16</f>
        <v>13815725.280000001</v>
      </c>
      <c r="E24" s="374"/>
      <c r="F24" s="374"/>
      <c r="G24" s="374"/>
      <c r="H24" s="374"/>
      <c r="I24" s="374"/>
      <c r="J24" s="374"/>
      <c r="K24" s="391">
        <f>+BK!B16</f>
        <v>0</v>
      </c>
      <c r="L24" s="391">
        <f>+BK!C16</f>
        <v>0</v>
      </c>
      <c r="M24" s="374"/>
      <c r="N24" s="391">
        <f>+BK!P16</f>
        <v>7671596</v>
      </c>
      <c r="O24" s="391"/>
      <c r="P24" s="391">
        <f>+BK!R16</f>
        <v>8110867</v>
      </c>
      <c r="S24" s="162"/>
      <c r="T24" s="161"/>
      <c r="U24" s="162"/>
      <c r="V24" s="161"/>
    </row>
    <row r="25" spans="1:22" ht="12.75" customHeight="1" x14ac:dyDescent="0.25">
      <c r="B25" s="382" t="s">
        <v>430</v>
      </c>
      <c r="C25" s="382"/>
      <c r="D25" s="382"/>
      <c r="E25" s="382"/>
      <c r="F25" s="382"/>
      <c r="G25" s="382"/>
      <c r="H25" s="382"/>
      <c r="I25" s="382"/>
      <c r="J25" s="382"/>
      <c r="K25" s="391"/>
      <c r="L25" s="391"/>
      <c r="M25" s="382"/>
      <c r="N25" s="391"/>
      <c r="O25" s="391"/>
      <c r="P25" s="391"/>
    </row>
    <row r="26" spans="1:22" ht="12.75" hidden="1" customHeight="1" x14ac:dyDescent="0.25">
      <c r="B26" s="382"/>
      <c r="C26" s="382"/>
      <c r="D26" s="382"/>
      <c r="E26" s="382"/>
      <c r="F26" s="382"/>
      <c r="G26" s="382"/>
      <c r="H26" s="382"/>
      <c r="I26" s="382"/>
      <c r="J26" s="382"/>
      <c r="K26" s="391"/>
      <c r="L26" s="391"/>
      <c r="M26" s="382"/>
      <c r="N26" s="391"/>
      <c r="O26" s="391"/>
      <c r="P26" s="391"/>
    </row>
    <row r="27" spans="1:22" ht="12.75" hidden="1" customHeight="1" x14ac:dyDescent="0.25">
      <c r="A27" s="526" t="s">
        <v>949</v>
      </c>
      <c r="B27" s="526" t="s">
        <v>478</v>
      </c>
      <c r="C27" s="526" t="s">
        <v>612</v>
      </c>
      <c r="D27" s="526" t="s">
        <v>612</v>
      </c>
      <c r="E27" s="526" t="s">
        <v>612</v>
      </c>
      <c r="F27" s="484" t="s">
        <v>698</v>
      </c>
      <c r="G27" s="484" t="s">
        <v>698</v>
      </c>
      <c r="H27" s="484" t="s">
        <v>699</v>
      </c>
      <c r="J27" s="382"/>
      <c r="K27" s="391"/>
      <c r="L27" s="391"/>
      <c r="M27" s="382"/>
      <c r="N27" s="391"/>
      <c r="O27" s="391"/>
      <c r="P27" s="391"/>
    </row>
    <row r="28" spans="1:22" ht="12.75" hidden="1" customHeight="1" x14ac:dyDescent="0.25">
      <c r="A28" s="527" t="s">
        <v>137</v>
      </c>
      <c r="B28" s="527" t="s">
        <v>599</v>
      </c>
      <c r="C28" s="528">
        <v>86600</v>
      </c>
      <c r="D28" s="528">
        <v>86600</v>
      </c>
      <c r="E28" s="528">
        <v>86600</v>
      </c>
      <c r="F28" s="483" t="s">
        <v>690</v>
      </c>
      <c r="G28" s="483" t="s">
        <v>690</v>
      </c>
      <c r="H28" s="483">
        <v>96000</v>
      </c>
      <c r="J28" s="382"/>
      <c r="K28" s="391"/>
      <c r="L28" s="391"/>
      <c r="M28" s="382"/>
      <c r="N28" s="391"/>
      <c r="O28" s="391"/>
      <c r="P28" s="391"/>
    </row>
    <row r="29" spans="1:22" ht="12.75" hidden="1" customHeight="1" x14ac:dyDescent="0.25">
      <c r="A29" s="527" t="s">
        <v>950</v>
      </c>
      <c r="B29" s="527" t="s">
        <v>951</v>
      </c>
      <c r="C29" s="528">
        <v>442575</v>
      </c>
      <c r="D29" s="528">
        <v>442575</v>
      </c>
      <c r="E29" s="528">
        <v>442575</v>
      </c>
      <c r="F29" s="483" t="s">
        <v>690</v>
      </c>
      <c r="G29" s="483" t="s">
        <v>690</v>
      </c>
      <c r="H29" s="483">
        <v>421299.6</v>
      </c>
      <c r="J29" s="382"/>
      <c r="K29" s="391"/>
      <c r="L29" s="391"/>
      <c r="M29" s="382"/>
      <c r="N29" s="391"/>
      <c r="O29" s="391"/>
      <c r="P29" s="391"/>
    </row>
    <row r="30" spans="1:22" ht="12.75" hidden="1" customHeight="1" x14ac:dyDescent="0.25">
      <c r="A30" s="527" t="s">
        <v>700</v>
      </c>
      <c r="B30" s="527" t="s">
        <v>515</v>
      </c>
      <c r="C30" s="528">
        <v>421299.9</v>
      </c>
      <c r="D30" s="528">
        <v>421299.9</v>
      </c>
      <c r="E30" s="528">
        <v>421299.9</v>
      </c>
      <c r="F30" s="483" t="s">
        <v>690</v>
      </c>
      <c r="G30" s="483" t="s">
        <v>690</v>
      </c>
      <c r="H30" s="483">
        <v>10100</v>
      </c>
      <c r="J30" s="382"/>
      <c r="K30" s="391"/>
      <c r="L30" s="391"/>
      <c r="M30" s="382"/>
      <c r="N30" s="391"/>
      <c r="O30" s="391"/>
      <c r="P30" s="391"/>
    </row>
    <row r="31" spans="1:22" ht="12.75" hidden="1" customHeight="1" x14ac:dyDescent="0.25">
      <c r="A31" s="527" t="s">
        <v>701</v>
      </c>
      <c r="B31" s="527" t="s">
        <v>516</v>
      </c>
      <c r="C31" s="528">
        <v>53499</v>
      </c>
      <c r="D31" s="528">
        <v>53499</v>
      </c>
      <c r="E31" s="528">
        <v>53499</v>
      </c>
      <c r="F31" s="483" t="s">
        <v>690</v>
      </c>
      <c r="G31" s="483" t="s">
        <v>690</v>
      </c>
      <c r="H31" s="483">
        <v>47499</v>
      </c>
      <c r="J31" s="382"/>
      <c r="K31" s="391"/>
      <c r="L31" s="391"/>
      <c r="M31" s="382"/>
      <c r="N31" s="391"/>
      <c r="O31" s="391"/>
      <c r="P31" s="391"/>
    </row>
    <row r="32" spans="1:22" ht="12.75" hidden="1" customHeight="1" x14ac:dyDescent="0.25">
      <c r="A32" s="527" t="s">
        <v>702</v>
      </c>
      <c r="B32" s="527" t="s">
        <v>640</v>
      </c>
      <c r="C32" s="528">
        <v>12500</v>
      </c>
      <c r="D32" s="528">
        <v>12500</v>
      </c>
      <c r="E32" s="528">
        <v>12500</v>
      </c>
      <c r="F32" s="483" t="s">
        <v>690</v>
      </c>
      <c r="G32" s="483" t="s">
        <v>690</v>
      </c>
      <c r="H32" s="483">
        <v>12500</v>
      </c>
      <c r="J32" s="382"/>
      <c r="K32" s="391"/>
      <c r="L32" s="391"/>
      <c r="M32" s="382"/>
      <c r="N32" s="391"/>
      <c r="O32" s="391"/>
      <c r="P32" s="391"/>
    </row>
    <row r="33" spans="1:16" ht="12.75" hidden="1" customHeight="1" x14ac:dyDescent="0.25">
      <c r="A33" s="527" t="s">
        <v>703</v>
      </c>
      <c r="B33" s="527" t="s">
        <v>679</v>
      </c>
      <c r="C33" s="528">
        <v>842000</v>
      </c>
      <c r="D33" s="528">
        <v>842000</v>
      </c>
      <c r="E33" s="528">
        <v>842000</v>
      </c>
      <c r="F33" s="483" t="s">
        <v>690</v>
      </c>
      <c r="G33" s="483" t="s">
        <v>690</v>
      </c>
      <c r="H33" s="483">
        <v>14900</v>
      </c>
      <c r="J33" s="382"/>
      <c r="K33" s="391"/>
      <c r="L33" s="391"/>
      <c r="M33" s="382"/>
      <c r="N33" s="391"/>
      <c r="O33" s="391"/>
      <c r="P33" s="391"/>
    </row>
    <row r="34" spans="1:16" ht="12.75" hidden="1" customHeight="1" x14ac:dyDescent="0.25">
      <c r="A34" s="527" t="s">
        <v>704</v>
      </c>
      <c r="B34" s="527" t="s">
        <v>680</v>
      </c>
      <c r="C34" s="528">
        <v>79200</v>
      </c>
      <c r="D34" s="528">
        <v>79200</v>
      </c>
      <c r="E34" s="528">
        <v>79200</v>
      </c>
      <c r="F34" s="483" t="s">
        <v>690</v>
      </c>
      <c r="G34" s="483" t="s">
        <v>690</v>
      </c>
      <c r="H34" s="483">
        <v>421000</v>
      </c>
      <c r="J34" s="382"/>
      <c r="K34" s="391"/>
      <c r="L34" s="391"/>
      <c r="M34" s="382"/>
      <c r="N34" s="391"/>
      <c r="O34" s="391"/>
      <c r="P34" s="391"/>
    </row>
    <row r="35" spans="1:16" ht="12.75" hidden="1" customHeight="1" x14ac:dyDescent="0.25">
      <c r="A35" s="527" t="s">
        <v>705</v>
      </c>
      <c r="B35" s="527" t="s">
        <v>681</v>
      </c>
      <c r="C35" s="528">
        <v>28200</v>
      </c>
      <c r="D35" s="528">
        <v>28200</v>
      </c>
      <c r="E35" s="528">
        <v>28200</v>
      </c>
      <c r="F35" s="483" t="s">
        <v>690</v>
      </c>
      <c r="G35" s="483" t="s">
        <v>690</v>
      </c>
      <c r="H35" s="483">
        <v>79200</v>
      </c>
      <c r="J35" s="382"/>
      <c r="K35" s="391"/>
      <c r="L35" s="391"/>
      <c r="M35" s="382"/>
      <c r="N35" s="391"/>
      <c r="O35" s="391"/>
      <c r="P35" s="391"/>
    </row>
    <row r="36" spans="1:16" ht="12.75" hidden="1" customHeight="1" x14ac:dyDescent="0.25">
      <c r="A36" s="527" t="s">
        <v>706</v>
      </c>
      <c r="B36" s="527" t="s">
        <v>682</v>
      </c>
      <c r="C36" s="528">
        <v>17846.599999999999</v>
      </c>
      <c r="D36" s="528">
        <v>17846.599999999999</v>
      </c>
      <c r="E36" s="528">
        <v>17846.599999999999</v>
      </c>
      <c r="F36" s="483" t="s">
        <v>690</v>
      </c>
      <c r="G36" s="483" t="s">
        <v>690</v>
      </c>
      <c r="H36" s="483">
        <v>44258</v>
      </c>
      <c r="J36" s="382"/>
      <c r="K36" s="391"/>
      <c r="L36" s="391"/>
      <c r="M36" s="382"/>
      <c r="N36" s="391"/>
      <c r="O36" s="391"/>
      <c r="P36" s="391"/>
    </row>
    <row r="37" spans="1:16" ht="12.75" hidden="1" customHeight="1" x14ac:dyDescent="0.25">
      <c r="A37" s="527" t="s">
        <v>952</v>
      </c>
      <c r="B37" s="527" t="s">
        <v>953</v>
      </c>
      <c r="C37" s="528">
        <v>55000</v>
      </c>
      <c r="D37" s="528">
        <v>55000</v>
      </c>
      <c r="E37" s="528">
        <v>55000</v>
      </c>
      <c r="F37" s="483" t="s">
        <v>690</v>
      </c>
      <c r="G37" s="483" t="s">
        <v>690</v>
      </c>
      <c r="H37" s="483">
        <v>21000</v>
      </c>
      <c r="J37" s="382"/>
      <c r="K37" s="391"/>
      <c r="L37" s="391"/>
      <c r="M37" s="382"/>
      <c r="N37" s="391"/>
      <c r="O37" s="391"/>
      <c r="P37" s="391"/>
    </row>
    <row r="38" spans="1:16" ht="12.75" hidden="1" customHeight="1" x14ac:dyDescent="0.25">
      <c r="A38" s="527" t="s">
        <v>954</v>
      </c>
      <c r="B38" s="527" t="s">
        <v>955</v>
      </c>
      <c r="C38" s="528">
        <v>8000</v>
      </c>
      <c r="D38" s="528">
        <v>8000</v>
      </c>
      <c r="E38" s="528">
        <v>8000</v>
      </c>
      <c r="F38" s="483" t="s">
        <v>690</v>
      </c>
      <c r="G38" s="483" t="s">
        <v>690</v>
      </c>
      <c r="H38" s="483">
        <v>6600</v>
      </c>
      <c r="J38" s="382"/>
      <c r="K38" s="391"/>
      <c r="L38" s="391"/>
      <c r="M38" s="382"/>
      <c r="N38" s="391"/>
      <c r="O38" s="391"/>
      <c r="P38" s="391"/>
    </row>
    <row r="39" spans="1:16" ht="12.75" hidden="1" customHeight="1" x14ac:dyDescent="0.25">
      <c r="A39" s="527" t="s">
        <v>707</v>
      </c>
      <c r="B39" s="527" t="s">
        <v>517</v>
      </c>
      <c r="C39" s="528">
        <v>45420</v>
      </c>
      <c r="D39" s="528">
        <v>45420</v>
      </c>
      <c r="E39" s="528">
        <v>45420</v>
      </c>
      <c r="F39" s="483" t="s">
        <v>690</v>
      </c>
      <c r="G39" s="483" t="s">
        <v>690</v>
      </c>
      <c r="H39" s="483">
        <v>17846.599999999999</v>
      </c>
      <c r="J39" s="382"/>
      <c r="K39" s="391"/>
      <c r="L39" s="391"/>
      <c r="M39" s="382"/>
      <c r="N39" s="391"/>
      <c r="O39" s="391"/>
      <c r="P39" s="391"/>
    </row>
    <row r="40" spans="1:16" ht="12.75" hidden="1" customHeight="1" x14ac:dyDescent="0.25">
      <c r="A40" s="527" t="s">
        <v>743</v>
      </c>
      <c r="B40" s="527" t="s">
        <v>630</v>
      </c>
      <c r="C40" s="528">
        <v>105000</v>
      </c>
      <c r="D40" s="528">
        <v>105000</v>
      </c>
      <c r="E40" s="528">
        <v>105000</v>
      </c>
      <c r="F40" s="483" t="s">
        <v>690</v>
      </c>
      <c r="G40" s="483" t="s">
        <v>690</v>
      </c>
      <c r="H40" s="483">
        <v>7000</v>
      </c>
      <c r="J40" s="382"/>
      <c r="K40" s="391"/>
      <c r="L40" s="391"/>
      <c r="M40" s="382"/>
      <c r="N40" s="391"/>
      <c r="O40" s="391"/>
      <c r="P40" s="391"/>
    </row>
    <row r="41" spans="1:16" ht="12.75" hidden="1" customHeight="1" x14ac:dyDescent="0.25">
      <c r="A41" s="527" t="s">
        <v>709</v>
      </c>
      <c r="B41" s="527" t="s">
        <v>641</v>
      </c>
      <c r="C41" s="528">
        <v>23500</v>
      </c>
      <c r="D41" s="528">
        <v>23500</v>
      </c>
      <c r="E41" s="528">
        <v>23500</v>
      </c>
      <c r="F41" s="483" t="s">
        <v>690</v>
      </c>
      <c r="G41" s="483" t="s">
        <v>690</v>
      </c>
      <c r="H41" s="483">
        <v>14000</v>
      </c>
      <c r="J41" s="382"/>
      <c r="K41" s="391"/>
      <c r="L41" s="391"/>
      <c r="M41" s="382"/>
      <c r="N41" s="391"/>
      <c r="O41" s="391"/>
      <c r="P41" s="391"/>
    </row>
    <row r="42" spans="1:16" ht="12.75" hidden="1" customHeight="1" x14ac:dyDescent="0.25">
      <c r="A42" s="527" t="s">
        <v>956</v>
      </c>
      <c r="B42" s="527" t="s">
        <v>957</v>
      </c>
      <c r="C42" s="528">
        <v>712600</v>
      </c>
      <c r="D42" s="528">
        <v>712600</v>
      </c>
      <c r="E42" s="528">
        <v>712600</v>
      </c>
      <c r="F42" s="483" t="s">
        <v>690</v>
      </c>
      <c r="G42" s="483" t="s">
        <v>690</v>
      </c>
      <c r="H42" s="483">
        <v>45420</v>
      </c>
      <c r="J42" s="382"/>
      <c r="K42" s="391"/>
      <c r="L42" s="391"/>
      <c r="M42" s="382"/>
      <c r="N42" s="391"/>
      <c r="O42" s="391"/>
      <c r="P42" s="391"/>
    </row>
    <row r="43" spans="1:16" ht="12.75" hidden="1" customHeight="1" x14ac:dyDescent="0.25">
      <c r="A43" s="527" t="s">
        <v>710</v>
      </c>
      <c r="B43" s="527" t="s">
        <v>642</v>
      </c>
      <c r="C43" s="528">
        <v>-928209.5</v>
      </c>
      <c r="D43" s="528">
        <v>-928209.5</v>
      </c>
      <c r="E43" s="528">
        <v>-928209.5</v>
      </c>
      <c r="F43" s="483" t="s">
        <v>690</v>
      </c>
      <c r="G43" s="483" t="s">
        <v>690</v>
      </c>
      <c r="H43" s="483">
        <v>200</v>
      </c>
      <c r="J43" s="382"/>
      <c r="K43" s="391"/>
      <c r="L43" s="391"/>
      <c r="M43" s="382"/>
      <c r="N43" s="391"/>
      <c r="O43" s="391"/>
      <c r="P43" s="391"/>
    </row>
    <row r="44" spans="1:16" ht="12.75" hidden="1" customHeight="1" x14ac:dyDescent="0.25">
      <c r="A44" s="527" t="s">
        <v>711</v>
      </c>
      <c r="B44" s="527" t="s">
        <v>683</v>
      </c>
      <c r="C44" s="528">
        <v>278050</v>
      </c>
      <c r="D44" s="528">
        <v>278050</v>
      </c>
      <c r="E44" s="528">
        <v>278050</v>
      </c>
      <c r="F44" s="483" t="s">
        <v>690</v>
      </c>
      <c r="G44" s="483" t="s">
        <v>690</v>
      </c>
      <c r="H44" s="483">
        <v>308246</v>
      </c>
      <c r="J44" s="382"/>
      <c r="K44" s="391"/>
      <c r="L44" s="391"/>
      <c r="M44" s="382"/>
      <c r="N44" s="391"/>
      <c r="O44" s="391"/>
      <c r="P44" s="391"/>
    </row>
    <row r="45" spans="1:16" ht="12.75" hidden="1" customHeight="1" x14ac:dyDescent="0.25">
      <c r="A45" s="527" t="s">
        <v>958</v>
      </c>
      <c r="B45" s="527" t="s">
        <v>959</v>
      </c>
      <c r="C45" s="528">
        <v>17750</v>
      </c>
      <c r="D45" s="528">
        <v>17750</v>
      </c>
      <c r="E45" s="528">
        <v>17750</v>
      </c>
      <c r="F45" s="483" t="s">
        <v>690</v>
      </c>
      <c r="G45" s="483" t="s">
        <v>690</v>
      </c>
      <c r="H45" s="483">
        <v>11200</v>
      </c>
      <c r="J45" s="382"/>
      <c r="K45" s="391"/>
      <c r="L45" s="391"/>
      <c r="M45" s="382"/>
      <c r="N45" s="391"/>
      <c r="O45" s="391"/>
      <c r="P45" s="391"/>
    </row>
    <row r="46" spans="1:16" ht="12.75" hidden="1" customHeight="1" x14ac:dyDescent="0.25">
      <c r="A46" s="527" t="s">
        <v>712</v>
      </c>
      <c r="B46" s="527" t="s">
        <v>684</v>
      </c>
      <c r="C46" s="528">
        <v>5400</v>
      </c>
      <c r="D46" s="528">
        <v>5400</v>
      </c>
      <c r="E46" s="528">
        <v>5400</v>
      </c>
      <c r="F46" s="483" t="s">
        <v>690</v>
      </c>
      <c r="G46" s="483" t="s">
        <v>690</v>
      </c>
      <c r="H46" s="483">
        <v>9200</v>
      </c>
      <c r="J46" s="382"/>
      <c r="K46" s="391"/>
      <c r="L46" s="391"/>
      <c r="M46" s="382"/>
      <c r="N46" s="391"/>
      <c r="O46" s="391"/>
      <c r="P46" s="391"/>
    </row>
    <row r="47" spans="1:16" ht="12.75" hidden="1" customHeight="1" x14ac:dyDescent="0.25">
      <c r="A47" s="527" t="s">
        <v>713</v>
      </c>
      <c r="B47" s="527" t="s">
        <v>631</v>
      </c>
      <c r="C47" s="528">
        <v>405120</v>
      </c>
      <c r="D47" s="528">
        <v>405120</v>
      </c>
      <c r="E47" s="528">
        <v>405120</v>
      </c>
      <c r="F47" s="483" t="s">
        <v>690</v>
      </c>
      <c r="G47" s="483" t="s">
        <v>690</v>
      </c>
      <c r="H47" s="483">
        <v>9000</v>
      </c>
      <c r="J47" s="382"/>
      <c r="K47" s="391"/>
      <c r="L47" s="391"/>
      <c r="M47" s="382"/>
      <c r="N47" s="391"/>
      <c r="O47" s="391"/>
      <c r="P47" s="391"/>
    </row>
    <row r="48" spans="1:16" ht="12.75" hidden="1" customHeight="1" x14ac:dyDescent="0.25">
      <c r="A48" s="527" t="s">
        <v>960</v>
      </c>
      <c r="B48" s="527" t="s">
        <v>961</v>
      </c>
      <c r="C48" s="528">
        <v>86400</v>
      </c>
      <c r="D48" s="528">
        <v>86400</v>
      </c>
      <c r="E48" s="528">
        <v>86400</v>
      </c>
      <c r="F48" s="483" t="s">
        <v>690</v>
      </c>
      <c r="G48" s="483" t="s">
        <v>690</v>
      </c>
      <c r="H48" s="483">
        <v>4000</v>
      </c>
      <c r="J48" s="382"/>
      <c r="K48" s="391"/>
      <c r="L48" s="391"/>
      <c r="M48" s="382"/>
      <c r="N48" s="391"/>
      <c r="O48" s="391"/>
      <c r="P48" s="391"/>
    </row>
    <row r="49" spans="1:16" ht="12.75" hidden="1" customHeight="1" x14ac:dyDescent="0.25">
      <c r="A49" s="527" t="s">
        <v>962</v>
      </c>
      <c r="B49" s="527" t="s">
        <v>963</v>
      </c>
      <c r="C49" s="528">
        <v>24000</v>
      </c>
      <c r="D49" s="528">
        <v>24000</v>
      </c>
      <c r="E49" s="528">
        <v>24000</v>
      </c>
      <c r="F49" s="483" t="s">
        <v>690</v>
      </c>
      <c r="G49" s="483" t="s">
        <v>690</v>
      </c>
      <c r="H49" s="483">
        <v>3000</v>
      </c>
      <c r="J49" s="382"/>
      <c r="K49" s="391"/>
      <c r="L49" s="391"/>
      <c r="M49" s="382"/>
      <c r="N49" s="391"/>
      <c r="O49" s="391"/>
      <c r="P49" s="391"/>
    </row>
    <row r="50" spans="1:16" ht="12.75" hidden="1" customHeight="1" x14ac:dyDescent="0.25">
      <c r="A50" s="527" t="s">
        <v>964</v>
      </c>
      <c r="B50" s="527" t="s">
        <v>965</v>
      </c>
      <c r="C50" s="528">
        <v>16300</v>
      </c>
      <c r="D50" s="528">
        <v>16300</v>
      </c>
      <c r="E50" s="528">
        <v>16300</v>
      </c>
      <c r="F50" s="483" t="s">
        <v>690</v>
      </c>
      <c r="G50" s="483" t="s">
        <v>690</v>
      </c>
      <c r="H50" s="483">
        <v>33000</v>
      </c>
      <c r="J50" s="382"/>
      <c r="K50" s="391"/>
      <c r="L50" s="391"/>
      <c r="M50" s="382"/>
      <c r="N50" s="391"/>
      <c r="O50" s="391"/>
      <c r="P50" s="391"/>
    </row>
    <row r="51" spans="1:16" ht="12.75" hidden="1" customHeight="1" x14ac:dyDescent="0.25">
      <c r="A51" s="527" t="s">
        <v>966</v>
      </c>
      <c r="B51" s="527" t="s">
        <v>967</v>
      </c>
      <c r="C51" s="528">
        <v>66000</v>
      </c>
      <c r="D51" s="528">
        <v>66000</v>
      </c>
      <c r="E51" s="528">
        <v>66000</v>
      </c>
      <c r="F51" s="483" t="s">
        <v>690</v>
      </c>
      <c r="G51" s="483" t="s">
        <v>690</v>
      </c>
      <c r="H51" s="483">
        <v>75000</v>
      </c>
      <c r="J51" s="382"/>
      <c r="K51" s="391"/>
      <c r="L51" s="391"/>
      <c r="M51" s="382"/>
      <c r="N51" s="391"/>
      <c r="O51" s="391"/>
      <c r="P51" s="391"/>
    </row>
    <row r="52" spans="1:16" ht="12.75" hidden="1" customHeight="1" x14ac:dyDescent="0.25">
      <c r="A52" s="527" t="s">
        <v>714</v>
      </c>
      <c r="B52" s="527" t="s">
        <v>715</v>
      </c>
      <c r="C52" s="528">
        <v>17795</v>
      </c>
      <c r="D52" s="528">
        <v>17795</v>
      </c>
      <c r="E52" s="528">
        <v>17795</v>
      </c>
      <c r="F52" s="483" t="s">
        <v>690</v>
      </c>
      <c r="G52" s="483" t="s">
        <v>690</v>
      </c>
      <c r="H52" s="483">
        <v>911948</v>
      </c>
      <c r="J52" s="382"/>
      <c r="K52" s="391"/>
      <c r="L52" s="391"/>
      <c r="M52" s="382"/>
      <c r="N52" s="391"/>
      <c r="O52" s="391"/>
      <c r="P52" s="391"/>
    </row>
    <row r="53" spans="1:16" ht="12.75" hidden="1" customHeight="1" x14ac:dyDescent="0.25">
      <c r="A53" s="527" t="s">
        <v>716</v>
      </c>
      <c r="B53" s="527" t="s">
        <v>717</v>
      </c>
      <c r="C53" s="528">
        <v>40400</v>
      </c>
      <c r="D53" s="528">
        <v>40400</v>
      </c>
      <c r="E53" s="528">
        <v>40400</v>
      </c>
      <c r="F53" s="483" t="s">
        <v>690</v>
      </c>
      <c r="G53" s="483" t="s">
        <v>690</v>
      </c>
      <c r="H53" s="483">
        <v>394700.11</v>
      </c>
      <c r="J53" s="382"/>
      <c r="K53" s="391"/>
      <c r="L53" s="391"/>
      <c r="M53" s="382"/>
      <c r="N53" s="391"/>
      <c r="O53" s="391"/>
      <c r="P53" s="391"/>
    </row>
    <row r="54" spans="1:16" ht="12.75" hidden="1" customHeight="1" x14ac:dyDescent="0.25">
      <c r="A54" s="527" t="s">
        <v>718</v>
      </c>
      <c r="B54" s="527" t="s">
        <v>518</v>
      </c>
      <c r="C54" s="528">
        <v>195500</v>
      </c>
      <c r="D54" s="528">
        <v>195500</v>
      </c>
      <c r="E54" s="528">
        <v>195500</v>
      </c>
      <c r="F54" s="483" t="s">
        <v>690</v>
      </c>
      <c r="G54" s="483" t="s">
        <v>690</v>
      </c>
      <c r="H54" s="483">
        <v>56880</v>
      </c>
      <c r="J54" s="382"/>
      <c r="K54" s="391"/>
      <c r="L54" s="391"/>
      <c r="M54" s="382"/>
      <c r="N54" s="391"/>
      <c r="O54" s="391"/>
      <c r="P54" s="391"/>
    </row>
    <row r="55" spans="1:16" ht="12.75" hidden="1" customHeight="1" x14ac:dyDescent="0.25">
      <c r="A55" s="527" t="s">
        <v>719</v>
      </c>
      <c r="B55" s="527" t="s">
        <v>519</v>
      </c>
      <c r="C55" s="528">
        <v>27500</v>
      </c>
      <c r="D55" s="528">
        <v>27500</v>
      </c>
      <c r="E55" s="528">
        <v>27500</v>
      </c>
      <c r="F55" s="483" t="s">
        <v>690</v>
      </c>
      <c r="G55" s="483" t="s">
        <v>690</v>
      </c>
      <c r="H55" s="483">
        <v>23500</v>
      </c>
      <c r="J55" s="382"/>
      <c r="K55" s="391"/>
      <c r="L55" s="391"/>
      <c r="M55" s="382"/>
      <c r="N55" s="391"/>
      <c r="O55" s="391"/>
      <c r="P55" s="391"/>
    </row>
    <row r="56" spans="1:16" ht="12.75" hidden="1" customHeight="1" x14ac:dyDescent="0.25">
      <c r="A56" s="527" t="s">
        <v>720</v>
      </c>
      <c r="B56" s="527" t="s">
        <v>628</v>
      </c>
      <c r="C56" s="528">
        <v>43000</v>
      </c>
      <c r="D56" s="528">
        <v>43000</v>
      </c>
      <c r="E56" s="528">
        <v>43000</v>
      </c>
      <c r="F56" s="483" t="s">
        <v>690</v>
      </c>
      <c r="G56" s="483" t="s">
        <v>690</v>
      </c>
      <c r="H56" s="483">
        <v>371640.5</v>
      </c>
      <c r="J56" s="382"/>
      <c r="K56" s="391"/>
      <c r="L56" s="391"/>
      <c r="M56" s="382"/>
      <c r="N56" s="391"/>
      <c r="O56" s="391"/>
      <c r="P56" s="391"/>
    </row>
    <row r="57" spans="1:16" ht="12.75" hidden="1" customHeight="1" x14ac:dyDescent="0.25">
      <c r="A57" s="527" t="s">
        <v>968</v>
      </c>
      <c r="B57" s="527" t="s">
        <v>969</v>
      </c>
      <c r="C57" s="528">
        <v>5500</v>
      </c>
      <c r="D57" s="528">
        <v>5500</v>
      </c>
      <c r="E57" s="528">
        <v>5500</v>
      </c>
      <c r="F57" s="483" t="s">
        <v>690</v>
      </c>
      <c r="G57" s="483" t="s">
        <v>690</v>
      </c>
      <c r="H57" s="483">
        <v>64800</v>
      </c>
      <c r="J57" s="382"/>
      <c r="K57" s="391"/>
      <c r="L57" s="391"/>
      <c r="M57" s="382"/>
      <c r="N57" s="391"/>
      <c r="O57" s="391"/>
      <c r="P57" s="391"/>
    </row>
    <row r="58" spans="1:16" ht="12.75" hidden="1" customHeight="1" x14ac:dyDescent="0.25">
      <c r="A58" s="527" t="s">
        <v>721</v>
      </c>
      <c r="B58" s="527" t="s">
        <v>574</v>
      </c>
      <c r="C58" s="528">
        <v>58000</v>
      </c>
      <c r="D58" s="528">
        <v>58000</v>
      </c>
      <c r="E58" s="528">
        <v>58000</v>
      </c>
      <c r="F58" s="483" t="s">
        <v>690</v>
      </c>
      <c r="G58" s="483" t="s">
        <v>690</v>
      </c>
      <c r="H58" s="483">
        <v>278050</v>
      </c>
      <c r="J58" s="382"/>
      <c r="K58" s="391"/>
      <c r="L58" s="391"/>
      <c r="M58" s="382"/>
      <c r="N58" s="391"/>
      <c r="O58" s="391"/>
      <c r="P58" s="391"/>
    </row>
    <row r="59" spans="1:16" ht="12.75" hidden="1" customHeight="1" x14ac:dyDescent="0.25">
      <c r="A59" s="527" t="s">
        <v>722</v>
      </c>
      <c r="B59" s="527" t="s">
        <v>520</v>
      </c>
      <c r="C59" s="528">
        <v>100100</v>
      </c>
      <c r="D59" s="528">
        <v>100100</v>
      </c>
      <c r="E59" s="528">
        <v>100100</v>
      </c>
      <c r="F59" s="483" t="s">
        <v>690</v>
      </c>
      <c r="G59" s="483" t="s">
        <v>690</v>
      </c>
      <c r="H59" s="483">
        <v>5400</v>
      </c>
      <c r="J59" s="382"/>
      <c r="K59" s="391"/>
      <c r="L59" s="391"/>
      <c r="M59" s="382"/>
      <c r="N59" s="391"/>
      <c r="O59" s="391"/>
      <c r="P59" s="391"/>
    </row>
    <row r="60" spans="1:16" ht="12.75" hidden="1" customHeight="1" x14ac:dyDescent="0.25">
      <c r="A60" s="527" t="s">
        <v>723</v>
      </c>
      <c r="B60" s="527" t="s">
        <v>521</v>
      </c>
      <c r="C60" s="528">
        <v>6000</v>
      </c>
      <c r="D60" s="528">
        <v>6000</v>
      </c>
      <c r="E60" s="528">
        <v>6000</v>
      </c>
      <c r="F60" s="483" t="s">
        <v>690</v>
      </c>
      <c r="G60" s="483" t="s">
        <v>690</v>
      </c>
      <c r="H60" s="483">
        <v>784820</v>
      </c>
      <c r="J60" s="382"/>
      <c r="K60" s="391"/>
      <c r="L60" s="391"/>
      <c r="M60" s="382"/>
      <c r="N60" s="391"/>
      <c r="O60" s="391"/>
      <c r="P60" s="391"/>
    </row>
    <row r="61" spans="1:16" ht="12.75" hidden="1" customHeight="1" x14ac:dyDescent="0.25">
      <c r="A61" s="527" t="s">
        <v>724</v>
      </c>
      <c r="B61" s="527" t="s">
        <v>575</v>
      </c>
      <c r="C61" s="528">
        <v>30200</v>
      </c>
      <c r="D61" s="528">
        <v>30200</v>
      </c>
      <c r="E61" s="528">
        <v>30200</v>
      </c>
      <c r="F61" s="483" t="s">
        <v>690</v>
      </c>
      <c r="G61" s="483" t="s">
        <v>690</v>
      </c>
      <c r="H61" s="483">
        <v>90500</v>
      </c>
      <c r="J61" s="382"/>
      <c r="K61" s="391"/>
      <c r="L61" s="391"/>
      <c r="M61" s="382"/>
      <c r="N61" s="391"/>
      <c r="O61" s="391"/>
      <c r="P61" s="391"/>
    </row>
    <row r="62" spans="1:16" ht="12.75" hidden="1" customHeight="1" x14ac:dyDescent="0.25">
      <c r="A62" s="527" t="s">
        <v>725</v>
      </c>
      <c r="B62" s="527" t="s">
        <v>576</v>
      </c>
      <c r="C62" s="528">
        <v>6000</v>
      </c>
      <c r="D62" s="528">
        <v>6000</v>
      </c>
      <c r="E62" s="528">
        <v>6000</v>
      </c>
      <c r="F62" s="483" t="s">
        <v>690</v>
      </c>
      <c r="G62" s="483" t="s">
        <v>690</v>
      </c>
      <c r="H62" s="483">
        <v>70000</v>
      </c>
      <c r="J62" s="382"/>
      <c r="K62" s="391"/>
      <c r="L62" s="391"/>
      <c r="M62" s="382"/>
      <c r="N62" s="391"/>
      <c r="O62" s="391"/>
      <c r="P62" s="391"/>
    </row>
    <row r="63" spans="1:16" ht="12.75" hidden="1" customHeight="1" x14ac:dyDescent="0.25">
      <c r="A63" s="527" t="s">
        <v>970</v>
      </c>
      <c r="B63" s="527" t="s">
        <v>971</v>
      </c>
      <c r="C63" s="528">
        <v>31000</v>
      </c>
      <c r="D63" s="528">
        <v>31000</v>
      </c>
      <c r="E63" s="528">
        <v>31000</v>
      </c>
      <c r="F63" s="483" t="s">
        <v>690</v>
      </c>
      <c r="G63" s="483" t="s">
        <v>690</v>
      </c>
      <c r="H63" s="483">
        <v>10800</v>
      </c>
      <c r="J63" s="382"/>
      <c r="K63" s="391"/>
      <c r="L63" s="391"/>
      <c r="M63" s="382"/>
      <c r="N63" s="391"/>
      <c r="O63" s="391"/>
      <c r="P63" s="391"/>
    </row>
    <row r="64" spans="1:16" ht="12.75" hidden="1" customHeight="1" x14ac:dyDescent="0.25">
      <c r="A64" s="527" t="s">
        <v>972</v>
      </c>
      <c r="B64" s="527" t="s">
        <v>973</v>
      </c>
      <c r="C64" s="528">
        <v>1788000</v>
      </c>
      <c r="D64" s="528">
        <v>1788000</v>
      </c>
      <c r="E64" s="528">
        <v>1788000</v>
      </c>
      <c r="F64" s="483" t="s">
        <v>690</v>
      </c>
      <c r="G64" s="483" t="s">
        <v>690</v>
      </c>
      <c r="H64" s="483">
        <v>50500</v>
      </c>
      <c r="J64" s="382"/>
      <c r="K64" s="391"/>
      <c r="L64" s="391"/>
      <c r="M64" s="382"/>
      <c r="N64" s="391"/>
      <c r="O64" s="391"/>
      <c r="P64" s="391"/>
    </row>
    <row r="65" spans="1:16" ht="12.75" hidden="1" customHeight="1" x14ac:dyDescent="0.25">
      <c r="A65" s="527" t="s">
        <v>726</v>
      </c>
      <c r="B65" s="527" t="s">
        <v>600</v>
      </c>
      <c r="C65" s="528">
        <v>179400</v>
      </c>
      <c r="D65" s="528">
        <v>179400</v>
      </c>
      <c r="E65" s="528">
        <v>179400</v>
      </c>
      <c r="F65" s="483" t="s">
        <v>690</v>
      </c>
      <c r="G65" s="483" t="s">
        <v>690</v>
      </c>
      <c r="H65" s="483">
        <v>17795</v>
      </c>
      <c r="J65" s="382"/>
      <c r="K65" s="391"/>
      <c r="L65" s="391"/>
      <c r="M65" s="382"/>
      <c r="N65" s="391"/>
      <c r="O65" s="391"/>
      <c r="P65" s="391"/>
    </row>
    <row r="66" spans="1:16" ht="12.75" hidden="1" customHeight="1" x14ac:dyDescent="0.25">
      <c r="A66" s="527" t="s">
        <v>727</v>
      </c>
      <c r="B66" s="527" t="s">
        <v>643</v>
      </c>
      <c r="C66" s="528">
        <v>16700</v>
      </c>
      <c r="D66" s="528">
        <v>16700</v>
      </c>
      <c r="E66" s="528">
        <v>16700</v>
      </c>
      <c r="F66" s="483" t="s">
        <v>690</v>
      </c>
      <c r="G66" s="483" t="s">
        <v>690</v>
      </c>
      <c r="H66" s="483">
        <v>27600</v>
      </c>
      <c r="J66" s="382"/>
      <c r="K66" s="391"/>
      <c r="L66" s="391"/>
      <c r="M66" s="382"/>
      <c r="N66" s="391"/>
      <c r="O66" s="391"/>
      <c r="P66" s="391"/>
    </row>
    <row r="67" spans="1:16" ht="12.75" hidden="1" customHeight="1" x14ac:dyDescent="0.25">
      <c r="A67" s="527" t="s">
        <v>728</v>
      </c>
      <c r="B67" s="527" t="s">
        <v>629</v>
      </c>
      <c r="C67" s="528">
        <v>141000</v>
      </c>
      <c r="D67" s="528">
        <v>141000</v>
      </c>
      <c r="E67" s="528">
        <v>141000</v>
      </c>
      <c r="F67" s="483" t="s">
        <v>690</v>
      </c>
      <c r="G67" s="483" t="s">
        <v>690</v>
      </c>
      <c r="H67" s="483">
        <v>3000</v>
      </c>
      <c r="J67" s="382"/>
      <c r="K67" s="391"/>
      <c r="L67" s="391"/>
      <c r="M67" s="382"/>
      <c r="N67" s="391"/>
      <c r="O67" s="391"/>
      <c r="P67" s="391"/>
    </row>
    <row r="68" spans="1:16" ht="12.75" hidden="1" customHeight="1" x14ac:dyDescent="0.25">
      <c r="A68" s="527" t="s">
        <v>729</v>
      </c>
      <c r="B68" s="527" t="s">
        <v>685</v>
      </c>
      <c r="C68" s="528">
        <v>102000</v>
      </c>
      <c r="D68" s="528">
        <v>102000</v>
      </c>
      <c r="E68" s="528">
        <v>102000</v>
      </c>
      <c r="F68" s="483" t="s">
        <v>690</v>
      </c>
      <c r="G68" s="483" t="s">
        <v>690</v>
      </c>
      <c r="H68" s="483">
        <v>195500</v>
      </c>
      <c r="J68" s="382"/>
      <c r="K68" s="391"/>
      <c r="L68" s="391"/>
      <c r="M68" s="382"/>
      <c r="N68" s="391"/>
      <c r="O68" s="391"/>
      <c r="P68" s="391"/>
    </row>
    <row r="69" spans="1:16" ht="12.75" hidden="1" customHeight="1" x14ac:dyDescent="0.25">
      <c r="A69" s="527" t="s">
        <v>974</v>
      </c>
      <c r="B69" s="527" t="s">
        <v>975</v>
      </c>
      <c r="C69" s="528">
        <v>119500</v>
      </c>
      <c r="D69" s="528">
        <v>119500</v>
      </c>
      <c r="E69" s="528">
        <v>119500</v>
      </c>
      <c r="F69" s="483" t="s">
        <v>690</v>
      </c>
      <c r="G69" s="483" t="s">
        <v>690</v>
      </c>
      <c r="H69" s="483">
        <v>25500</v>
      </c>
      <c r="J69" s="382"/>
      <c r="K69" s="391"/>
      <c r="L69" s="391"/>
      <c r="M69" s="382"/>
      <c r="N69" s="391"/>
      <c r="O69" s="391"/>
      <c r="P69" s="391"/>
    </row>
    <row r="70" spans="1:16" ht="12.75" hidden="1" customHeight="1" x14ac:dyDescent="0.25">
      <c r="A70" s="527" t="s">
        <v>730</v>
      </c>
      <c r="B70" s="527" t="s">
        <v>601</v>
      </c>
      <c r="C70" s="528">
        <v>18500</v>
      </c>
      <c r="D70" s="528">
        <v>18500</v>
      </c>
      <c r="E70" s="528">
        <v>18500</v>
      </c>
      <c r="F70" s="483" t="s">
        <v>690</v>
      </c>
      <c r="G70" s="483" t="s">
        <v>690</v>
      </c>
      <c r="H70" s="483">
        <v>5500</v>
      </c>
      <c r="J70" s="382"/>
      <c r="K70" s="391"/>
      <c r="L70" s="391"/>
      <c r="M70" s="382"/>
      <c r="N70" s="391"/>
      <c r="O70" s="391"/>
      <c r="P70" s="391"/>
    </row>
    <row r="71" spans="1:16" ht="12.75" hidden="1" customHeight="1" x14ac:dyDescent="0.25">
      <c r="A71" s="527" t="s">
        <v>976</v>
      </c>
      <c r="B71" s="527" t="s">
        <v>977</v>
      </c>
      <c r="C71" s="528">
        <v>148400</v>
      </c>
      <c r="D71" s="528">
        <v>148400</v>
      </c>
      <c r="E71" s="528">
        <v>148400</v>
      </c>
      <c r="F71" s="483" t="s">
        <v>690</v>
      </c>
      <c r="G71" s="483" t="s">
        <v>690</v>
      </c>
      <c r="H71" s="483">
        <v>43500</v>
      </c>
      <c r="J71" s="382"/>
      <c r="K71" s="391"/>
      <c r="L71" s="391"/>
      <c r="M71" s="382"/>
      <c r="N71" s="391"/>
      <c r="O71" s="391"/>
      <c r="P71" s="391"/>
    </row>
    <row r="72" spans="1:16" ht="12.75" hidden="1" customHeight="1" x14ac:dyDescent="0.25">
      <c r="A72" s="527" t="s">
        <v>731</v>
      </c>
      <c r="B72" s="527" t="s">
        <v>732</v>
      </c>
      <c r="C72" s="528">
        <v>11863078</v>
      </c>
      <c r="D72" s="528">
        <v>11863078</v>
      </c>
      <c r="E72" s="528">
        <v>11863078</v>
      </c>
      <c r="F72" s="483" t="s">
        <v>690</v>
      </c>
      <c r="G72" s="483" t="s">
        <v>690</v>
      </c>
      <c r="H72" s="483">
        <v>29500</v>
      </c>
      <c r="J72" s="382"/>
      <c r="K72" s="391"/>
      <c r="L72" s="391"/>
      <c r="M72" s="382"/>
      <c r="N72" s="391"/>
      <c r="O72" s="391"/>
      <c r="P72" s="391"/>
    </row>
    <row r="73" spans="1:16" ht="12.75" hidden="1" customHeight="1" x14ac:dyDescent="0.25">
      <c r="A73" s="527" t="s">
        <v>978</v>
      </c>
      <c r="B73" s="527" t="s">
        <v>979</v>
      </c>
      <c r="C73" s="528">
        <v>27500</v>
      </c>
      <c r="D73" s="528">
        <v>27500</v>
      </c>
      <c r="E73" s="528">
        <v>27500</v>
      </c>
      <c r="F73" s="483" t="s">
        <v>690</v>
      </c>
      <c r="G73" s="483" t="s">
        <v>690</v>
      </c>
      <c r="H73" s="483">
        <v>47500</v>
      </c>
      <c r="J73" s="382"/>
      <c r="K73" s="391"/>
      <c r="L73" s="391"/>
      <c r="M73" s="382"/>
      <c r="N73" s="391"/>
      <c r="O73" s="391"/>
      <c r="P73" s="391"/>
    </row>
    <row r="74" spans="1:16" ht="12.75" hidden="1" customHeight="1" x14ac:dyDescent="0.25">
      <c r="A74" s="527" t="s">
        <v>735</v>
      </c>
      <c r="B74" s="527" t="s">
        <v>686</v>
      </c>
      <c r="C74" s="528">
        <v>42000</v>
      </c>
      <c r="D74" s="528">
        <v>42000</v>
      </c>
      <c r="E74" s="528">
        <v>42000</v>
      </c>
      <c r="F74" s="483" t="s">
        <v>690</v>
      </c>
      <c r="G74" s="483" t="s">
        <v>690</v>
      </c>
      <c r="H74" s="483">
        <v>100100</v>
      </c>
      <c r="J74" s="382"/>
      <c r="K74" s="391"/>
      <c r="L74" s="391"/>
      <c r="M74" s="382"/>
      <c r="N74" s="391"/>
      <c r="O74" s="391"/>
      <c r="P74" s="391"/>
    </row>
    <row r="75" spans="1:16" ht="12.75" hidden="1" customHeight="1" x14ac:dyDescent="0.25">
      <c r="A75" s="527" t="s">
        <v>736</v>
      </c>
      <c r="B75" s="527" t="s">
        <v>980</v>
      </c>
      <c r="C75" s="528">
        <v>130173</v>
      </c>
      <c r="D75" s="528">
        <v>130173</v>
      </c>
      <c r="E75" s="528">
        <v>130173</v>
      </c>
      <c r="F75" s="483" t="s">
        <v>690</v>
      </c>
      <c r="G75" s="483" t="s">
        <v>690</v>
      </c>
      <c r="H75" s="483">
        <v>6000</v>
      </c>
      <c r="J75" s="382"/>
      <c r="K75" s="391"/>
      <c r="L75" s="391"/>
      <c r="M75" s="382"/>
      <c r="N75" s="391"/>
      <c r="O75" s="391"/>
      <c r="P75" s="391"/>
    </row>
    <row r="76" spans="1:16" ht="12.75" hidden="1" customHeight="1" x14ac:dyDescent="0.25">
      <c r="A76" s="527" t="s">
        <v>738</v>
      </c>
      <c r="B76" s="527" t="s">
        <v>577</v>
      </c>
      <c r="C76" s="528">
        <v>428150</v>
      </c>
      <c r="D76" s="528">
        <v>428150</v>
      </c>
      <c r="E76" s="528">
        <v>428150</v>
      </c>
      <c r="F76" s="483" t="s">
        <v>690</v>
      </c>
      <c r="G76" s="483" t="s">
        <v>690</v>
      </c>
      <c r="H76" s="483">
        <v>30200</v>
      </c>
      <c r="J76" s="382"/>
      <c r="K76" s="391"/>
      <c r="L76" s="391"/>
      <c r="M76" s="382"/>
      <c r="N76" s="391"/>
      <c r="O76" s="391"/>
      <c r="P76" s="391"/>
    </row>
    <row r="77" spans="1:16" ht="12.75" hidden="1" customHeight="1" x14ac:dyDescent="0.25">
      <c r="A77" s="527" t="s">
        <v>739</v>
      </c>
      <c r="B77" s="527" t="s">
        <v>740</v>
      </c>
      <c r="C77" s="528">
        <v>9000</v>
      </c>
      <c r="D77" s="528">
        <v>9000</v>
      </c>
      <c r="E77" s="528">
        <v>9000</v>
      </c>
      <c r="F77" s="483" t="s">
        <v>690</v>
      </c>
      <c r="G77" s="483" t="s">
        <v>690</v>
      </c>
      <c r="H77" s="483">
        <v>6000</v>
      </c>
      <c r="J77" s="382"/>
      <c r="K77" s="391"/>
      <c r="L77" s="391"/>
      <c r="M77" s="382"/>
      <c r="N77" s="391"/>
      <c r="O77" s="391"/>
      <c r="P77" s="391"/>
    </row>
    <row r="78" spans="1:16" ht="12.75" hidden="1" customHeight="1" x14ac:dyDescent="0.25">
      <c r="A78" s="527" t="s">
        <v>741</v>
      </c>
      <c r="B78" s="527" t="s">
        <v>742</v>
      </c>
      <c r="C78" s="528">
        <v>21000</v>
      </c>
      <c r="D78" s="528">
        <v>21000</v>
      </c>
      <c r="E78" s="528">
        <v>21000</v>
      </c>
      <c r="F78" s="483" t="s">
        <v>690</v>
      </c>
      <c r="G78" s="483" t="s">
        <v>690</v>
      </c>
      <c r="H78" s="483">
        <v>20400</v>
      </c>
      <c r="J78" s="382"/>
      <c r="K78" s="391"/>
      <c r="L78" s="391"/>
      <c r="M78" s="382"/>
      <c r="N78" s="391"/>
      <c r="O78" s="391"/>
      <c r="P78" s="391"/>
    </row>
    <row r="79" spans="1:16" ht="19.5" hidden="1" customHeight="1" x14ac:dyDescent="0.25">
      <c r="A79" s="529"/>
      <c r="B79" s="529" t="s">
        <v>744</v>
      </c>
      <c r="C79" s="530">
        <f>SUM(C28:C78)</f>
        <v>18499447</v>
      </c>
      <c r="D79" s="530">
        <f>SUM(D28:D78)</f>
        <v>18499447</v>
      </c>
      <c r="E79" s="530">
        <f>SUM(E28:E78)</f>
        <v>18499447</v>
      </c>
      <c r="F79" s="483" t="s">
        <v>690</v>
      </c>
      <c r="G79" s="483" t="s">
        <v>690</v>
      </c>
      <c r="H79" s="483">
        <v>18000</v>
      </c>
      <c r="J79" s="382"/>
      <c r="K79" s="391"/>
      <c r="L79" s="391"/>
      <c r="M79" s="382"/>
      <c r="N79" s="391"/>
      <c r="O79" s="391"/>
      <c r="P79" s="391"/>
    </row>
    <row r="80" spans="1:16" ht="12.75" hidden="1" customHeight="1" x14ac:dyDescent="0.25">
      <c r="B80" s="382"/>
      <c r="C80" s="382"/>
      <c r="D80" s="382"/>
      <c r="E80" s="382"/>
      <c r="F80" s="382"/>
      <c r="G80" s="382"/>
      <c r="H80" s="382"/>
      <c r="I80" s="382"/>
      <c r="J80" s="382"/>
      <c r="K80" s="391"/>
      <c r="L80" s="391"/>
      <c r="M80" s="382"/>
      <c r="N80" s="391"/>
      <c r="O80" s="391"/>
      <c r="P80" s="391"/>
    </row>
    <row r="81" spans="1:27" ht="12.75" hidden="1" customHeight="1" x14ac:dyDescent="0.25">
      <c r="B81" s="382"/>
      <c r="C81" s="382"/>
      <c r="D81" s="382"/>
      <c r="E81" s="382"/>
      <c r="F81" s="382"/>
      <c r="G81" s="382"/>
      <c r="H81" s="382"/>
      <c r="I81" s="382"/>
      <c r="J81" s="382"/>
      <c r="K81" s="391"/>
      <c r="L81" s="391"/>
      <c r="M81" s="382"/>
      <c r="N81" s="391"/>
      <c r="O81" s="391"/>
      <c r="P81" s="391"/>
    </row>
    <row r="82" spans="1:27" ht="12.75" customHeight="1" x14ac:dyDescent="0.25">
      <c r="B82" s="382"/>
      <c r="C82" s="382"/>
      <c r="D82" s="382"/>
      <c r="E82" s="382"/>
      <c r="F82" s="382"/>
      <c r="G82" s="382"/>
      <c r="H82" s="382"/>
      <c r="I82" s="382"/>
      <c r="J82" s="382"/>
      <c r="K82" s="391"/>
      <c r="L82" s="391"/>
      <c r="M82" s="382"/>
      <c r="N82" s="391"/>
      <c r="O82" s="391"/>
      <c r="P82" s="391"/>
    </row>
    <row r="83" spans="1:27" ht="12.75" customHeight="1" x14ac:dyDescent="0.25">
      <c r="B83" s="382"/>
      <c r="C83" s="382"/>
      <c r="D83" s="382"/>
      <c r="E83" s="382"/>
      <c r="F83" s="382"/>
      <c r="G83" s="382"/>
      <c r="H83" s="382"/>
      <c r="I83" s="382"/>
      <c r="J83" s="382"/>
      <c r="K83" s="391"/>
      <c r="L83" s="391"/>
      <c r="M83" s="382"/>
      <c r="N83" s="391"/>
      <c r="O83" s="391"/>
      <c r="P83" s="391"/>
    </row>
    <row r="84" spans="1:27" ht="12.75" customHeight="1" x14ac:dyDescent="0.25">
      <c r="B84" s="382"/>
      <c r="C84" s="382"/>
      <c r="D84" s="382"/>
      <c r="E84" s="382"/>
      <c r="F84" s="382"/>
      <c r="G84" s="382"/>
      <c r="H84" s="382"/>
      <c r="I84" s="382"/>
      <c r="J84" s="382"/>
      <c r="K84" s="391"/>
      <c r="L84" s="391"/>
      <c r="M84" s="382"/>
      <c r="N84" s="391"/>
      <c r="O84" s="391"/>
      <c r="P84" s="391"/>
    </row>
    <row r="85" spans="1:27" ht="12.75" customHeight="1" x14ac:dyDescent="0.25">
      <c r="B85" s="382"/>
      <c r="C85" s="382"/>
      <c r="D85" s="382"/>
      <c r="E85" s="382"/>
      <c r="F85" s="382"/>
      <c r="G85" s="382"/>
      <c r="H85" s="382"/>
      <c r="I85" s="382"/>
      <c r="J85" s="382"/>
      <c r="K85" s="391"/>
      <c r="L85" s="391"/>
      <c r="M85" s="382"/>
      <c r="N85" s="391"/>
      <c r="O85" s="391"/>
      <c r="P85" s="391"/>
    </row>
    <row r="86" spans="1:27" ht="18" customHeight="1" x14ac:dyDescent="0.25">
      <c r="A86" s="419"/>
      <c r="B86" s="419"/>
      <c r="C86" s="420"/>
      <c r="D86" s="420"/>
      <c r="E86" s="420"/>
      <c r="F86" s="420"/>
      <c r="G86" s="420"/>
      <c r="H86" s="420"/>
      <c r="I86" s="420"/>
      <c r="J86" s="382"/>
      <c r="K86" s="391"/>
      <c r="L86" s="391"/>
      <c r="M86" s="382"/>
      <c r="N86" s="391"/>
      <c r="O86" s="391"/>
      <c r="P86" s="391"/>
    </row>
    <row r="87" spans="1:27" x14ac:dyDescent="0.25">
      <c r="B87" s="382" t="s">
        <v>435</v>
      </c>
      <c r="C87" s="382"/>
      <c r="D87" s="382"/>
      <c r="E87" s="382"/>
      <c r="F87" s="382"/>
      <c r="G87" s="382"/>
      <c r="H87" s="382"/>
      <c r="I87" s="382"/>
      <c r="J87" s="382"/>
      <c r="K87" s="391"/>
      <c r="L87" s="391"/>
      <c r="M87" s="382"/>
      <c r="N87" s="391"/>
      <c r="O87" s="391"/>
      <c r="P87" s="391"/>
    </row>
    <row r="88" spans="1:27" x14ac:dyDescent="0.25">
      <c r="C88" s="375" t="str">
        <f>+C19</f>
        <v>31 Dhjetor 2018</v>
      </c>
      <c r="D88" s="375" t="str">
        <f>+D19</f>
        <v>31 Dhjetor 2017</v>
      </c>
      <c r="E88" s="375" t="str">
        <f>+E19</f>
        <v>31 Dhjetor 2016</v>
      </c>
      <c r="F88" s="375" t="str">
        <f t="shared" ref="F88:K88" si="4">+F19</f>
        <v>31 Dhjetor 2015</v>
      </c>
      <c r="G88" s="375" t="str">
        <f t="shared" si="4"/>
        <v>31 Dhjetor 2014</v>
      </c>
      <c r="H88" s="375" t="str">
        <f t="shared" si="4"/>
        <v>31 Dhjetor 2013</v>
      </c>
      <c r="I88" s="375" t="str">
        <f t="shared" si="4"/>
        <v>31 Dhjetor 2012</v>
      </c>
      <c r="J88" s="375" t="str">
        <f t="shared" si="4"/>
        <v>31 Dhjetor 2011</v>
      </c>
      <c r="K88" s="375" t="str">
        <f t="shared" si="4"/>
        <v>31 Dhjetor 2010</v>
      </c>
      <c r="L88" s="375" t="s">
        <v>568</v>
      </c>
      <c r="N88" s="375" t="s">
        <v>109</v>
      </c>
      <c r="O88" s="385"/>
      <c r="P88" s="375" t="s">
        <v>99</v>
      </c>
    </row>
    <row r="89" spans="1:27" x14ac:dyDescent="0.25">
      <c r="B89" s="374" t="s">
        <v>647</v>
      </c>
      <c r="C89" s="392">
        <f>+'Bilanci Alpha'!F52</f>
        <v>0</v>
      </c>
      <c r="D89" s="392">
        <f>+'Bilanci Alpha'!G52</f>
        <v>0</v>
      </c>
      <c r="E89" s="392">
        <f>+'Bilanci Alpha'!H52</f>
        <v>0</v>
      </c>
      <c r="F89" s="392">
        <f>+'Bilanci Alpha'!I52</f>
        <v>0</v>
      </c>
      <c r="G89" s="392">
        <f>+'Bilanci Alpha'!J52</f>
        <v>3293640</v>
      </c>
      <c r="H89" s="392">
        <f>+'Bilanci Alpha'!K52</f>
        <v>0</v>
      </c>
      <c r="I89" s="392">
        <f>+'Bilanci Alpha'!L52</f>
        <v>715600</v>
      </c>
      <c r="J89" s="392">
        <v>0</v>
      </c>
      <c r="K89" s="392">
        <v>350000</v>
      </c>
      <c r="L89" s="392">
        <v>350000</v>
      </c>
      <c r="M89" s="374"/>
      <c r="N89" s="392">
        <v>320833</v>
      </c>
      <c r="O89" s="392"/>
      <c r="P89" s="392">
        <v>0</v>
      </c>
    </row>
    <row r="90" spans="1:27" x14ac:dyDescent="0.25">
      <c r="B90" s="374"/>
      <c r="C90" s="374"/>
      <c r="D90" s="374"/>
      <c r="E90" s="374"/>
      <c r="F90" s="374"/>
      <c r="G90" s="374"/>
      <c r="H90" s="374"/>
      <c r="I90" s="374"/>
      <c r="J90" s="374"/>
      <c r="K90" s="392"/>
      <c r="L90" s="392">
        <v>88624</v>
      </c>
      <c r="M90" s="374"/>
      <c r="N90" s="392">
        <v>300313</v>
      </c>
      <c r="O90" s="392"/>
      <c r="P90" s="392">
        <v>0</v>
      </c>
    </row>
    <row r="91" spans="1:27" x14ac:dyDescent="0.25">
      <c r="B91" s="374"/>
      <c r="C91" s="25">
        <v>0</v>
      </c>
      <c r="D91" s="25">
        <v>0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25915</v>
      </c>
      <c r="L91" s="25">
        <v>51830</v>
      </c>
      <c r="M91" s="374"/>
      <c r="N91" s="25">
        <v>77955</v>
      </c>
      <c r="O91" s="392"/>
      <c r="P91" s="392">
        <v>0</v>
      </c>
    </row>
    <row r="92" spans="1:27" x14ac:dyDescent="0.25">
      <c r="B92" s="374"/>
      <c r="C92" s="374"/>
      <c r="D92" s="374"/>
      <c r="E92" s="374"/>
      <c r="F92" s="374"/>
      <c r="G92" s="374"/>
      <c r="H92" s="374"/>
      <c r="I92" s="374"/>
      <c r="J92" s="374"/>
      <c r="K92" s="25" t="str">
        <f>+BK!B27</f>
        <v>Diferenca nga kembimi</v>
      </c>
      <c r="L92" s="25">
        <f>+BK!C27</f>
        <v>0</v>
      </c>
      <c r="M92" s="374"/>
      <c r="N92" s="25">
        <f>+BK!P27</f>
        <v>0</v>
      </c>
      <c r="O92" s="392"/>
      <c r="P92" s="392">
        <v>0</v>
      </c>
    </row>
    <row r="93" spans="1:27" ht="15.75" thickBot="1" x14ac:dyDescent="0.3">
      <c r="B93" s="393" t="s">
        <v>2</v>
      </c>
      <c r="C93" s="394">
        <f>SUM(C89:C92)</f>
        <v>0</v>
      </c>
      <c r="D93" s="394">
        <f>SUM(D89:D92)</f>
        <v>0</v>
      </c>
      <c r="E93" s="394">
        <f>SUM(E89:E92)</f>
        <v>0</v>
      </c>
      <c r="F93" s="394">
        <f>SUM(F89:F92)</f>
        <v>0</v>
      </c>
      <c r="G93" s="394">
        <f t="shared" ref="G93:L93" si="5">SUM(G89:G92)</f>
        <v>3293640</v>
      </c>
      <c r="H93" s="394">
        <f t="shared" si="5"/>
        <v>0</v>
      </c>
      <c r="I93" s="394">
        <f t="shared" si="5"/>
        <v>715600</v>
      </c>
      <c r="J93" s="394">
        <f t="shared" si="5"/>
        <v>0</v>
      </c>
      <c r="K93" s="394">
        <f t="shared" si="5"/>
        <v>375915</v>
      </c>
      <c r="L93" s="394">
        <f t="shared" si="5"/>
        <v>490454</v>
      </c>
      <c r="M93" s="393"/>
      <c r="N93" s="394">
        <f>SUM(N89:N92)</f>
        <v>699101</v>
      </c>
      <c r="O93" s="373"/>
      <c r="P93" s="394">
        <f>SUM(P89:P92)</f>
        <v>0</v>
      </c>
    </row>
    <row r="94" spans="1:27" ht="15.75" thickTop="1" x14ac:dyDescent="0.25">
      <c r="B94" s="393"/>
      <c r="C94" s="395">
        <f>+BK!F26+BK!F27</f>
        <v>0</v>
      </c>
      <c r="D94" s="395">
        <f>+BK!G26+BK!G27</f>
        <v>0</v>
      </c>
      <c r="E94" s="395">
        <f>+BK!H26+BK!H27</f>
        <v>0</v>
      </c>
      <c r="F94" s="395">
        <f>+BK!I26+BK!I27</f>
        <v>0</v>
      </c>
      <c r="G94" s="395">
        <f>+BK!J26+BK!J27</f>
        <v>3293640</v>
      </c>
      <c r="H94" s="395">
        <f>+BK!K26+BK!K27</f>
        <v>0</v>
      </c>
      <c r="I94" s="395">
        <f>+BK!L26+BK!L27</f>
        <v>715600</v>
      </c>
      <c r="J94" s="395">
        <f>+BK!M26+BK!M27</f>
        <v>0</v>
      </c>
      <c r="K94" s="395">
        <f>+BK!N26+BK!N27</f>
        <v>375915</v>
      </c>
      <c r="L94" s="395">
        <f>+BK!O26+BK!O27</f>
        <v>490454</v>
      </c>
      <c r="M94" s="393"/>
      <c r="N94" s="395">
        <f>+BK!P26+BK!P27</f>
        <v>699101</v>
      </c>
      <c r="O94" s="395"/>
      <c r="P94" s="395">
        <f>+BK!R26+BK!R27</f>
        <v>7827743</v>
      </c>
    </row>
    <row r="95" spans="1:27" x14ac:dyDescent="0.25">
      <c r="B95" s="393"/>
      <c r="C95" s="393"/>
      <c r="D95" s="393"/>
      <c r="E95" s="393"/>
      <c r="F95" s="393"/>
      <c r="G95" s="393"/>
      <c r="H95" s="393"/>
      <c r="I95" s="393"/>
      <c r="J95" s="393"/>
      <c r="K95" s="395"/>
      <c r="L95" s="395"/>
      <c r="M95" s="393"/>
      <c r="N95" s="395"/>
      <c r="O95" s="373"/>
      <c r="P95" s="395"/>
    </row>
    <row r="96" spans="1:27" x14ac:dyDescent="0.25">
      <c r="B96" s="382" t="s">
        <v>139</v>
      </c>
      <c r="C96" s="382"/>
      <c r="D96" s="382"/>
      <c r="E96" s="382"/>
      <c r="F96" s="382"/>
      <c r="G96" s="382"/>
      <c r="H96" s="382"/>
      <c r="I96" s="382"/>
      <c r="J96" s="382"/>
      <c r="K96" s="374"/>
      <c r="L96" s="374"/>
      <c r="M96" s="382"/>
      <c r="N96" s="374"/>
      <c r="O96" s="374"/>
      <c r="P96" s="374"/>
      <c r="S96" s="31"/>
      <c r="T96" s="26"/>
      <c r="U96" s="32"/>
      <c r="V96" s="31"/>
      <c r="W96" s="26"/>
      <c r="X96" s="26"/>
      <c r="Y96" s="26"/>
      <c r="Z96" s="26"/>
      <c r="AA96" s="26"/>
    </row>
    <row r="97" spans="1:27" x14ac:dyDescent="0.25">
      <c r="B97" s="452" t="s">
        <v>478</v>
      </c>
      <c r="C97" s="453" t="str">
        <f>+C88</f>
        <v>31 Dhjetor 2018</v>
      </c>
      <c r="D97" s="453" t="str">
        <f>+D88</f>
        <v>31 Dhjetor 2017</v>
      </c>
      <c r="E97" s="453" t="str">
        <f>+E88</f>
        <v>31 Dhjetor 2016</v>
      </c>
      <c r="F97" s="453" t="str">
        <f t="shared" ref="F97:K97" si="6">+F88</f>
        <v>31 Dhjetor 2015</v>
      </c>
      <c r="G97" s="453" t="str">
        <f t="shared" si="6"/>
        <v>31 Dhjetor 2014</v>
      </c>
      <c r="H97" s="453" t="str">
        <f t="shared" si="6"/>
        <v>31 Dhjetor 2013</v>
      </c>
      <c r="I97" s="453" t="str">
        <f t="shared" si="6"/>
        <v>31 Dhjetor 2012</v>
      </c>
      <c r="J97" s="375" t="str">
        <f t="shared" si="6"/>
        <v>31 Dhjetor 2011</v>
      </c>
      <c r="K97" s="375" t="str">
        <f t="shared" si="6"/>
        <v>31 Dhjetor 2010</v>
      </c>
      <c r="L97" s="375" t="s">
        <v>568</v>
      </c>
      <c r="M97" s="374"/>
      <c r="N97" s="375" t="s">
        <v>109</v>
      </c>
      <c r="P97" s="375" t="s">
        <v>99</v>
      </c>
      <c r="S97" s="26"/>
      <c r="T97" s="26"/>
      <c r="U97" s="26"/>
      <c r="V97" s="26"/>
      <c r="W97" s="26"/>
      <c r="X97" s="26"/>
      <c r="Y97" s="26"/>
      <c r="Z97" s="26"/>
      <c r="AA97" s="26"/>
    </row>
    <row r="98" spans="1:27" x14ac:dyDescent="0.25">
      <c r="B98" s="452" t="s">
        <v>104</v>
      </c>
      <c r="C98" s="465">
        <f>+BK!F44</f>
        <v>3125119</v>
      </c>
      <c r="D98" s="465">
        <f>+BK!G44</f>
        <v>5219399.3499999996</v>
      </c>
      <c r="E98" s="465">
        <f>+BK!H44</f>
        <v>17111831</v>
      </c>
      <c r="F98" s="465">
        <f>+BK!I44</f>
        <v>22394775</v>
      </c>
      <c r="G98" s="465">
        <f>+BK!J44</f>
        <v>20632716.419999998</v>
      </c>
      <c r="H98" s="465">
        <f>+BK!K44</f>
        <v>16097832.199999999</v>
      </c>
      <c r="I98" s="465">
        <f>+BK!L44</f>
        <v>7878046</v>
      </c>
      <c r="J98" s="20">
        <f>+BK!M44</f>
        <v>5528943</v>
      </c>
      <c r="K98" s="20">
        <f>+BK!N44</f>
        <v>6485898</v>
      </c>
      <c r="L98" s="20">
        <f>+BK!O44</f>
        <v>1627585</v>
      </c>
      <c r="M98" s="374"/>
      <c r="N98" s="20">
        <f>+BK!P44</f>
        <v>2474626</v>
      </c>
      <c r="O98" s="20"/>
      <c r="P98" s="20">
        <f>+BK!R44</f>
        <v>1617497</v>
      </c>
      <c r="S98" s="26"/>
      <c r="T98" s="26"/>
      <c r="U98" s="26"/>
      <c r="V98" s="26"/>
      <c r="W98" s="26"/>
      <c r="X98" s="26"/>
      <c r="Y98" s="26"/>
      <c r="Z98" s="26"/>
      <c r="AA98" s="26"/>
    </row>
    <row r="99" spans="1:27" x14ac:dyDescent="0.25">
      <c r="B99" s="452" t="s">
        <v>132</v>
      </c>
      <c r="C99" s="461">
        <f>+BK!F42</f>
        <v>0</v>
      </c>
      <c r="D99" s="461">
        <f>+BK!G42</f>
        <v>0</v>
      </c>
      <c r="E99" s="461">
        <f>+BK!H42</f>
        <v>0</v>
      </c>
      <c r="F99" s="461">
        <f>+BK!I42</f>
        <v>0</v>
      </c>
      <c r="G99" s="461">
        <f>+BK!J42</f>
        <v>0</v>
      </c>
      <c r="H99" s="461">
        <f>+BK!K42</f>
        <v>0</v>
      </c>
      <c r="I99" s="461">
        <f>+BK!L42</f>
        <v>0</v>
      </c>
      <c r="J99" s="25">
        <f>+BK!M42</f>
        <v>35994847</v>
      </c>
      <c r="K99" s="25">
        <f>+BK!N42</f>
        <v>44053275</v>
      </c>
      <c r="L99" s="25">
        <f>+BK!O42</f>
        <v>49932873</v>
      </c>
      <c r="M99" s="374"/>
      <c r="N99" s="25">
        <f>+BK!P42</f>
        <v>7924580</v>
      </c>
      <c r="P99" s="25">
        <f>+BK!R42</f>
        <v>31329282</v>
      </c>
      <c r="S99" s="33"/>
      <c r="T99" s="34"/>
      <c r="U99" s="35"/>
      <c r="V99" s="36"/>
      <c r="W99" s="26"/>
      <c r="X99" s="26"/>
      <c r="Y99" s="26"/>
      <c r="Z99" s="26"/>
      <c r="AA99" s="37"/>
    </row>
    <row r="100" spans="1:27" x14ac:dyDescent="0.25">
      <c r="B100" s="452" t="s">
        <v>125</v>
      </c>
      <c r="C100" s="461">
        <f>+BK!F45</f>
        <v>747800</v>
      </c>
      <c r="D100" s="461">
        <f>+BK!G45</f>
        <v>975000</v>
      </c>
      <c r="E100" s="461">
        <f>+BK!H45</f>
        <v>7061408</v>
      </c>
      <c r="F100" s="461">
        <f>+BK!I45</f>
        <v>2353210.7200000002</v>
      </c>
      <c r="G100" s="461">
        <f>+BK!J45</f>
        <v>1444881</v>
      </c>
      <c r="H100" s="461">
        <f>+BK!K45</f>
        <v>908618</v>
      </c>
      <c r="I100" s="461">
        <f>+BK!L45</f>
        <v>0</v>
      </c>
      <c r="J100" s="25">
        <f>+BK!M45</f>
        <v>0</v>
      </c>
      <c r="K100" s="25">
        <f>+BK!N45</f>
        <v>1182576</v>
      </c>
      <c r="L100" s="25">
        <f>+BK!O45</f>
        <v>924132</v>
      </c>
      <c r="M100" s="374"/>
      <c r="N100" s="25">
        <f>+BK!P45</f>
        <v>91680</v>
      </c>
      <c r="P100" s="25">
        <f>+BK!R45</f>
        <v>0</v>
      </c>
      <c r="S100" s="26"/>
      <c r="T100" s="26"/>
      <c r="U100" s="26"/>
      <c r="V100" s="26"/>
      <c r="W100" s="26"/>
      <c r="X100" s="26"/>
      <c r="Y100" s="26"/>
      <c r="Z100" s="26"/>
      <c r="AA100" s="26"/>
    </row>
    <row r="101" spans="1:27" x14ac:dyDescent="0.25">
      <c r="B101" s="452" t="s">
        <v>8</v>
      </c>
      <c r="C101" s="454">
        <f>+BK!F46</f>
        <v>705499</v>
      </c>
      <c r="D101" s="454">
        <f>+BK!G46</f>
        <v>949654</v>
      </c>
      <c r="E101" s="454">
        <f>+BK!H46</f>
        <v>982109</v>
      </c>
      <c r="F101" s="454">
        <f>+BK!I46</f>
        <v>667433</v>
      </c>
      <c r="G101" s="454">
        <f>+BK!J46</f>
        <v>353298</v>
      </c>
      <c r="H101" s="454">
        <f>+BK!K46</f>
        <v>834340</v>
      </c>
      <c r="I101" s="454">
        <f>+BK!L46</f>
        <v>565234</v>
      </c>
      <c r="J101" s="377">
        <f>+BK!M46</f>
        <v>489935</v>
      </c>
      <c r="K101" s="377">
        <f>+BK!N46</f>
        <v>526280</v>
      </c>
      <c r="L101" s="377">
        <f>+BK!O46</f>
        <v>558132</v>
      </c>
      <c r="M101" s="374"/>
      <c r="N101" s="377">
        <f>+BK!P46</f>
        <v>538847</v>
      </c>
      <c r="O101" s="377"/>
      <c r="P101" s="377">
        <f>+BK!R46</f>
        <v>596758</v>
      </c>
      <c r="S101" s="26"/>
      <c r="T101" s="26"/>
      <c r="U101" s="26"/>
      <c r="V101" s="26"/>
      <c r="W101" s="26"/>
      <c r="X101" s="26"/>
      <c r="Y101" s="26"/>
      <c r="Z101" s="26"/>
      <c r="AA101" s="26"/>
    </row>
    <row r="102" spans="1:27" x14ac:dyDescent="0.25">
      <c r="B102" s="452" t="s">
        <v>745</v>
      </c>
      <c r="C102" s="461">
        <f>+C152</f>
        <v>0</v>
      </c>
      <c r="D102" s="461">
        <f t="shared" ref="D102:F103" si="7">+D152</f>
        <v>0</v>
      </c>
      <c r="E102" s="461">
        <f t="shared" si="7"/>
        <v>5810000</v>
      </c>
      <c r="F102" s="461">
        <f t="shared" si="7"/>
        <v>6852500</v>
      </c>
      <c r="G102" s="461">
        <f t="shared" ref="G102:I103" si="8">+G152</f>
        <v>11060000</v>
      </c>
      <c r="H102" s="461">
        <f t="shared" si="8"/>
        <v>20392500</v>
      </c>
      <c r="I102" s="461">
        <f t="shared" si="8"/>
        <v>31970000</v>
      </c>
      <c r="J102" s="25">
        <f>+BK!M47</f>
        <v>0</v>
      </c>
      <c r="K102" s="25">
        <f>+BK!N47</f>
        <v>0</v>
      </c>
      <c r="L102" s="25">
        <f>+BK!O47</f>
        <v>0</v>
      </c>
      <c r="M102" s="374"/>
      <c r="N102" s="25">
        <f>+BK!P47</f>
        <v>27082338</v>
      </c>
      <c r="P102" s="25">
        <f>+BK!R47</f>
        <v>7224401</v>
      </c>
      <c r="S102" s="26"/>
      <c r="T102" s="26"/>
      <c r="U102" s="26"/>
      <c r="V102" s="26"/>
      <c r="W102" s="38"/>
      <c r="X102" s="26"/>
      <c r="Y102" s="26"/>
      <c r="Z102" s="26"/>
      <c r="AA102" s="39"/>
    </row>
    <row r="103" spans="1:27" x14ac:dyDescent="0.25">
      <c r="B103" s="452" t="s">
        <v>570</v>
      </c>
      <c r="C103" s="461">
        <f>+C153</f>
        <v>0</v>
      </c>
      <c r="D103" s="461">
        <f t="shared" si="7"/>
        <v>0</v>
      </c>
      <c r="E103" s="461">
        <f t="shared" si="7"/>
        <v>0</v>
      </c>
      <c r="F103" s="461">
        <f t="shared" si="7"/>
        <v>0</v>
      </c>
      <c r="G103" s="461">
        <f t="shared" si="8"/>
        <v>0</v>
      </c>
      <c r="H103" s="461">
        <f t="shared" si="8"/>
        <v>0</v>
      </c>
      <c r="I103" s="461">
        <f t="shared" si="8"/>
        <v>1710842</v>
      </c>
      <c r="J103" s="25">
        <f>+BK!M49</f>
        <v>0</v>
      </c>
      <c r="K103" s="25">
        <f>+BK!N49</f>
        <v>0</v>
      </c>
      <c r="L103" s="25">
        <f>+BK!O49</f>
        <v>0</v>
      </c>
      <c r="M103" s="374"/>
      <c r="N103" s="25">
        <f>+BK!P49</f>
        <v>0</v>
      </c>
      <c r="P103" s="25">
        <f>+BK!R49</f>
        <v>0</v>
      </c>
      <c r="S103" s="26"/>
      <c r="T103" s="26"/>
      <c r="U103" s="26"/>
      <c r="V103" s="26"/>
      <c r="W103" s="38"/>
      <c r="X103" s="26"/>
      <c r="Y103" s="26"/>
      <c r="Z103" s="26"/>
      <c r="AA103" s="39"/>
    </row>
    <row r="104" spans="1:27" x14ac:dyDescent="0.25">
      <c r="B104" s="452" t="s">
        <v>432</v>
      </c>
      <c r="C104" s="461">
        <f>+BK!F48</f>
        <v>0</v>
      </c>
      <c r="D104" s="461">
        <f>+BK!G48</f>
        <v>0</v>
      </c>
      <c r="E104" s="461">
        <f>+BK!H48</f>
        <v>0</v>
      </c>
      <c r="F104" s="461">
        <f>+BK!I48</f>
        <v>0</v>
      </c>
      <c r="G104" s="461">
        <f>+BK!J48</f>
        <v>0</v>
      </c>
      <c r="H104" s="461">
        <f>+BK!K48</f>
        <v>0</v>
      </c>
      <c r="I104" s="461">
        <f>+BK!L48</f>
        <v>0</v>
      </c>
      <c r="J104" s="25">
        <f>+BK!M48</f>
        <v>0</v>
      </c>
      <c r="K104" s="25">
        <f>+BK!N48</f>
        <v>0</v>
      </c>
      <c r="L104" s="25">
        <f>+BK!O48</f>
        <v>0</v>
      </c>
      <c r="M104" s="374"/>
      <c r="N104" s="25">
        <f>+BK!P48</f>
        <v>0</v>
      </c>
      <c r="P104" s="25">
        <f>+BK!R50</f>
        <v>0</v>
      </c>
    </row>
    <row r="105" spans="1:27" x14ac:dyDescent="0.25">
      <c r="B105" s="452"/>
      <c r="C105" s="452"/>
      <c r="D105" s="452"/>
      <c r="E105" s="452"/>
      <c r="F105" s="452"/>
      <c r="G105" s="452"/>
      <c r="H105" s="452"/>
      <c r="I105" s="452"/>
      <c r="J105" s="374"/>
      <c r="M105" s="374"/>
      <c r="O105" s="374"/>
      <c r="P105" s="377"/>
      <c r="Q105" s="376"/>
    </row>
    <row r="106" spans="1:27" ht="15.75" thickBot="1" x14ac:dyDescent="0.3">
      <c r="B106" s="455" t="s">
        <v>2</v>
      </c>
      <c r="C106" s="454">
        <f>SUM(C98:C104)</f>
        <v>4578418</v>
      </c>
      <c r="D106" s="454">
        <f>SUM(D98:D104)</f>
        <v>7144053.3499999996</v>
      </c>
      <c r="E106" s="454">
        <f>SUM(E98:E104)</f>
        <v>30965348</v>
      </c>
      <c r="F106" s="454">
        <f>SUM(F98:F104)</f>
        <v>32267918.719999999</v>
      </c>
      <c r="G106" s="454">
        <f t="shared" ref="G106:L106" si="9">SUM(G98:G104)</f>
        <v>33490895.419999998</v>
      </c>
      <c r="H106" s="454">
        <f t="shared" si="9"/>
        <v>38233290.200000003</v>
      </c>
      <c r="I106" s="454">
        <f t="shared" si="9"/>
        <v>42124122</v>
      </c>
      <c r="J106" s="380">
        <f t="shared" si="9"/>
        <v>42013725</v>
      </c>
      <c r="K106" s="380">
        <f t="shared" si="9"/>
        <v>52248029</v>
      </c>
      <c r="L106" s="380">
        <f t="shared" si="9"/>
        <v>53042722</v>
      </c>
      <c r="M106" s="378"/>
      <c r="N106" s="380">
        <f>SUM(N98:N104)</f>
        <v>38112071</v>
      </c>
      <c r="O106" s="374"/>
      <c r="P106" s="380">
        <f>SUM(P98:P104)</f>
        <v>40767938</v>
      </c>
      <c r="Q106" s="376"/>
    </row>
    <row r="107" spans="1:27" ht="15.75" thickTop="1" x14ac:dyDescent="0.25">
      <c r="B107" s="374"/>
      <c r="C107" s="547">
        <f>+BK!F54</f>
        <v>4578418</v>
      </c>
      <c r="D107" s="547">
        <f>+BK!G54</f>
        <v>7144053.3499999996</v>
      </c>
      <c r="L107" s="25">
        <f>+L106-BK!C54</f>
        <v>53042722</v>
      </c>
      <c r="M107" s="374"/>
      <c r="N107" s="25">
        <f>+N106-BK!P54</f>
        <v>0</v>
      </c>
      <c r="O107" s="374"/>
      <c r="P107" s="25">
        <f>+P106-BK!R54</f>
        <v>0</v>
      </c>
      <c r="Q107" s="376"/>
    </row>
    <row r="108" spans="1:27" hidden="1" x14ac:dyDescent="0.25">
      <c r="B108" s="382" t="s">
        <v>104</v>
      </c>
      <c r="C108" s="382"/>
      <c r="D108" s="382"/>
      <c r="E108" s="382"/>
      <c r="F108" s="382"/>
      <c r="G108" s="382"/>
      <c r="H108" s="382"/>
      <c r="I108" s="382"/>
      <c r="J108" s="382"/>
      <c r="K108" s="161"/>
      <c r="L108" s="161"/>
      <c r="M108" s="382"/>
      <c r="N108" s="161"/>
      <c r="O108" s="374"/>
      <c r="P108" s="161"/>
    </row>
    <row r="109" spans="1:27" hidden="1" x14ac:dyDescent="0.25">
      <c r="B109" s="382"/>
      <c r="C109" s="382"/>
      <c r="D109" s="382"/>
      <c r="E109" s="382"/>
      <c r="F109" s="382"/>
      <c r="G109" s="382"/>
      <c r="H109" s="382"/>
      <c r="I109" s="382"/>
      <c r="J109" s="382"/>
      <c r="K109" s="161"/>
      <c r="L109" s="161"/>
      <c r="M109" s="382"/>
      <c r="N109" s="161"/>
      <c r="O109" s="374"/>
      <c r="P109" s="161"/>
    </row>
    <row r="110" spans="1:27" ht="15.75" hidden="1" x14ac:dyDescent="0.25">
      <c r="A110" s="533" t="s">
        <v>949</v>
      </c>
      <c r="B110" s="533" t="s">
        <v>478</v>
      </c>
      <c r="C110" s="544" t="str">
        <f>+C97</f>
        <v>31 Dhjetor 2018</v>
      </c>
      <c r="D110" s="544" t="str">
        <f>+D97</f>
        <v>31 Dhjetor 2017</v>
      </c>
      <c r="E110" s="544" t="str">
        <f>+E97</f>
        <v>31 Dhjetor 2016</v>
      </c>
      <c r="F110" s="483" t="s">
        <v>999</v>
      </c>
      <c r="G110" s="531" t="s">
        <v>694</v>
      </c>
      <c r="H110" s="485"/>
      <c r="I110" s="382"/>
      <c r="J110" s="382"/>
      <c r="K110" s="161"/>
      <c r="L110" s="161"/>
      <c r="M110" s="382"/>
      <c r="N110" s="161"/>
      <c r="O110" s="374"/>
      <c r="P110" s="161"/>
    </row>
    <row r="111" spans="1:27" hidden="1" x14ac:dyDescent="0.25">
      <c r="A111" s="534" t="s">
        <v>981</v>
      </c>
      <c r="B111" s="534" t="s">
        <v>982</v>
      </c>
      <c r="C111" s="535">
        <v>7660.8000000000266</v>
      </c>
      <c r="D111" s="535">
        <v>7660.8000000000266</v>
      </c>
      <c r="E111" s="535">
        <v>7660.8000000000266</v>
      </c>
      <c r="F111" s="483" t="s">
        <v>690</v>
      </c>
      <c r="G111" s="532">
        <v>-2430</v>
      </c>
      <c r="H111" s="486"/>
      <c r="I111" s="382"/>
      <c r="J111" s="382"/>
      <c r="K111" s="161"/>
      <c r="L111" s="161"/>
      <c r="M111" s="382"/>
      <c r="N111" s="161"/>
      <c r="O111" s="374"/>
      <c r="P111" s="161"/>
    </row>
    <row r="112" spans="1:27" hidden="1" x14ac:dyDescent="0.25">
      <c r="A112" s="534" t="s">
        <v>708</v>
      </c>
      <c r="B112" s="534" t="s">
        <v>687</v>
      </c>
      <c r="C112" s="535">
        <v>1033580</v>
      </c>
      <c r="D112" s="535">
        <v>1033580</v>
      </c>
      <c r="E112" s="535">
        <v>1033580</v>
      </c>
      <c r="F112" s="483" t="s">
        <v>690</v>
      </c>
      <c r="G112" s="532">
        <f>2064812+168768</f>
        <v>2233580</v>
      </c>
      <c r="H112" s="486"/>
      <c r="I112" s="382"/>
      <c r="J112" s="382"/>
      <c r="K112" s="161"/>
      <c r="L112" s="161"/>
      <c r="M112" s="382"/>
      <c r="N112" s="161"/>
      <c r="O112" s="374"/>
      <c r="P112" s="161"/>
    </row>
    <row r="113" spans="1:16" hidden="1" x14ac:dyDescent="0.25">
      <c r="A113" s="534" t="s">
        <v>983</v>
      </c>
      <c r="B113" s="534" t="s">
        <v>984</v>
      </c>
      <c r="C113" s="535">
        <v>-409121.19</v>
      </c>
      <c r="D113" s="535">
        <v>-409121.19</v>
      </c>
      <c r="E113" s="535">
        <v>-409121.19</v>
      </c>
      <c r="F113" s="483" t="s">
        <v>690</v>
      </c>
      <c r="G113" s="532">
        <v>2996793</v>
      </c>
      <c r="H113" s="486"/>
      <c r="I113" s="382"/>
      <c r="J113" s="382"/>
      <c r="K113" s="161"/>
      <c r="L113" s="161"/>
      <c r="M113" s="382"/>
      <c r="N113" s="161"/>
      <c r="O113" s="374"/>
      <c r="P113" s="161"/>
    </row>
    <row r="114" spans="1:16" hidden="1" x14ac:dyDescent="0.25">
      <c r="A114" s="534" t="s">
        <v>985</v>
      </c>
      <c r="B114" s="534" t="s">
        <v>986</v>
      </c>
      <c r="C114" s="535">
        <v>338320.37</v>
      </c>
      <c r="D114" s="535">
        <v>338320.37</v>
      </c>
      <c r="E114" s="535">
        <v>338320.37</v>
      </c>
      <c r="F114" s="483" t="s">
        <v>690</v>
      </c>
      <c r="G114" s="532">
        <v>-366421</v>
      </c>
      <c r="H114" s="486"/>
      <c r="I114" s="382"/>
      <c r="J114" s="382"/>
      <c r="K114" s="161"/>
      <c r="L114" s="161"/>
      <c r="M114" s="382"/>
      <c r="N114" s="161"/>
      <c r="O114" s="374"/>
      <c r="P114" s="161"/>
    </row>
    <row r="115" spans="1:16" hidden="1" x14ac:dyDescent="0.25">
      <c r="A115" s="534" t="s">
        <v>987</v>
      </c>
      <c r="B115" s="534" t="s">
        <v>988</v>
      </c>
      <c r="C115" s="535">
        <v>38221.399999999907</v>
      </c>
      <c r="D115" s="535">
        <v>38221.399999999907</v>
      </c>
      <c r="E115" s="535">
        <v>38221.399999999907</v>
      </c>
      <c r="F115" s="483" t="s">
        <v>690</v>
      </c>
      <c r="G115" s="532">
        <v>-237482</v>
      </c>
      <c r="H115" s="486"/>
      <c r="I115" s="382"/>
      <c r="J115" s="382"/>
      <c r="K115" s="161"/>
      <c r="L115" s="161"/>
      <c r="M115" s="382"/>
      <c r="N115" s="161"/>
      <c r="O115" s="374"/>
      <c r="P115" s="161"/>
    </row>
    <row r="116" spans="1:16" hidden="1" x14ac:dyDescent="0.25">
      <c r="A116" s="534" t="s">
        <v>989</v>
      </c>
      <c r="B116" s="534" t="s">
        <v>631</v>
      </c>
      <c r="C116" s="535">
        <v>992477.37000000011</v>
      </c>
      <c r="D116" s="535">
        <v>992477.37000000011</v>
      </c>
      <c r="E116" s="535">
        <v>992477.37000000011</v>
      </c>
      <c r="F116" s="483" t="s">
        <v>690</v>
      </c>
      <c r="G116" s="532">
        <v>10537655</v>
      </c>
      <c r="H116" s="486"/>
      <c r="I116" s="382"/>
      <c r="J116" s="382"/>
      <c r="K116" s="161"/>
      <c r="L116" s="161"/>
      <c r="M116" s="382"/>
      <c r="N116" s="161"/>
      <c r="O116" s="374"/>
      <c r="P116" s="161"/>
    </row>
    <row r="117" spans="1:16" hidden="1" x14ac:dyDescent="0.25">
      <c r="A117" s="534" t="s">
        <v>990</v>
      </c>
      <c r="B117" s="534" t="s">
        <v>991</v>
      </c>
      <c r="C117" s="535">
        <v>17949.98</v>
      </c>
      <c r="D117" s="535">
        <v>17949.98</v>
      </c>
      <c r="E117" s="535">
        <v>17949.98</v>
      </c>
      <c r="F117" s="483" t="s">
        <v>690</v>
      </c>
      <c r="G117" s="532">
        <v>134400</v>
      </c>
      <c r="H117" s="486"/>
      <c r="I117" s="382"/>
      <c r="J117" s="382"/>
      <c r="K117" s="161"/>
      <c r="L117" s="161"/>
      <c r="M117" s="382"/>
      <c r="N117" s="161"/>
      <c r="O117" s="374"/>
      <c r="P117" s="161"/>
    </row>
    <row r="118" spans="1:16" hidden="1" x14ac:dyDescent="0.25">
      <c r="A118" s="534" t="s">
        <v>992</v>
      </c>
      <c r="B118" s="534" t="s">
        <v>993</v>
      </c>
      <c r="C118" s="535">
        <f>14220951.07-48754</f>
        <v>14172197.07</v>
      </c>
      <c r="D118" s="535">
        <f>14220951.07-48754</f>
        <v>14172197.07</v>
      </c>
      <c r="E118" s="535">
        <f>14220951.07-48754</f>
        <v>14172197.07</v>
      </c>
      <c r="F118" s="483" t="s">
        <v>690</v>
      </c>
      <c r="G118" s="532">
        <v>625589</v>
      </c>
      <c r="H118" s="486"/>
      <c r="I118" s="382"/>
      <c r="J118" s="382"/>
      <c r="K118" s="161"/>
      <c r="L118" s="161"/>
      <c r="M118" s="382"/>
      <c r="N118" s="161"/>
      <c r="O118" s="374"/>
      <c r="P118" s="161"/>
    </row>
    <row r="119" spans="1:16" hidden="1" x14ac:dyDescent="0.25">
      <c r="A119" s="534" t="s">
        <v>733</v>
      </c>
      <c r="B119" s="534" t="s">
        <v>994</v>
      </c>
      <c r="C119" s="535">
        <v>183119</v>
      </c>
      <c r="D119" s="535">
        <v>183119</v>
      </c>
      <c r="E119" s="535">
        <v>183119</v>
      </c>
      <c r="F119" s="483" t="s">
        <v>690</v>
      </c>
      <c r="G119" s="532">
        <f>-754094+774005</f>
        <v>19911</v>
      </c>
      <c r="H119" s="486"/>
      <c r="I119" s="382"/>
      <c r="J119" s="382"/>
      <c r="K119" s="161"/>
      <c r="L119" s="161"/>
      <c r="M119" s="382"/>
      <c r="N119" s="161"/>
      <c r="O119" s="374"/>
      <c r="P119" s="161"/>
    </row>
    <row r="120" spans="1:16" hidden="1" x14ac:dyDescent="0.25">
      <c r="A120" s="534" t="s">
        <v>734</v>
      </c>
      <c r="B120" s="534" t="s">
        <v>995</v>
      </c>
      <c r="C120" s="535">
        <v>78000</v>
      </c>
      <c r="D120" s="535">
        <v>78000</v>
      </c>
      <c r="E120" s="535">
        <v>78000</v>
      </c>
      <c r="F120" s="483" t="s">
        <v>690</v>
      </c>
      <c r="G120" s="532">
        <v>852000</v>
      </c>
      <c r="H120" s="486"/>
      <c r="I120" s="382"/>
      <c r="J120" s="382"/>
      <c r="K120" s="161"/>
      <c r="L120" s="161"/>
      <c r="M120" s="382"/>
      <c r="N120" s="161"/>
      <c r="O120" s="374"/>
      <c r="P120" s="161"/>
    </row>
    <row r="121" spans="1:16" hidden="1" x14ac:dyDescent="0.25">
      <c r="A121" s="534" t="s">
        <v>737</v>
      </c>
      <c r="B121" s="534" t="s">
        <v>996</v>
      </c>
      <c r="C121" s="535">
        <v>885000</v>
      </c>
      <c r="D121" s="535">
        <v>885000</v>
      </c>
      <c r="E121" s="535">
        <v>885000</v>
      </c>
      <c r="F121" s="483" t="s">
        <v>690</v>
      </c>
      <c r="G121" s="532">
        <v>50597</v>
      </c>
      <c r="H121" s="486"/>
      <c r="I121" s="382"/>
      <c r="J121" s="382"/>
      <c r="K121" s="161"/>
      <c r="L121" s="161"/>
      <c r="M121" s="382"/>
      <c r="N121" s="161"/>
      <c r="O121" s="374"/>
      <c r="P121" s="161"/>
    </row>
    <row r="122" spans="1:16" hidden="1" x14ac:dyDescent="0.25">
      <c r="A122" s="534" t="s">
        <v>997</v>
      </c>
      <c r="B122" s="534" t="s">
        <v>998</v>
      </c>
      <c r="C122" s="535">
        <v>56426.2</v>
      </c>
      <c r="D122" s="535">
        <v>56426.2</v>
      </c>
      <c r="E122" s="535">
        <v>56426.2</v>
      </c>
      <c r="F122" s="483" t="s">
        <v>690</v>
      </c>
      <c r="G122" s="532">
        <f>SUM(G111:G121)</f>
        <v>16844192</v>
      </c>
      <c r="H122" s="486"/>
      <c r="I122" s="382"/>
      <c r="J122" s="382"/>
      <c r="K122" s="161"/>
      <c r="L122" s="161"/>
      <c r="M122" s="382"/>
      <c r="N122" s="161"/>
      <c r="O122" s="374"/>
      <c r="P122" s="161"/>
    </row>
    <row r="123" spans="1:16" hidden="1" x14ac:dyDescent="0.25">
      <c r="A123" s="534" t="s">
        <v>987</v>
      </c>
      <c r="B123" s="534" t="s">
        <v>988</v>
      </c>
      <c r="C123" s="535">
        <v>-282000</v>
      </c>
      <c r="D123" s="535">
        <v>-282000</v>
      </c>
      <c r="E123" s="535">
        <v>-282000</v>
      </c>
      <c r="F123" s="483" t="s">
        <v>690</v>
      </c>
      <c r="G123" s="382"/>
      <c r="H123" s="487"/>
      <c r="I123" s="382"/>
      <c r="J123" s="382"/>
      <c r="K123" s="161"/>
      <c r="L123" s="161"/>
      <c r="M123" s="382"/>
      <c r="N123" s="161"/>
      <c r="O123" s="374"/>
      <c r="P123" s="161"/>
    </row>
    <row r="124" spans="1:16" ht="20.25" hidden="1" customHeight="1" x14ac:dyDescent="0.25">
      <c r="A124" s="533"/>
      <c r="B124" s="533" t="s">
        <v>744</v>
      </c>
      <c r="C124" s="530">
        <f>SUM(C111:C123)</f>
        <v>17111831</v>
      </c>
      <c r="D124" s="530">
        <f>SUM(D111:D123)</f>
        <v>17111831</v>
      </c>
      <c r="E124" s="530">
        <f>SUM(E111:E123)</f>
        <v>17111831</v>
      </c>
      <c r="F124" s="483" t="s">
        <v>690</v>
      </c>
      <c r="G124" s="375" t="str">
        <f>+G97</f>
        <v>31 Dhjetor 2014</v>
      </c>
      <c r="H124" s="375" t="str">
        <f>+H97</f>
        <v>31 Dhjetor 2013</v>
      </c>
      <c r="I124" s="375" t="str">
        <f>+I97</f>
        <v>31 Dhjetor 2012</v>
      </c>
      <c r="J124" s="375" t="str">
        <f>+J97</f>
        <v>31 Dhjetor 2011</v>
      </c>
      <c r="K124" s="375" t="str">
        <f>+K97</f>
        <v>31 Dhjetor 2010</v>
      </c>
      <c r="L124" s="375" t="s">
        <v>568</v>
      </c>
      <c r="M124" s="382"/>
      <c r="N124" s="161"/>
      <c r="O124" s="374"/>
      <c r="P124" s="161"/>
    </row>
    <row r="125" spans="1:16" ht="15.75" x14ac:dyDescent="0.25">
      <c r="A125" s="122"/>
      <c r="B125" s="100"/>
      <c r="C125" s="100"/>
      <c r="D125" s="100"/>
      <c r="E125" s="100"/>
      <c r="F125" s="483" t="s">
        <v>690</v>
      </c>
      <c r="G125" s="374"/>
      <c r="H125" s="374"/>
      <c r="I125" s="374"/>
      <c r="J125" s="374"/>
      <c r="K125" s="161"/>
      <c r="L125" s="161"/>
      <c r="M125" s="374"/>
      <c r="N125" s="161"/>
      <c r="O125" s="374"/>
      <c r="P125" s="161"/>
    </row>
    <row r="126" spans="1:16" ht="15.75" x14ac:dyDescent="0.25">
      <c r="A126" s="122"/>
      <c r="B126" s="100"/>
      <c r="C126" s="100"/>
      <c r="D126" s="100"/>
      <c r="E126" s="100"/>
      <c r="F126" s="483" t="s">
        <v>690</v>
      </c>
      <c r="G126" s="374"/>
      <c r="H126" s="374"/>
      <c r="I126" s="374"/>
      <c r="J126" s="374"/>
      <c r="K126" s="161"/>
      <c r="L126" s="161"/>
      <c r="M126" s="374"/>
      <c r="N126" s="161"/>
      <c r="O126" s="374"/>
      <c r="P126" s="161"/>
    </row>
    <row r="127" spans="1:16" ht="15.75" x14ac:dyDescent="0.25">
      <c r="A127" s="122"/>
      <c r="B127" s="498" t="s">
        <v>433</v>
      </c>
      <c r="C127" s="498"/>
      <c r="D127" s="498"/>
      <c r="E127" s="498"/>
      <c r="F127" s="483" t="s">
        <v>690</v>
      </c>
      <c r="G127" s="382"/>
      <c r="H127" s="382"/>
      <c r="I127" s="382"/>
      <c r="J127" s="382"/>
      <c r="K127" s="161"/>
      <c r="L127" s="161"/>
      <c r="M127" s="382"/>
      <c r="N127" s="161"/>
      <c r="O127" s="374"/>
      <c r="P127" s="161"/>
    </row>
    <row r="128" spans="1:16" ht="15.75" x14ac:dyDescent="0.25">
      <c r="A128" s="122"/>
      <c r="B128" s="100"/>
      <c r="C128" s="536">
        <f>+C124</f>
        <v>17111831</v>
      </c>
      <c r="D128" s="536">
        <f>+D124</f>
        <v>17111831</v>
      </c>
      <c r="E128" s="536">
        <f>+E124</f>
        <v>17111831</v>
      </c>
      <c r="F128" s="483" t="s">
        <v>690</v>
      </c>
      <c r="G128" s="375" t="str">
        <f>+G124</f>
        <v>31 Dhjetor 2014</v>
      </c>
      <c r="H128" s="375" t="str">
        <f>+H124</f>
        <v>31 Dhjetor 2013</v>
      </c>
      <c r="I128" s="375" t="str">
        <f>+I124</f>
        <v>31 Dhjetor 2012</v>
      </c>
      <c r="J128" s="375" t="str">
        <f>+J124</f>
        <v>31 Dhjetor 2011</v>
      </c>
      <c r="K128" s="375" t="str">
        <f>+K124</f>
        <v>31 Dhjetor 2010</v>
      </c>
      <c r="L128" s="375" t="s">
        <v>568</v>
      </c>
      <c r="M128" s="374"/>
      <c r="N128" s="375" t="s">
        <v>109</v>
      </c>
      <c r="P128" s="375" t="s">
        <v>99</v>
      </c>
    </row>
    <row r="129" spans="1:18" ht="15.75" x14ac:dyDescent="0.25">
      <c r="A129" s="122"/>
      <c r="B129" s="100" t="s">
        <v>644</v>
      </c>
      <c r="C129" s="122"/>
      <c r="D129" s="122"/>
      <c r="E129" s="122"/>
      <c r="F129" s="483" t="s">
        <v>690</v>
      </c>
      <c r="J129" s="25">
        <f>+BK!M42</f>
        <v>35994847</v>
      </c>
      <c r="K129" s="25">
        <f>+BK!N42</f>
        <v>44053275</v>
      </c>
      <c r="L129" s="25">
        <f>+BK!O42</f>
        <v>49932873</v>
      </c>
      <c r="M129" s="374"/>
      <c r="N129" s="25">
        <v>5200000</v>
      </c>
    </row>
    <row r="130" spans="1:18" ht="15.75" x14ac:dyDescent="0.25">
      <c r="A130" s="122"/>
      <c r="B130" s="100" t="s">
        <v>522</v>
      </c>
      <c r="C130" s="100"/>
      <c r="D130" s="100"/>
      <c r="E130" s="100"/>
      <c r="F130" s="483" t="s">
        <v>690</v>
      </c>
      <c r="G130" s="374"/>
      <c r="H130" s="374"/>
      <c r="I130" s="374"/>
      <c r="J130" s="374"/>
      <c r="K130" s="25">
        <v>0</v>
      </c>
      <c r="L130" s="25">
        <v>0</v>
      </c>
      <c r="M130" s="374"/>
      <c r="N130" s="25">
        <v>2724580</v>
      </c>
      <c r="P130" s="25">
        <v>0</v>
      </c>
    </row>
    <row r="131" spans="1:18" ht="16.5" thickBot="1" x14ac:dyDescent="0.3">
      <c r="A131" s="122"/>
      <c r="B131" s="537" t="s">
        <v>2</v>
      </c>
      <c r="C131" s="538">
        <f>SUM(C129:C130)</f>
        <v>0</v>
      </c>
      <c r="D131" s="538">
        <f>SUM(D129:D130)</f>
        <v>0</v>
      </c>
      <c r="E131" s="538">
        <f>SUM(E129:E130)</f>
        <v>0</v>
      </c>
      <c r="F131" s="539" t="s">
        <v>690</v>
      </c>
      <c r="G131" s="380">
        <f t="shared" ref="G131:L131" si="10">SUM(G129:G130)</f>
        <v>0</v>
      </c>
      <c r="H131" s="380">
        <f t="shared" si="10"/>
        <v>0</v>
      </c>
      <c r="I131" s="380">
        <f t="shared" si="10"/>
        <v>0</v>
      </c>
      <c r="J131" s="380">
        <f t="shared" si="10"/>
        <v>35994847</v>
      </c>
      <c r="K131" s="380">
        <f t="shared" si="10"/>
        <v>44053275</v>
      </c>
      <c r="L131" s="380">
        <f t="shared" si="10"/>
        <v>49932873</v>
      </c>
      <c r="M131" s="378"/>
      <c r="N131" s="380">
        <f>SUM(N129:N130)</f>
        <v>7924580</v>
      </c>
      <c r="O131" s="377"/>
      <c r="P131" s="380">
        <f>SUM(P129:P130)</f>
        <v>0</v>
      </c>
    </row>
    <row r="132" spans="1:18" ht="16.5" thickTop="1" x14ac:dyDescent="0.25">
      <c r="A132" s="541"/>
      <c r="B132" s="542" t="s">
        <v>744</v>
      </c>
      <c r="C132" s="543">
        <f>SUM(C111:C123)</f>
        <v>17111831</v>
      </c>
      <c r="D132" s="543">
        <f>SUM(D111:D123)</f>
        <v>17111831</v>
      </c>
      <c r="E132" s="543">
        <f>SUM(E111:E123)</f>
        <v>17111831</v>
      </c>
      <c r="F132" s="483" t="s">
        <v>690</v>
      </c>
      <c r="G132" s="374"/>
      <c r="H132" s="374"/>
      <c r="I132" s="374"/>
      <c r="J132" s="374"/>
      <c r="K132" s="161" t="str">
        <f>+BK!B42</f>
        <v>Huamarjet</v>
      </c>
      <c r="L132" s="161" t="str">
        <f>+BK!C42</f>
        <v>5.b</v>
      </c>
      <c r="M132" s="374"/>
      <c r="N132" s="161">
        <f>+BK!P42</f>
        <v>7924580</v>
      </c>
      <c r="O132" s="161"/>
      <c r="P132" s="161">
        <f>+BK!R42</f>
        <v>31329282</v>
      </c>
    </row>
    <row r="133" spans="1:18" x14ac:dyDescent="0.25">
      <c r="B133" s="374"/>
      <c r="C133" s="540">
        <f>+C128</f>
        <v>17111831</v>
      </c>
      <c r="D133" s="540">
        <f>+D128</f>
        <v>17111831</v>
      </c>
      <c r="E133" s="540">
        <f>+E128</f>
        <v>17111831</v>
      </c>
      <c r="F133" s="374"/>
      <c r="G133" s="374"/>
      <c r="H133" s="374"/>
      <c r="I133" s="374"/>
      <c r="J133" s="374"/>
      <c r="K133" s="161"/>
      <c r="L133" s="161"/>
      <c r="M133" s="374"/>
      <c r="N133" s="161"/>
      <c r="O133" s="374"/>
      <c r="P133" s="161"/>
    </row>
    <row r="134" spans="1:18" x14ac:dyDescent="0.25">
      <c r="B134" s="374"/>
      <c r="C134" s="160"/>
      <c r="D134" s="160"/>
      <c r="E134" s="160"/>
      <c r="F134" s="374"/>
      <c r="G134" s="374"/>
      <c r="H134" s="374"/>
      <c r="I134" s="374"/>
      <c r="J134" s="374"/>
      <c r="K134" s="161"/>
      <c r="L134" s="161"/>
      <c r="M134" s="374"/>
      <c r="N134" s="161"/>
      <c r="O134" s="374"/>
      <c r="P134" s="161"/>
    </row>
    <row r="135" spans="1:18" x14ac:dyDescent="0.25">
      <c r="B135" s="452" t="s">
        <v>478</v>
      </c>
      <c r="C135" s="461" t="str">
        <f>+C97</f>
        <v>31 Dhjetor 2018</v>
      </c>
      <c r="D135" s="461" t="str">
        <f>+D97</f>
        <v>31 Dhjetor 2017</v>
      </c>
      <c r="E135" s="461" t="str">
        <f>+E97</f>
        <v>31 Dhjetor 2016</v>
      </c>
      <c r="F135" s="453" t="str">
        <f>+F97</f>
        <v>31 Dhjetor 2015</v>
      </c>
      <c r="G135" s="453" t="str">
        <f>+G128</f>
        <v>31 Dhjetor 2014</v>
      </c>
      <c r="H135" s="453" t="str">
        <f>+H128</f>
        <v>31 Dhjetor 2013</v>
      </c>
      <c r="I135" s="453" t="str">
        <f>+I128</f>
        <v>31 Dhjetor 2012</v>
      </c>
      <c r="J135" s="375" t="str">
        <f>+J128</f>
        <v>31 Dhjetor 2011</v>
      </c>
      <c r="K135" s="375" t="str">
        <f>+K128</f>
        <v>31 Dhjetor 2010</v>
      </c>
      <c r="L135" s="375" t="s">
        <v>568</v>
      </c>
      <c r="M135" s="374"/>
      <c r="N135" s="375" t="s">
        <v>109</v>
      </c>
      <c r="P135" s="375" t="s">
        <v>99</v>
      </c>
    </row>
    <row r="136" spans="1:18" x14ac:dyDescent="0.25">
      <c r="B136" s="452" t="s">
        <v>107</v>
      </c>
      <c r="C136" s="461">
        <v>236273</v>
      </c>
      <c r="D136" s="461">
        <f>+'Bilanci Alpha'!G105</f>
        <v>612588</v>
      </c>
      <c r="E136" s="461">
        <f>+'Bilanci Alpha'!H105</f>
        <v>658330</v>
      </c>
      <c r="F136" s="461">
        <f>+'Bilanci Alpha'!I105</f>
        <v>338214</v>
      </c>
      <c r="G136" s="461">
        <f>+'Bilanci Alpha'!J105</f>
        <v>58119</v>
      </c>
      <c r="H136" s="461">
        <v>525423</v>
      </c>
      <c r="I136" s="461">
        <v>295108</v>
      </c>
      <c r="J136" s="25">
        <v>223411</v>
      </c>
      <c r="K136" s="25">
        <v>253297</v>
      </c>
      <c r="L136" s="25">
        <v>277114</v>
      </c>
      <c r="M136" s="374"/>
      <c r="N136" s="25">
        <v>225789</v>
      </c>
      <c r="P136" s="25">
        <v>275546</v>
      </c>
      <c r="R136" s="21"/>
    </row>
    <row r="137" spans="1:18" x14ac:dyDescent="0.25">
      <c r="B137" s="452" t="s">
        <v>746</v>
      </c>
      <c r="C137" s="461">
        <f>+'Bilanci Alpha'!F104</f>
        <v>342361</v>
      </c>
      <c r="D137" s="461">
        <f>+'Bilanci Alpha'!G104</f>
        <v>337066</v>
      </c>
      <c r="E137" s="461">
        <f>+'Bilanci Alpha'!H104</f>
        <v>323779</v>
      </c>
      <c r="F137" s="461">
        <f>+'Bilanci Alpha'!I104</f>
        <v>329219</v>
      </c>
      <c r="G137" s="461">
        <f>+'Bilanci Alpha'!J104</f>
        <v>295179</v>
      </c>
      <c r="H137" s="461">
        <v>289917</v>
      </c>
      <c r="I137" s="461">
        <v>219426</v>
      </c>
      <c r="J137" s="25">
        <v>210924</v>
      </c>
      <c r="K137" s="25">
        <v>216783</v>
      </c>
      <c r="L137" s="25">
        <v>223758</v>
      </c>
      <c r="M137" s="374"/>
      <c r="N137" s="25">
        <v>263858</v>
      </c>
      <c r="P137" s="21">
        <v>272412</v>
      </c>
      <c r="R137" s="21"/>
    </row>
    <row r="138" spans="1:18" x14ac:dyDescent="0.25">
      <c r="B138" s="452" t="s">
        <v>105</v>
      </c>
      <c r="C138" s="461">
        <v>0</v>
      </c>
      <c r="D138" s="461">
        <v>0</v>
      </c>
      <c r="E138" s="461">
        <v>0</v>
      </c>
      <c r="F138" s="461">
        <v>0</v>
      </c>
      <c r="G138" s="461">
        <v>0</v>
      </c>
      <c r="H138" s="461">
        <v>19000</v>
      </c>
      <c r="I138" s="461">
        <v>50700</v>
      </c>
      <c r="J138" s="25">
        <v>55600</v>
      </c>
      <c r="K138" s="25">
        <v>56200</v>
      </c>
      <c r="L138" s="25">
        <v>57260</v>
      </c>
      <c r="M138" s="374"/>
      <c r="N138" s="25">
        <v>49200</v>
      </c>
      <c r="P138" s="21">
        <v>48800</v>
      </c>
    </row>
    <row r="139" spans="1:18" x14ac:dyDescent="0.25">
      <c r="B139" s="452" t="s">
        <v>523</v>
      </c>
      <c r="C139" s="461">
        <f>+C100</f>
        <v>747800</v>
      </c>
      <c r="D139" s="461">
        <f>+D100</f>
        <v>975000</v>
      </c>
      <c r="E139" s="461">
        <f>+E100</f>
        <v>7061408</v>
      </c>
      <c r="F139" s="461">
        <f t="shared" ref="F139:K139" si="11">+F100</f>
        <v>2353210.7200000002</v>
      </c>
      <c r="G139" s="461">
        <f t="shared" si="11"/>
        <v>1444881</v>
      </c>
      <c r="H139" s="461">
        <f t="shared" si="11"/>
        <v>908618</v>
      </c>
      <c r="I139" s="461">
        <f t="shared" si="11"/>
        <v>0</v>
      </c>
      <c r="J139" s="25">
        <f t="shared" si="11"/>
        <v>0</v>
      </c>
      <c r="K139" s="25">
        <f t="shared" si="11"/>
        <v>1182576</v>
      </c>
      <c r="L139" s="25">
        <v>924132</v>
      </c>
      <c r="M139" s="374"/>
      <c r="N139" s="25">
        <v>91680</v>
      </c>
      <c r="P139" s="21">
        <v>0</v>
      </c>
    </row>
    <row r="140" spans="1:18" x14ac:dyDescent="0.25">
      <c r="B140" s="452" t="s">
        <v>1032</v>
      </c>
      <c r="C140" s="461">
        <v>126865</v>
      </c>
      <c r="D140" s="461">
        <v>0</v>
      </c>
      <c r="E140" s="452"/>
      <c r="F140" s="452"/>
      <c r="G140" s="452"/>
      <c r="H140" s="452"/>
      <c r="I140" s="452"/>
      <c r="J140" s="374"/>
      <c r="M140" s="374"/>
    </row>
    <row r="141" spans="1:18" ht="15.75" thickBot="1" x14ac:dyDescent="0.3">
      <c r="B141" s="455" t="s">
        <v>2</v>
      </c>
      <c r="C141" s="454">
        <f>SUM(C136:C140)</f>
        <v>1453299</v>
      </c>
      <c r="D141" s="454">
        <f>SUM(D136:D139)</f>
        <v>1924654</v>
      </c>
      <c r="E141" s="454">
        <f>SUM(E136:E139)</f>
        <v>8043517</v>
      </c>
      <c r="F141" s="454">
        <f>SUM(F136:F139)</f>
        <v>3020643.72</v>
      </c>
      <c r="G141" s="454">
        <f t="shared" ref="G141:L141" si="12">SUM(G136:G139)</f>
        <v>1798179</v>
      </c>
      <c r="H141" s="454">
        <f t="shared" si="12"/>
        <v>1742958</v>
      </c>
      <c r="I141" s="454">
        <f t="shared" si="12"/>
        <v>565234</v>
      </c>
      <c r="J141" s="380">
        <f t="shared" si="12"/>
        <v>489935</v>
      </c>
      <c r="K141" s="380">
        <f t="shared" si="12"/>
        <v>1708856</v>
      </c>
      <c r="L141" s="380">
        <f t="shared" si="12"/>
        <v>1482264</v>
      </c>
      <c r="M141" s="378"/>
      <c r="N141" s="380">
        <f>SUM(N136:N139)</f>
        <v>630527</v>
      </c>
      <c r="O141" s="377"/>
      <c r="P141" s="380">
        <f>SUM(P136:P139)</f>
        <v>596758</v>
      </c>
    </row>
    <row r="142" spans="1:18" ht="15.75" thickTop="1" x14ac:dyDescent="0.25">
      <c r="B142" s="374"/>
      <c r="C142" s="548">
        <f>+C100+C101</f>
        <v>1453299</v>
      </c>
      <c r="D142" s="548">
        <f>+D100+D101</f>
        <v>1924654</v>
      </c>
      <c r="E142" s="374"/>
      <c r="F142" s="374"/>
      <c r="G142" s="374"/>
      <c r="H142" s="374"/>
      <c r="I142" s="374"/>
      <c r="J142" s="374"/>
      <c r="K142" s="391" t="str">
        <f>+BK!B46</f>
        <v>Detyrime tatimore</v>
      </c>
      <c r="L142" s="391" t="str">
        <f>+BK!C46</f>
        <v>5.d</v>
      </c>
      <c r="M142" s="374"/>
      <c r="N142" s="391">
        <f>+BK!P46</f>
        <v>538847</v>
      </c>
      <c r="O142" s="161"/>
      <c r="P142" s="391">
        <f>+BK!R46</f>
        <v>596758</v>
      </c>
    </row>
    <row r="143" spans="1:18" x14ac:dyDescent="0.25">
      <c r="B143" s="374"/>
      <c r="C143" s="374"/>
      <c r="D143" s="374"/>
      <c r="E143" s="374"/>
      <c r="F143" s="374"/>
      <c r="G143" s="374"/>
      <c r="H143" s="374"/>
      <c r="I143" s="374"/>
      <c r="J143" s="374"/>
      <c r="K143" s="161"/>
      <c r="L143" s="161"/>
      <c r="M143" s="374"/>
      <c r="N143" s="161"/>
      <c r="O143" s="374"/>
      <c r="P143" s="161"/>
    </row>
    <row r="144" spans="1:18" x14ac:dyDescent="0.25">
      <c r="B144" s="396" t="s">
        <v>431</v>
      </c>
      <c r="C144" s="396"/>
      <c r="D144" s="396"/>
      <c r="E144" s="396"/>
      <c r="F144" s="396"/>
      <c r="G144" s="396"/>
      <c r="H144" s="396"/>
      <c r="I144" s="396"/>
      <c r="J144" s="396"/>
      <c r="K144" s="161"/>
      <c r="L144" s="161"/>
      <c r="M144" s="396"/>
      <c r="N144" s="161"/>
      <c r="O144" s="374"/>
      <c r="P144" s="161"/>
    </row>
    <row r="145" spans="2:17" x14ac:dyDescent="0.25">
      <c r="B145" s="374"/>
      <c r="C145" s="375">
        <f>+C133</f>
        <v>17111831</v>
      </c>
      <c r="D145" s="375">
        <f>+D133</f>
        <v>17111831</v>
      </c>
      <c r="E145" s="375">
        <f>+E133</f>
        <v>17111831</v>
      </c>
      <c r="F145" s="375" t="str">
        <f t="shared" ref="F145:K145" si="13">+F135</f>
        <v>31 Dhjetor 2015</v>
      </c>
      <c r="G145" s="375" t="str">
        <f t="shared" si="13"/>
        <v>31 Dhjetor 2014</v>
      </c>
      <c r="H145" s="375" t="str">
        <f t="shared" si="13"/>
        <v>31 Dhjetor 2013</v>
      </c>
      <c r="I145" s="375" t="str">
        <f t="shared" si="13"/>
        <v>31 Dhjetor 2012</v>
      </c>
      <c r="J145" s="375" t="str">
        <f t="shared" si="13"/>
        <v>31 Dhjetor 2011</v>
      </c>
      <c r="K145" s="375" t="str">
        <f t="shared" si="13"/>
        <v>31 Dhjetor 2010</v>
      </c>
      <c r="L145" s="375" t="s">
        <v>568</v>
      </c>
      <c r="M145" s="374"/>
      <c r="N145" s="375" t="s">
        <v>109</v>
      </c>
      <c r="P145" s="375" t="s">
        <v>99</v>
      </c>
      <c r="Q145" s="376"/>
    </row>
    <row r="146" spans="2:17" x14ac:dyDescent="0.25">
      <c r="B146" s="374"/>
      <c r="M146" s="374"/>
    </row>
    <row r="147" spans="2:17" ht="15.75" thickBot="1" x14ac:dyDescent="0.3">
      <c r="B147" s="378" t="s">
        <v>2</v>
      </c>
      <c r="C147" s="380">
        <f>SUM(C146:C146)</f>
        <v>0</v>
      </c>
      <c r="D147" s="380">
        <f>SUM(D146:D146)</f>
        <v>0</v>
      </c>
      <c r="E147" s="380">
        <f>SUM(E146:E146)</f>
        <v>0</v>
      </c>
      <c r="F147" s="380">
        <f>SUM(F146:F146)</f>
        <v>0</v>
      </c>
      <c r="G147" s="380">
        <f t="shared" ref="G147:L147" si="14">SUM(G146:G146)</f>
        <v>0</v>
      </c>
      <c r="H147" s="380">
        <f t="shared" si="14"/>
        <v>0</v>
      </c>
      <c r="I147" s="380">
        <f t="shared" si="14"/>
        <v>0</v>
      </c>
      <c r="J147" s="380">
        <f t="shared" si="14"/>
        <v>0</v>
      </c>
      <c r="K147" s="380">
        <f t="shared" si="14"/>
        <v>0</v>
      </c>
      <c r="L147" s="380">
        <f t="shared" si="14"/>
        <v>0</v>
      </c>
      <c r="M147" s="378"/>
      <c r="N147" s="380">
        <f>SUM(N146:N146)</f>
        <v>0</v>
      </c>
      <c r="O147" s="377"/>
      <c r="P147" s="380">
        <f>SUM(P146:P146)</f>
        <v>0</v>
      </c>
      <c r="Q147" s="373"/>
    </row>
    <row r="148" spans="2:17" ht="15.75" thickTop="1" x14ac:dyDescent="0.25">
      <c r="B148" s="374"/>
      <c r="C148" s="374"/>
      <c r="D148" s="374"/>
      <c r="E148" s="374"/>
      <c r="F148" s="374"/>
      <c r="G148" s="374"/>
      <c r="H148" s="374"/>
      <c r="I148" s="374"/>
      <c r="J148" s="374"/>
      <c r="K148" s="377"/>
      <c r="L148" s="377"/>
      <c r="M148" s="374"/>
      <c r="N148" s="377"/>
      <c r="O148" s="377"/>
      <c r="P148" s="377"/>
    </row>
    <row r="149" spans="2:17" x14ac:dyDescent="0.25">
      <c r="B149" s="20"/>
      <c r="C149" s="20"/>
      <c r="D149" s="20"/>
      <c r="E149" s="20"/>
      <c r="F149" s="20"/>
      <c r="G149" s="20"/>
      <c r="H149" s="20"/>
      <c r="I149" s="20"/>
      <c r="J149" s="20"/>
      <c r="K149" s="397">
        <f>+K103</f>
        <v>0</v>
      </c>
      <c r="L149" s="397">
        <f>+L103</f>
        <v>0</v>
      </c>
      <c r="M149" s="20"/>
      <c r="N149" s="397">
        <f>+N103</f>
        <v>0</v>
      </c>
      <c r="O149" s="397"/>
      <c r="P149" s="397">
        <f>+P103</f>
        <v>0</v>
      </c>
    </row>
    <row r="150" spans="2:17" x14ac:dyDescent="0.25">
      <c r="B150" s="374"/>
      <c r="C150" s="374"/>
      <c r="D150" s="374"/>
      <c r="E150" s="374"/>
      <c r="F150" s="374"/>
      <c r="G150" s="374"/>
      <c r="H150" s="374"/>
      <c r="I150" s="374"/>
      <c r="J150" s="374"/>
      <c r="K150" s="20"/>
      <c r="L150" s="20"/>
      <c r="M150" s="374"/>
      <c r="N150" s="20"/>
      <c r="O150" s="374"/>
      <c r="P150" s="374"/>
    </row>
    <row r="151" spans="2:17" x14ac:dyDescent="0.25">
      <c r="B151" s="452" t="s">
        <v>478</v>
      </c>
      <c r="C151" s="453" t="str">
        <f>+C135</f>
        <v>31 Dhjetor 2018</v>
      </c>
      <c r="D151" s="453" t="str">
        <f>+D135</f>
        <v>31 Dhjetor 2017</v>
      </c>
      <c r="E151" s="453" t="str">
        <f>+E135</f>
        <v>31 Dhjetor 2016</v>
      </c>
      <c r="F151" s="453" t="str">
        <f t="shared" ref="F151:K151" si="15">+F145</f>
        <v>31 Dhjetor 2015</v>
      </c>
      <c r="G151" s="453" t="str">
        <f t="shared" si="15"/>
        <v>31 Dhjetor 2014</v>
      </c>
      <c r="H151" s="453" t="str">
        <f t="shared" si="15"/>
        <v>31 Dhjetor 2013</v>
      </c>
      <c r="I151" s="453" t="str">
        <f t="shared" si="15"/>
        <v>31 Dhjetor 2012</v>
      </c>
      <c r="J151" s="375" t="str">
        <f t="shared" si="15"/>
        <v>31 Dhjetor 2011</v>
      </c>
      <c r="K151" s="375" t="str">
        <f t="shared" si="15"/>
        <v>31 Dhjetor 2010</v>
      </c>
      <c r="L151" s="375" t="s">
        <v>568</v>
      </c>
      <c r="M151" s="374"/>
      <c r="N151" s="375" t="s">
        <v>109</v>
      </c>
      <c r="P151" s="375" t="s">
        <v>99</v>
      </c>
    </row>
    <row r="152" spans="2:17" x14ac:dyDescent="0.25">
      <c r="B152" s="452" t="s">
        <v>1000</v>
      </c>
      <c r="C152" s="461">
        <f>+'Bilanci Alpha'!F107</f>
        <v>0</v>
      </c>
      <c r="D152" s="461">
        <f>+'Bilanci Alpha'!G107</f>
        <v>0</v>
      </c>
      <c r="E152" s="461">
        <f>+'Bilanci Alpha'!H107</f>
        <v>5810000</v>
      </c>
      <c r="F152" s="461">
        <f>+'Bilanci Alpha'!I107</f>
        <v>6852500</v>
      </c>
      <c r="G152" s="461">
        <f>+'Bilanci Alpha'!J107</f>
        <v>11060000</v>
      </c>
      <c r="H152" s="461">
        <f>+'Bilanci Alpha'!K107</f>
        <v>20392500</v>
      </c>
      <c r="I152" s="461">
        <f>+'Bilanci Alpha'!L107</f>
        <v>31970000</v>
      </c>
      <c r="J152" s="25">
        <f>+BK!M47</f>
        <v>0</v>
      </c>
      <c r="K152" s="25">
        <f>+BK!N47</f>
        <v>0</v>
      </c>
      <c r="L152" s="25">
        <f>+BK!O47</f>
        <v>0</v>
      </c>
      <c r="M152" s="374"/>
      <c r="N152" s="25">
        <f>+BK!P47</f>
        <v>27082338</v>
      </c>
      <c r="P152" s="25">
        <f>+BK!R47</f>
        <v>7224401</v>
      </c>
    </row>
    <row r="153" spans="2:17" x14ac:dyDescent="0.25">
      <c r="B153" s="452" t="s">
        <v>123</v>
      </c>
      <c r="C153" s="466">
        <f>+'Bilanci Alpha'!F106</f>
        <v>0</v>
      </c>
      <c r="D153" s="466">
        <f>+'Bilanci Alpha'!G106</f>
        <v>0</v>
      </c>
      <c r="E153" s="466">
        <f>+'Bilanci Alpha'!H106</f>
        <v>0</v>
      </c>
      <c r="F153" s="466">
        <f>+'Bilanci Alpha'!I106</f>
        <v>0</v>
      </c>
      <c r="G153" s="466">
        <f>+'Bilanci Alpha'!J106</f>
        <v>0</v>
      </c>
      <c r="H153" s="466">
        <f>+'Bilanci Alpha'!K106</f>
        <v>0</v>
      </c>
      <c r="I153" s="466">
        <f>+'Bilanci Alpha'!L106</f>
        <v>1710842</v>
      </c>
      <c r="J153" s="374"/>
      <c r="M153" s="374"/>
    </row>
    <row r="154" spans="2:17" ht="15.75" thickBot="1" x14ac:dyDescent="0.3">
      <c r="B154" s="455" t="s">
        <v>2</v>
      </c>
      <c r="C154" s="454">
        <f>SUM(C152:C153)</f>
        <v>0</v>
      </c>
      <c r="D154" s="454">
        <f t="shared" ref="D154:I154" si="16">SUM(D152:D153)</f>
        <v>0</v>
      </c>
      <c r="E154" s="454">
        <f t="shared" si="16"/>
        <v>5810000</v>
      </c>
      <c r="F154" s="454">
        <f t="shared" si="16"/>
        <v>6852500</v>
      </c>
      <c r="G154" s="454">
        <f t="shared" si="16"/>
        <v>11060000</v>
      </c>
      <c r="H154" s="454">
        <f t="shared" si="16"/>
        <v>20392500</v>
      </c>
      <c r="I154" s="454">
        <f t="shared" si="16"/>
        <v>33680842</v>
      </c>
      <c r="J154" s="380">
        <f>SUM(J152:J152)</f>
        <v>0</v>
      </c>
      <c r="K154" s="380">
        <f>SUM(K152:K152)</f>
        <v>0</v>
      </c>
      <c r="L154" s="380">
        <f>SUM(L152:L152)</f>
        <v>0</v>
      </c>
      <c r="M154" s="378"/>
      <c r="N154" s="380">
        <f>SUM(N152:N152)</f>
        <v>27082338</v>
      </c>
      <c r="O154" s="377"/>
      <c r="P154" s="380">
        <f>SUM(P152:P152)</f>
        <v>7224401</v>
      </c>
    </row>
    <row r="155" spans="2:17" ht="15.75" thickTop="1" x14ac:dyDescent="0.25">
      <c r="B155" s="374"/>
      <c r="C155" s="374"/>
      <c r="D155" s="374"/>
      <c r="E155" s="374"/>
      <c r="F155" s="374"/>
      <c r="G155" s="374"/>
      <c r="H155" s="374"/>
      <c r="I155" s="374"/>
      <c r="J155" s="374"/>
      <c r="K155" s="381">
        <f>+BK!N47</f>
        <v>0</v>
      </c>
      <c r="L155" s="381">
        <f>+BK!O47</f>
        <v>0</v>
      </c>
      <c r="M155" s="374"/>
      <c r="N155" s="381">
        <f>+BK!P47</f>
        <v>27082338</v>
      </c>
      <c r="O155" s="381"/>
      <c r="P155" s="381">
        <f>+BK!R47</f>
        <v>7224401</v>
      </c>
    </row>
    <row r="156" spans="2:17" x14ac:dyDescent="0.25">
      <c r="B156" s="374"/>
      <c r="C156" s="374"/>
      <c r="D156" s="374"/>
      <c r="E156" s="374"/>
      <c r="F156" s="374"/>
      <c r="G156" s="374"/>
      <c r="H156" s="374"/>
      <c r="I156" s="374"/>
      <c r="J156" s="374"/>
      <c r="K156" s="20"/>
      <c r="L156" s="20"/>
      <c r="M156" s="374"/>
      <c r="N156" s="20"/>
      <c r="O156" s="374"/>
      <c r="P156" s="20"/>
    </row>
    <row r="157" spans="2:17" x14ac:dyDescent="0.25">
      <c r="B157" s="374" t="s">
        <v>524</v>
      </c>
      <c r="C157" s="374"/>
      <c r="D157" s="374"/>
      <c r="E157" s="374"/>
      <c r="F157" s="374"/>
      <c r="G157" s="374"/>
      <c r="H157" s="374"/>
      <c r="I157" s="374"/>
      <c r="J157" s="374"/>
      <c r="K157" s="374"/>
      <c r="L157" s="374"/>
      <c r="M157" s="374"/>
      <c r="N157" s="374"/>
      <c r="O157" s="374"/>
      <c r="P157" s="374"/>
    </row>
    <row r="158" spans="2:17" x14ac:dyDescent="0.25">
      <c r="B158" s="461" t="s">
        <v>478</v>
      </c>
      <c r="C158" s="453" t="str">
        <f>+C151</f>
        <v>31 Dhjetor 2018</v>
      </c>
      <c r="D158" s="453" t="str">
        <f>+D151</f>
        <v>31 Dhjetor 2017</v>
      </c>
      <c r="E158" s="453" t="str">
        <f>+E151</f>
        <v>31 Dhjetor 2016</v>
      </c>
      <c r="F158" s="453" t="str">
        <f t="shared" ref="F158:K158" si="17">+F151</f>
        <v>31 Dhjetor 2015</v>
      </c>
      <c r="G158" s="453" t="str">
        <f t="shared" si="17"/>
        <v>31 Dhjetor 2014</v>
      </c>
      <c r="H158" s="453" t="str">
        <f t="shared" si="17"/>
        <v>31 Dhjetor 2013</v>
      </c>
      <c r="I158" s="453" t="str">
        <f t="shared" si="17"/>
        <v>31 Dhjetor 2012</v>
      </c>
      <c r="J158" s="375" t="str">
        <f t="shared" si="17"/>
        <v>31 Dhjetor 2011</v>
      </c>
      <c r="K158" s="375" t="str">
        <f t="shared" si="17"/>
        <v>31 Dhjetor 2010</v>
      </c>
      <c r="L158" s="375" t="s">
        <v>568</v>
      </c>
      <c r="N158" s="375" t="s">
        <v>109</v>
      </c>
      <c r="O158" s="385"/>
      <c r="P158" s="375" t="s">
        <v>99</v>
      </c>
    </row>
    <row r="159" spans="2:17" x14ac:dyDescent="0.25">
      <c r="B159" s="461" t="s">
        <v>1001</v>
      </c>
      <c r="C159" s="461">
        <f>+'Bilanci Alpha'!F43</f>
        <v>0</v>
      </c>
      <c r="D159" s="461">
        <f>+'Bilanci Alpha'!G43</f>
        <v>1075022</v>
      </c>
      <c r="E159" s="461">
        <f>+'Bilanci Alpha'!H43</f>
        <v>2347227</v>
      </c>
      <c r="F159" s="461">
        <f>+'Bilanci Alpha'!I43</f>
        <v>2870098</v>
      </c>
      <c r="G159" s="461">
        <f>+'Bilanci Alpha'!J43</f>
        <v>3219407.1775000012</v>
      </c>
      <c r="H159" s="461">
        <f>+'Bilanci Alpha'!K43</f>
        <v>3692236</v>
      </c>
      <c r="I159" s="461">
        <f>+'Bilanci Alpha'!L43</f>
        <v>4012173</v>
      </c>
      <c r="J159" s="25">
        <f>+'Bilanci Alpha'!M43</f>
        <v>3549977</v>
      </c>
      <c r="K159" s="25">
        <f>+'Bilanci Alpha'!N43</f>
        <v>3832550</v>
      </c>
      <c r="L159" s="25">
        <f>+'Bilanci Alpha'!O43</f>
        <v>4345407</v>
      </c>
      <c r="N159" s="25">
        <f>+'Bilanci Alpha'!P43</f>
        <v>4488007</v>
      </c>
      <c r="P159" s="25">
        <f>+'Bilanci Alpha'!Q43</f>
        <v>6214125</v>
      </c>
    </row>
    <row r="160" spans="2:17" ht="15.75" thickBot="1" x14ac:dyDescent="0.3">
      <c r="B160" s="463" t="s">
        <v>2</v>
      </c>
      <c r="C160" s="464">
        <f>SUM(C159:C159)</f>
        <v>0</v>
      </c>
      <c r="D160" s="464">
        <f>SUM(D159:D159)</f>
        <v>1075022</v>
      </c>
      <c r="E160" s="464">
        <f>SUM(E159:E159)</f>
        <v>2347227</v>
      </c>
      <c r="F160" s="464">
        <f>SUM(F159:F159)</f>
        <v>2870098</v>
      </c>
      <c r="G160" s="464">
        <f t="shared" ref="G160:L160" si="18">SUM(G159:G159)</f>
        <v>3219407.1775000012</v>
      </c>
      <c r="H160" s="464">
        <f t="shared" si="18"/>
        <v>3692236</v>
      </c>
      <c r="I160" s="464">
        <f t="shared" si="18"/>
        <v>4012173</v>
      </c>
      <c r="J160" s="394">
        <f t="shared" si="18"/>
        <v>3549977</v>
      </c>
      <c r="K160" s="394">
        <f t="shared" si="18"/>
        <v>3832550</v>
      </c>
      <c r="L160" s="394">
        <f t="shared" si="18"/>
        <v>4345407</v>
      </c>
      <c r="M160" s="393"/>
      <c r="N160" s="394">
        <f>SUM(N159:N159)</f>
        <v>4488007</v>
      </c>
      <c r="O160" s="373"/>
      <c r="P160" s="394">
        <f>SUM(P159:P159)</f>
        <v>6214125</v>
      </c>
    </row>
    <row r="161" spans="2:16" ht="15.75" thickTop="1" x14ac:dyDescent="0.25">
      <c r="B161" s="25" t="s">
        <v>570</v>
      </c>
      <c r="C161" s="25">
        <f>+'Bilanci Alpha'!F42</f>
        <v>0</v>
      </c>
      <c r="D161" s="25">
        <f>+'Bilanci Alpha'!G42</f>
        <v>0</v>
      </c>
      <c r="E161" s="25">
        <f>+'Bilanci Alpha'!H42</f>
        <v>0</v>
      </c>
      <c r="F161" s="25">
        <f>+'Bilanci Alpha'!I42</f>
        <v>0</v>
      </c>
      <c r="G161" s="25">
        <f>+'Bilanci Alpha'!J42</f>
        <v>0</v>
      </c>
      <c r="H161" s="25">
        <f>+'Bilanci Alpha'!K42</f>
        <v>0</v>
      </c>
      <c r="I161" s="25">
        <f>+'Bilanci Alpha'!L42</f>
        <v>0</v>
      </c>
      <c r="J161" s="25">
        <f>+'Bilanci Alpha'!M42</f>
        <v>0</v>
      </c>
      <c r="K161" s="25">
        <f>+'Bilanci Alpha'!N42</f>
        <v>4583809</v>
      </c>
      <c r="L161" s="25" t="e">
        <f>+#REF!-L160</f>
        <v>#REF!</v>
      </c>
      <c r="N161" s="25" t="e">
        <f>+#REF!-N160</f>
        <v>#REF!</v>
      </c>
    </row>
    <row r="162" spans="2:16" x14ac:dyDescent="0.25">
      <c r="B162" s="398" t="s">
        <v>434</v>
      </c>
      <c r="C162" s="373">
        <f>+C161+C160</f>
        <v>0</v>
      </c>
      <c r="D162" s="373">
        <f>+D161+D160</f>
        <v>1075022</v>
      </c>
      <c r="E162" s="373">
        <f>+E161+E160</f>
        <v>2347227</v>
      </c>
      <c r="F162" s="373">
        <f t="shared" ref="F162:K162" si="19">+F161+F160</f>
        <v>2870098</v>
      </c>
      <c r="G162" s="373">
        <f t="shared" si="19"/>
        <v>3219407.1775000012</v>
      </c>
      <c r="H162" s="373">
        <f t="shared" si="19"/>
        <v>3692236</v>
      </c>
      <c r="I162" s="373">
        <f t="shared" si="19"/>
        <v>4012173</v>
      </c>
      <c r="J162" s="373">
        <f t="shared" si="19"/>
        <v>3549977</v>
      </c>
      <c r="K162" s="373">
        <f t="shared" si="19"/>
        <v>8416359</v>
      </c>
      <c r="M162" s="398"/>
    </row>
    <row r="163" spans="2:16" x14ac:dyDescent="0.25">
      <c r="K163" s="375" t="s">
        <v>568</v>
      </c>
      <c r="L163" s="375" t="s">
        <v>568</v>
      </c>
      <c r="N163" s="375" t="s">
        <v>109</v>
      </c>
      <c r="O163" s="385"/>
      <c r="P163" s="375" t="s">
        <v>99</v>
      </c>
    </row>
    <row r="164" spans="2:16" x14ac:dyDescent="0.25">
      <c r="K164" s="399"/>
      <c r="L164" s="399"/>
      <c r="N164" s="399"/>
      <c r="O164" s="385"/>
      <c r="P164" s="399">
        <f>+BK!R56</f>
        <v>2440282</v>
      </c>
    </row>
    <row r="165" spans="2:16" x14ac:dyDescent="0.25">
      <c r="K165" s="399"/>
      <c r="L165" s="399"/>
      <c r="N165" s="399"/>
    </row>
    <row r="166" spans="2:16" ht="15.75" thickBot="1" x14ac:dyDescent="0.3">
      <c r="B166" s="393" t="s">
        <v>2</v>
      </c>
      <c r="C166" s="393"/>
      <c r="D166" s="393"/>
      <c r="E166" s="393"/>
      <c r="F166" s="393"/>
      <c r="G166" s="393"/>
      <c r="H166" s="393"/>
      <c r="I166" s="393"/>
      <c r="J166" s="393"/>
      <c r="K166" s="394">
        <f>SUM(K164:K165)</f>
        <v>0</v>
      </c>
      <c r="L166" s="394">
        <f>SUM(L164:L165)</f>
        <v>0</v>
      </c>
      <c r="M166" s="393"/>
      <c r="N166" s="394">
        <f>SUM(N164:N165)</f>
        <v>0</v>
      </c>
      <c r="O166" s="373"/>
      <c r="P166" s="394">
        <f>SUM(P164:P165)</f>
        <v>2440282</v>
      </c>
    </row>
    <row r="167" spans="2:16" ht="15.75" thickTop="1" x14ac:dyDescent="0.25">
      <c r="K167" s="25">
        <f>+BK!N56</f>
        <v>0</v>
      </c>
      <c r="L167" s="25">
        <f>+BK!O56</f>
        <v>0</v>
      </c>
      <c r="N167" s="25">
        <f>+BK!P56</f>
        <v>0</v>
      </c>
      <c r="P167" s="25">
        <f>+P166</f>
        <v>2440282</v>
      </c>
    </row>
    <row r="169" spans="2:16" x14ac:dyDescent="0.25">
      <c r="B169" s="398" t="s">
        <v>526</v>
      </c>
      <c r="C169" s="398"/>
      <c r="D169" s="398"/>
      <c r="E169" s="398"/>
      <c r="F169" s="398"/>
      <c r="G169" s="398"/>
      <c r="H169" s="398"/>
      <c r="I169" s="398"/>
      <c r="J169" s="398"/>
      <c r="M169" s="398"/>
    </row>
    <row r="170" spans="2:16" ht="15.75" thickBot="1" x14ac:dyDescent="0.3">
      <c r="B170" s="461" t="s">
        <v>691</v>
      </c>
      <c r="C170" s="453" t="str">
        <f>+C158</f>
        <v>31 Dhjetor 2018</v>
      </c>
      <c r="D170" s="453" t="str">
        <f>+D158</f>
        <v>31 Dhjetor 2017</v>
      </c>
      <c r="E170" s="453" t="str">
        <f>+E158</f>
        <v>31 Dhjetor 2016</v>
      </c>
      <c r="F170" s="453" t="str">
        <f t="shared" ref="F170:K170" si="20">+F158</f>
        <v>31 Dhjetor 2015</v>
      </c>
      <c r="G170" s="453" t="str">
        <f t="shared" si="20"/>
        <v>31 Dhjetor 2014</v>
      </c>
      <c r="H170" s="453" t="str">
        <f t="shared" si="20"/>
        <v>31 Dhjetor 2013</v>
      </c>
      <c r="I170" s="453" t="str">
        <f t="shared" si="20"/>
        <v>31 Dhjetor 2012</v>
      </c>
      <c r="J170" s="400" t="str">
        <f t="shared" si="20"/>
        <v>31 Dhjetor 2011</v>
      </c>
      <c r="K170" s="400" t="str">
        <f t="shared" si="20"/>
        <v>31 Dhjetor 2010</v>
      </c>
      <c r="L170" s="400" t="s">
        <v>568</v>
      </c>
      <c r="N170" s="400" t="s">
        <v>109</v>
      </c>
      <c r="O170" s="401"/>
      <c r="P170" s="400" t="s">
        <v>99</v>
      </c>
    </row>
    <row r="171" spans="2:16" ht="15.75" thickTop="1" x14ac:dyDescent="0.25">
      <c r="B171" s="461" t="s">
        <v>525</v>
      </c>
      <c r="C171" s="467">
        <f>+'Ardh shpenz alpha'!E14</f>
        <v>59129540</v>
      </c>
      <c r="D171" s="467">
        <f>+'Ardh shpenz alpha'!F14</f>
        <v>57068740</v>
      </c>
      <c r="E171" s="467">
        <f>+'Ardh shpenz alpha'!G14</f>
        <v>52066118</v>
      </c>
      <c r="F171" s="467">
        <f>+'Ardh shpenz alpha'!H14</f>
        <v>42903445</v>
      </c>
      <c r="G171" s="467">
        <f>+'Ardh shpenz alpha'!I14</f>
        <v>48894254</v>
      </c>
      <c r="H171" s="467">
        <f>+'Ardh shpenz alpha'!J14</f>
        <v>65177818</v>
      </c>
      <c r="I171" s="467">
        <f>+'Ardh shpenz alpha'!K14</f>
        <v>51876394</v>
      </c>
      <c r="J171" s="399">
        <f>+'Ardh shpenz alpha'!L14</f>
        <v>58505056</v>
      </c>
      <c r="K171" s="399">
        <f>+'Ardh shpenz alpha'!M14</f>
        <v>58073901</v>
      </c>
      <c r="L171" s="399">
        <f>+'Ardh shpenz alpha'!N14</f>
        <v>32770160</v>
      </c>
      <c r="N171" s="399">
        <f>+'Ardh shpenz alpha'!O14</f>
        <v>35253484</v>
      </c>
      <c r="O171" s="401"/>
      <c r="P171" s="402">
        <f>+'Ardh shpenz alpha'!P14</f>
        <v>29587117</v>
      </c>
    </row>
    <row r="172" spans="2:16" hidden="1" x14ac:dyDescent="0.25">
      <c r="B172" s="461" t="s">
        <v>438</v>
      </c>
      <c r="C172" s="467"/>
      <c r="D172" s="467"/>
      <c r="E172" s="467"/>
      <c r="F172" s="467"/>
      <c r="G172" s="467"/>
      <c r="H172" s="467"/>
      <c r="I172" s="467"/>
      <c r="J172" s="399"/>
      <c r="K172" s="399"/>
      <c r="L172" s="399"/>
      <c r="N172" s="399"/>
      <c r="O172" s="401"/>
      <c r="P172" s="399"/>
    </row>
    <row r="173" spans="2:16" hidden="1" x14ac:dyDescent="0.25">
      <c r="B173" s="461"/>
      <c r="C173" s="467"/>
      <c r="D173" s="467"/>
      <c r="E173" s="467"/>
      <c r="F173" s="467"/>
      <c r="G173" s="467"/>
      <c r="H173" s="467"/>
      <c r="I173" s="467"/>
      <c r="J173" s="399"/>
      <c r="K173" s="399"/>
      <c r="L173" s="399"/>
      <c r="N173" s="399"/>
      <c r="O173" s="403"/>
      <c r="P173" s="399"/>
    </row>
    <row r="174" spans="2:16" ht="15.75" thickBot="1" x14ac:dyDescent="0.3">
      <c r="B174" s="463" t="s">
        <v>2</v>
      </c>
      <c r="C174" s="464">
        <f>SUM(C171:C172)</f>
        <v>59129540</v>
      </c>
      <c r="D174" s="464">
        <f>SUM(D171:D172)</f>
        <v>57068740</v>
      </c>
      <c r="E174" s="464">
        <f>SUM(E171:E172)</f>
        <v>52066118</v>
      </c>
      <c r="F174" s="464">
        <f>SUM(F171:F172)</f>
        <v>42903445</v>
      </c>
      <c r="G174" s="464">
        <f t="shared" ref="G174:L174" si="21">SUM(G171:G172)</f>
        <v>48894254</v>
      </c>
      <c r="H174" s="464">
        <f t="shared" si="21"/>
        <v>65177818</v>
      </c>
      <c r="I174" s="464">
        <f t="shared" si="21"/>
        <v>51876394</v>
      </c>
      <c r="J174" s="394">
        <f t="shared" si="21"/>
        <v>58505056</v>
      </c>
      <c r="K174" s="394">
        <f t="shared" si="21"/>
        <v>58073901</v>
      </c>
      <c r="L174" s="394">
        <f t="shared" si="21"/>
        <v>32770160</v>
      </c>
      <c r="M174" s="393"/>
      <c r="N174" s="394">
        <f>SUM(N171:N172)</f>
        <v>35253484</v>
      </c>
      <c r="O174" s="398"/>
      <c r="P174" s="394">
        <f>SUM(P171:P173)</f>
        <v>29587117</v>
      </c>
    </row>
    <row r="175" spans="2:16" ht="15.75" thickTop="1" x14ac:dyDescent="0.25">
      <c r="C175" s="404">
        <f>'ardh-shpenz'!F8</f>
        <v>59129540</v>
      </c>
      <c r="D175" s="404">
        <f>'ardh-shpenz'!G8</f>
        <v>57068740</v>
      </c>
      <c r="E175" s="404">
        <f>'ardh-shpenz'!H8</f>
        <v>52066118</v>
      </c>
      <c r="F175" s="404">
        <f>'ardh-shpenz'!I8</f>
        <v>42903445</v>
      </c>
      <c r="G175" s="404">
        <f>'ardh-shpenz'!J8</f>
        <v>48894254</v>
      </c>
      <c r="H175" s="404">
        <f>'ardh-shpenz'!K8</f>
        <v>65177818</v>
      </c>
      <c r="I175" s="404">
        <f>'ardh-shpenz'!L8</f>
        <v>51876394</v>
      </c>
      <c r="J175" s="404">
        <f>'ardh-shpenz'!M8</f>
        <v>58505056</v>
      </c>
      <c r="K175" s="404">
        <f>'ardh-shpenz'!N8</f>
        <v>58073901</v>
      </c>
      <c r="L175" s="404">
        <f>'ardh-shpenz'!O8</f>
        <v>32770160</v>
      </c>
      <c r="N175" s="404">
        <f>'ardh-shpenz'!P8</f>
        <v>35253484</v>
      </c>
      <c r="O175" s="404"/>
      <c r="P175" s="404">
        <f>'ardh-shpenz'!R8</f>
        <v>29587117</v>
      </c>
    </row>
    <row r="176" spans="2:16" x14ac:dyDescent="0.25">
      <c r="K176" s="404"/>
      <c r="L176" s="404"/>
      <c r="N176" s="404"/>
    </row>
    <row r="177" spans="2:16" ht="15.75" thickBot="1" x14ac:dyDescent="0.3">
      <c r="C177" s="400" t="str">
        <f>+C170</f>
        <v>31 Dhjetor 2018</v>
      </c>
      <c r="D177" s="400" t="str">
        <f t="shared" ref="D177:I177" si="22">+D170</f>
        <v>31 Dhjetor 2017</v>
      </c>
      <c r="E177" s="400" t="str">
        <f t="shared" si="22"/>
        <v>31 Dhjetor 2016</v>
      </c>
      <c r="F177" s="400" t="str">
        <f t="shared" si="22"/>
        <v>31 Dhjetor 2015</v>
      </c>
      <c r="G177" s="400" t="str">
        <f t="shared" si="22"/>
        <v>31 Dhjetor 2014</v>
      </c>
      <c r="H177" s="400" t="str">
        <f t="shared" si="22"/>
        <v>31 Dhjetor 2013</v>
      </c>
      <c r="I177" s="400" t="str">
        <f t="shared" si="22"/>
        <v>31 Dhjetor 2012</v>
      </c>
      <c r="J177" s="400" t="s">
        <v>627</v>
      </c>
      <c r="K177" s="400" t="s">
        <v>584</v>
      </c>
      <c r="L177" s="400" t="s">
        <v>568</v>
      </c>
      <c r="N177" s="400" t="s">
        <v>109</v>
      </c>
      <c r="O177" s="385"/>
      <c r="P177" s="400" t="s">
        <v>99</v>
      </c>
    </row>
    <row r="178" spans="2:16" ht="15.75" thickTop="1" x14ac:dyDescent="0.25">
      <c r="B178" s="25" t="s">
        <v>436</v>
      </c>
      <c r="C178" s="25">
        <f>+'ardh-shpenz'!F9</f>
        <v>0</v>
      </c>
      <c r="D178" s="25">
        <f>+'ardh-shpenz'!G9</f>
        <v>0</v>
      </c>
      <c r="E178" s="25">
        <f>+'ardh-shpenz'!H9</f>
        <v>0</v>
      </c>
      <c r="F178" s="25">
        <f>+'ardh-shpenz'!I9</f>
        <v>0</v>
      </c>
      <c r="G178" s="25">
        <f>+'ardh-shpenz'!J9</f>
        <v>0</v>
      </c>
      <c r="H178" s="25">
        <f>+'ardh-shpenz'!K9</f>
        <v>0</v>
      </c>
      <c r="I178" s="25">
        <f>+'ardh-shpenz'!L9</f>
        <v>0</v>
      </c>
      <c r="J178" s="25">
        <f>+'ardh-shpenz'!M9</f>
        <v>606051</v>
      </c>
      <c r="K178" s="25">
        <f>+'ardh-shpenz'!N9</f>
        <v>186500</v>
      </c>
      <c r="L178" s="25">
        <v>0</v>
      </c>
      <c r="N178" s="25">
        <v>0</v>
      </c>
      <c r="O178" s="399"/>
      <c r="P178" s="25">
        <v>0</v>
      </c>
    </row>
    <row r="179" spans="2:16" x14ac:dyDescent="0.25">
      <c r="B179" s="25" t="s">
        <v>140</v>
      </c>
      <c r="C179" s="25">
        <v>0</v>
      </c>
      <c r="D179" s="25">
        <v>0</v>
      </c>
      <c r="E179" s="25">
        <v>0</v>
      </c>
      <c r="F179" s="25">
        <v>0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  <c r="N179" s="25">
        <v>0</v>
      </c>
      <c r="O179" s="399"/>
      <c r="P179" s="25">
        <v>0</v>
      </c>
    </row>
    <row r="180" spans="2:16" x14ac:dyDescent="0.25">
      <c r="K180" s="377"/>
      <c r="L180" s="377"/>
      <c r="N180" s="377"/>
    </row>
    <row r="181" spans="2:16" ht="15.75" thickBot="1" x14ac:dyDescent="0.3">
      <c r="B181" s="393" t="s">
        <v>2</v>
      </c>
      <c r="C181" s="394">
        <f>SUM(C178:C180)</f>
        <v>0</v>
      </c>
      <c r="D181" s="394">
        <f>SUM(D178:D180)</f>
        <v>0</v>
      </c>
      <c r="E181" s="394">
        <f>SUM(E178:E180)</f>
        <v>0</v>
      </c>
      <c r="F181" s="394">
        <f>SUM(F178:F180)</f>
        <v>0</v>
      </c>
      <c r="G181" s="394">
        <f t="shared" ref="G181:L181" si="23">SUM(G178:G180)</f>
        <v>0</v>
      </c>
      <c r="H181" s="394">
        <f t="shared" si="23"/>
        <v>0</v>
      </c>
      <c r="I181" s="394">
        <f t="shared" si="23"/>
        <v>0</v>
      </c>
      <c r="J181" s="394">
        <f t="shared" si="23"/>
        <v>606051</v>
      </c>
      <c r="K181" s="394">
        <f t="shared" si="23"/>
        <v>186500</v>
      </c>
      <c r="L181" s="394">
        <f t="shared" si="23"/>
        <v>0</v>
      </c>
      <c r="M181" s="393"/>
      <c r="N181" s="394">
        <f>SUM(N178:N180)</f>
        <v>0</v>
      </c>
      <c r="O181" s="373"/>
      <c r="P181" s="394">
        <f>SUM(P178:P180)</f>
        <v>0</v>
      </c>
    </row>
    <row r="182" spans="2:16" ht="15.75" thickTop="1" x14ac:dyDescent="0.25">
      <c r="C182" s="404">
        <f>+'ardh-shpenz'!F9</f>
        <v>0</v>
      </c>
      <c r="D182" s="404">
        <f>+'ardh-shpenz'!G9</f>
        <v>0</v>
      </c>
      <c r="E182" s="404">
        <f>+'ardh-shpenz'!H9</f>
        <v>0</v>
      </c>
      <c r="F182" s="404">
        <f>+'ardh-shpenz'!I9</f>
        <v>0</v>
      </c>
      <c r="G182" s="404">
        <f>+'ardh-shpenz'!J9</f>
        <v>0</v>
      </c>
      <c r="H182" s="404">
        <f>+'ardh-shpenz'!K9</f>
        <v>0</v>
      </c>
      <c r="I182" s="404">
        <f>+'ardh-shpenz'!L9</f>
        <v>0</v>
      </c>
      <c r="J182" s="404">
        <f>+'ardh-shpenz'!M9</f>
        <v>606051</v>
      </c>
      <c r="K182" s="404">
        <f>+'ardh-shpenz'!N9</f>
        <v>186500</v>
      </c>
      <c r="L182" s="404">
        <f>+'ardh-shpenz'!O9</f>
        <v>0</v>
      </c>
      <c r="N182" s="404">
        <f>+'ardh-shpenz'!P9</f>
        <v>0</v>
      </c>
      <c r="O182" s="404"/>
      <c r="P182" s="404">
        <f>+'ardh-shpenz'!R9</f>
        <v>0</v>
      </c>
    </row>
    <row r="183" spans="2:16" x14ac:dyDescent="0.25">
      <c r="B183" s="77"/>
      <c r="C183" s="77"/>
      <c r="D183" s="77"/>
      <c r="E183" s="77"/>
      <c r="F183" s="77"/>
      <c r="G183" s="77"/>
      <c r="H183" s="77"/>
      <c r="I183" s="77"/>
      <c r="J183" s="77"/>
      <c r="M183" s="77"/>
    </row>
    <row r="184" spans="2:16" ht="15.75" thickBot="1" x14ac:dyDescent="0.3">
      <c r="C184" s="400" t="str">
        <f>+C158</f>
        <v>31 Dhjetor 2018</v>
      </c>
      <c r="D184" s="400" t="str">
        <f>+D158</f>
        <v>31 Dhjetor 2017</v>
      </c>
      <c r="E184" s="400" t="str">
        <f>+E158</f>
        <v>31 Dhjetor 2016</v>
      </c>
      <c r="F184" s="400" t="str">
        <f t="shared" ref="F184:K184" si="24">+F158</f>
        <v>31 Dhjetor 2015</v>
      </c>
      <c r="G184" s="400" t="str">
        <f t="shared" si="24"/>
        <v>31 Dhjetor 2014</v>
      </c>
      <c r="H184" s="400" t="str">
        <f t="shared" si="24"/>
        <v>31 Dhjetor 2013</v>
      </c>
      <c r="I184" s="400" t="str">
        <f t="shared" si="24"/>
        <v>31 Dhjetor 2012</v>
      </c>
      <c r="J184" s="400" t="str">
        <f t="shared" si="24"/>
        <v>31 Dhjetor 2011</v>
      </c>
      <c r="K184" s="400" t="str">
        <f t="shared" si="24"/>
        <v>31 Dhjetor 2010</v>
      </c>
      <c r="L184" s="400" t="s">
        <v>568</v>
      </c>
      <c r="N184" s="400" t="s">
        <v>109</v>
      </c>
      <c r="O184" s="385"/>
      <c r="P184" s="400" t="s">
        <v>99</v>
      </c>
    </row>
    <row r="185" spans="2:16" ht="15.75" thickTop="1" x14ac:dyDescent="0.25">
      <c r="B185" s="25" t="s">
        <v>437</v>
      </c>
      <c r="C185" s="25">
        <f>-'ardh-shpenz'!F12</f>
        <v>0</v>
      </c>
      <c r="D185" s="25">
        <f>-'ardh-shpenz'!G12</f>
        <v>0</v>
      </c>
      <c r="E185" s="25">
        <f>-'ardh-shpenz'!H12</f>
        <v>0</v>
      </c>
      <c r="F185" s="25">
        <f>-'ardh-shpenz'!I12</f>
        <v>0</v>
      </c>
      <c r="G185" s="25">
        <f>-'ardh-shpenz'!J12</f>
        <v>0</v>
      </c>
      <c r="H185" s="25">
        <f>-'ardh-shpenz'!K12</f>
        <v>0</v>
      </c>
      <c r="I185" s="25">
        <f>-'ardh-shpenz'!L12</f>
        <v>0</v>
      </c>
      <c r="J185" s="25">
        <f>-'ardh-shpenz'!M12</f>
        <v>0</v>
      </c>
      <c r="K185" s="25">
        <f>-'ardh-shpenz'!N12</f>
        <v>0</v>
      </c>
      <c r="L185" s="25">
        <f>-'ardh-shpenz'!O12</f>
        <v>0</v>
      </c>
      <c r="N185" s="25">
        <f>-'ardh-shpenz'!P12</f>
        <v>0</v>
      </c>
      <c r="P185" s="25">
        <v>0</v>
      </c>
    </row>
    <row r="187" spans="2:16" ht="15.75" thickBot="1" x14ac:dyDescent="0.3">
      <c r="B187" s="393" t="s">
        <v>2</v>
      </c>
      <c r="C187" s="394">
        <f>SUM(C185:C186)</f>
        <v>0</v>
      </c>
      <c r="D187" s="394">
        <f>SUM(D185:D186)</f>
        <v>0</v>
      </c>
      <c r="E187" s="394">
        <f>SUM(E185:E186)</f>
        <v>0</v>
      </c>
      <c r="F187" s="394">
        <f>SUM(F185:F186)</f>
        <v>0</v>
      </c>
      <c r="G187" s="394">
        <f t="shared" ref="G187:L187" si="25">SUM(G185:G186)</f>
        <v>0</v>
      </c>
      <c r="H187" s="394">
        <f t="shared" si="25"/>
        <v>0</v>
      </c>
      <c r="I187" s="394">
        <f t="shared" si="25"/>
        <v>0</v>
      </c>
      <c r="J187" s="394">
        <f t="shared" si="25"/>
        <v>0</v>
      </c>
      <c r="K187" s="394">
        <f t="shared" si="25"/>
        <v>0</v>
      </c>
      <c r="L187" s="394">
        <f t="shared" si="25"/>
        <v>0</v>
      </c>
      <c r="M187" s="393"/>
      <c r="N187" s="394">
        <f>SUM(N185:N186)</f>
        <v>0</v>
      </c>
      <c r="O187" s="373"/>
      <c r="P187" s="394">
        <f>SUM(P185:P186)</f>
        <v>0</v>
      </c>
    </row>
    <row r="188" spans="2:16" ht="15.75" thickTop="1" x14ac:dyDescent="0.25">
      <c r="C188" s="25">
        <f>+'ardh-shpenz'!F12</f>
        <v>0</v>
      </c>
      <c r="D188" s="25">
        <f>+'ardh-shpenz'!G12</f>
        <v>0</v>
      </c>
      <c r="E188" s="25">
        <f>+'ardh-shpenz'!H12</f>
        <v>0</v>
      </c>
      <c r="F188" s="25">
        <f>+'ardh-shpenz'!I12</f>
        <v>0</v>
      </c>
      <c r="G188" s="25">
        <f>+'ardh-shpenz'!J12</f>
        <v>0</v>
      </c>
      <c r="H188" s="25">
        <f>+'ardh-shpenz'!K12</f>
        <v>0</v>
      </c>
      <c r="I188" s="25">
        <f>+'ardh-shpenz'!L12</f>
        <v>0</v>
      </c>
      <c r="J188" s="25">
        <f>+'ardh-shpenz'!M12</f>
        <v>0</v>
      </c>
      <c r="K188" s="25">
        <f>+'ardh-shpenz'!N12</f>
        <v>0</v>
      </c>
      <c r="L188" s="25">
        <f>+'ardh-shpenz'!O12</f>
        <v>0</v>
      </c>
      <c r="N188" s="25">
        <f>+'ardh-shpenz'!P12</f>
        <v>0</v>
      </c>
      <c r="P188" s="25">
        <f>+'ardh-shpenz'!R12</f>
        <v>0</v>
      </c>
    </row>
    <row r="190" spans="2:16" x14ac:dyDescent="0.25">
      <c r="B190" s="25" t="s">
        <v>324</v>
      </c>
    </row>
    <row r="191" spans="2:16" ht="15.75" thickBot="1" x14ac:dyDescent="0.3">
      <c r="B191" s="461" t="s">
        <v>478</v>
      </c>
      <c r="C191" s="453" t="str">
        <f>+C184</f>
        <v>31 Dhjetor 2018</v>
      </c>
      <c r="D191" s="453" t="str">
        <f>+D184</f>
        <v>31 Dhjetor 2017</v>
      </c>
      <c r="E191" s="453" t="str">
        <f>+E184</f>
        <v>31 Dhjetor 2016</v>
      </c>
      <c r="F191" s="453" t="str">
        <f t="shared" ref="F191:K191" si="26">+F184</f>
        <v>31 Dhjetor 2015</v>
      </c>
      <c r="G191" s="453" t="str">
        <f t="shared" si="26"/>
        <v>31 Dhjetor 2014</v>
      </c>
      <c r="H191" s="453" t="str">
        <f t="shared" si="26"/>
        <v>31 Dhjetor 2013</v>
      </c>
      <c r="I191" s="453" t="str">
        <f t="shared" si="26"/>
        <v>31 Dhjetor 2012</v>
      </c>
      <c r="J191" s="400" t="str">
        <f t="shared" si="26"/>
        <v>31 Dhjetor 2011</v>
      </c>
      <c r="K191" s="400" t="str">
        <f t="shared" si="26"/>
        <v>31 Dhjetor 2010</v>
      </c>
      <c r="L191" s="400" t="s">
        <v>568</v>
      </c>
      <c r="N191" s="400" t="s">
        <v>109</v>
      </c>
      <c r="O191" s="385"/>
      <c r="P191" s="400" t="s">
        <v>99</v>
      </c>
    </row>
    <row r="192" spans="2:16" ht="15.75" thickTop="1" x14ac:dyDescent="0.25">
      <c r="B192" s="452" t="s">
        <v>111</v>
      </c>
      <c r="C192" s="461">
        <f>+'Ardh shpenz alpha'!E75</f>
        <v>14097000</v>
      </c>
      <c r="D192" s="461">
        <f>+'Ardh shpenz alpha'!F75</f>
        <v>13720000</v>
      </c>
      <c r="E192" s="461">
        <f>+'Ardh shpenz alpha'!G75</f>
        <v>13410700</v>
      </c>
      <c r="F192" s="461">
        <f>+'Ardh shpenz alpha'!H75</f>
        <v>12695300</v>
      </c>
      <c r="G192" s="461">
        <f>+'Ardh shpenz alpha'!I75</f>
        <v>12468000</v>
      </c>
      <c r="H192" s="461">
        <f>+'Ardh shpenz alpha'!J75</f>
        <v>11382000</v>
      </c>
      <c r="I192" s="461">
        <f>+'Ardh shpenz alpha'!K75</f>
        <v>9707000</v>
      </c>
      <c r="J192" s="25">
        <f>+'Ardh shpenz alpha'!L75</f>
        <v>10292000</v>
      </c>
      <c r="K192" s="25">
        <f>+'Ardh shpenz alpha'!M75</f>
        <v>10423600</v>
      </c>
      <c r="L192" s="25">
        <f>+'Ardh shpenz alpha'!N75</f>
        <v>10926200</v>
      </c>
      <c r="M192" s="374"/>
      <c r="N192" s="25">
        <f>+'Ardh shpenz alpha'!O75</f>
        <v>9723700</v>
      </c>
      <c r="O192" s="377"/>
      <c r="P192" s="25">
        <f>+'Ardh shpenz alpha'!P75</f>
        <v>8066000</v>
      </c>
    </row>
    <row r="193" spans="2:16" x14ac:dyDescent="0.25">
      <c r="B193" s="461" t="s">
        <v>108</v>
      </c>
      <c r="C193" s="461">
        <f>+'Ardh shpenz alpha'!E77</f>
        <v>2343932</v>
      </c>
      <c r="D193" s="461">
        <f>+'Ardh shpenz alpha'!F77</f>
        <v>2284478</v>
      </c>
      <c r="E193" s="461">
        <f>+'Ardh shpenz alpha'!G77</f>
        <v>2234247</v>
      </c>
      <c r="F193" s="461">
        <f>+'Ardh shpenz alpha'!H77</f>
        <v>2114775</v>
      </c>
      <c r="G193" s="461">
        <f>+'Ardh shpenz alpha'!I77</f>
        <v>2074821</v>
      </c>
      <c r="H193" s="461">
        <f>+'Ardh shpenz alpha'!J77</f>
        <v>1896113</v>
      </c>
      <c r="I193" s="461">
        <f>+'Ardh shpenz alpha'!K77</f>
        <v>1545007</v>
      </c>
      <c r="J193" s="25">
        <f>+'Ardh shpenz alpha'!L77</f>
        <v>1543414</v>
      </c>
      <c r="K193" s="25">
        <f>+'Ardh shpenz alpha'!M77</f>
        <v>1574810</v>
      </c>
      <c r="L193" s="25">
        <f>+'Ardh shpenz alpha'!N77</f>
        <v>1844014</v>
      </c>
      <c r="N193" s="25">
        <f>+'Ardh shpenz alpha'!O77</f>
        <v>2110044</v>
      </c>
      <c r="P193" s="25">
        <f>+'Ardh shpenz alpha'!P77</f>
        <v>2392094</v>
      </c>
    </row>
    <row r="194" spans="2:16" x14ac:dyDescent="0.25">
      <c r="B194" s="461" t="s">
        <v>645</v>
      </c>
      <c r="C194" s="461"/>
      <c r="D194" s="461"/>
      <c r="E194" s="461"/>
      <c r="F194" s="461"/>
      <c r="G194" s="461"/>
      <c r="H194" s="461"/>
      <c r="I194" s="461">
        <v>240000</v>
      </c>
      <c r="P194" s="377"/>
    </row>
    <row r="195" spans="2:16" ht="15.75" thickBot="1" x14ac:dyDescent="0.3">
      <c r="B195" s="463" t="s">
        <v>2</v>
      </c>
      <c r="C195" s="464">
        <f>SUM(C192:C194)</f>
        <v>16440932</v>
      </c>
      <c r="D195" s="464">
        <f t="shared" ref="D195:I195" si="27">SUM(D192:D194)</f>
        <v>16004478</v>
      </c>
      <c r="E195" s="464">
        <f t="shared" si="27"/>
        <v>15644947</v>
      </c>
      <c r="F195" s="464">
        <f t="shared" si="27"/>
        <v>14810075</v>
      </c>
      <c r="G195" s="464">
        <f t="shared" si="27"/>
        <v>14542821</v>
      </c>
      <c r="H195" s="464">
        <f t="shared" si="27"/>
        <v>13278113</v>
      </c>
      <c r="I195" s="464">
        <f t="shared" si="27"/>
        <v>11492007</v>
      </c>
      <c r="J195" s="394">
        <f>SUM(J192:J193)</f>
        <v>11835414</v>
      </c>
      <c r="K195" s="394">
        <f>SUM(K192:K193)</f>
        <v>11998410</v>
      </c>
      <c r="L195" s="394">
        <f>SUM(L192:L193)</f>
        <v>12770214</v>
      </c>
      <c r="M195" s="393"/>
      <c r="N195" s="394">
        <f>SUM(N192:N193)</f>
        <v>11833744</v>
      </c>
      <c r="O195" s="373"/>
      <c r="P195" s="394">
        <f>SUM(P192:P193)</f>
        <v>10458094</v>
      </c>
    </row>
    <row r="196" spans="2:16" ht="15.75" thickTop="1" x14ac:dyDescent="0.25">
      <c r="C196" s="404">
        <f>+'ardh-shpenz'!F14</f>
        <v>-16440932</v>
      </c>
      <c r="D196" s="404">
        <f>+'ardh-shpenz'!G14</f>
        <v>-16004478</v>
      </c>
      <c r="E196" s="404">
        <f>+'ardh-shpenz'!H14</f>
        <v>-15644947</v>
      </c>
      <c r="F196" s="404">
        <f>+'ardh-shpenz'!I14</f>
        <v>-14810075</v>
      </c>
      <c r="G196" s="404">
        <f>+'ardh-shpenz'!J14</f>
        <v>-14542821</v>
      </c>
      <c r="H196" s="404">
        <f>+'ardh-shpenz'!K14</f>
        <v>-13278113</v>
      </c>
      <c r="I196" s="404">
        <f>+'ardh-shpenz'!L14</f>
        <v>-11492007</v>
      </c>
      <c r="J196" s="404">
        <f>+'ardh-shpenz'!M14</f>
        <v>-11835414</v>
      </c>
      <c r="K196" s="404">
        <f>+'ardh-shpenz'!N14</f>
        <v>-11998410</v>
      </c>
      <c r="L196" s="404">
        <f>+'ardh-shpenz'!O14</f>
        <v>-12770214</v>
      </c>
      <c r="N196" s="404">
        <f>+'ardh-shpenz'!P14</f>
        <v>-11833744</v>
      </c>
      <c r="O196" s="404"/>
      <c r="P196" s="404">
        <f>+'ardh-shpenz'!R14</f>
        <v>-10458094</v>
      </c>
    </row>
    <row r="198" spans="2:16" x14ac:dyDescent="0.25">
      <c r="B198" s="25" t="s">
        <v>82</v>
      </c>
    </row>
    <row r="199" spans="2:16" ht="15.75" thickBot="1" x14ac:dyDescent="0.3">
      <c r="B199" s="461" t="s">
        <v>478</v>
      </c>
      <c r="C199" s="453" t="str">
        <f>+C191</f>
        <v>31 Dhjetor 2018</v>
      </c>
      <c r="D199" s="453" t="str">
        <f t="shared" ref="D199:I199" si="28">+D191</f>
        <v>31 Dhjetor 2017</v>
      </c>
      <c r="E199" s="453" t="str">
        <f t="shared" si="28"/>
        <v>31 Dhjetor 2016</v>
      </c>
      <c r="F199" s="453" t="str">
        <f t="shared" si="28"/>
        <v>31 Dhjetor 2015</v>
      </c>
      <c r="G199" s="453" t="str">
        <f t="shared" si="28"/>
        <v>31 Dhjetor 2014</v>
      </c>
      <c r="H199" s="453" t="str">
        <f t="shared" si="28"/>
        <v>31 Dhjetor 2013</v>
      </c>
      <c r="I199" s="453" t="str">
        <f t="shared" si="28"/>
        <v>31 Dhjetor 2012</v>
      </c>
      <c r="J199" s="400" t="s">
        <v>626</v>
      </c>
      <c r="K199" s="400" t="s">
        <v>584</v>
      </c>
      <c r="L199" s="400" t="s">
        <v>568</v>
      </c>
      <c r="N199" s="400" t="s">
        <v>109</v>
      </c>
      <c r="O199" s="385"/>
      <c r="P199" s="400" t="s">
        <v>99</v>
      </c>
    </row>
    <row r="200" spans="2:16" ht="15.75" thickTop="1" x14ac:dyDescent="0.25">
      <c r="B200" s="468" t="s">
        <v>527</v>
      </c>
      <c r="C200" s="469">
        <v>287191</v>
      </c>
      <c r="D200" s="469">
        <v>355892</v>
      </c>
      <c r="E200" s="469">
        <v>250329</v>
      </c>
      <c r="F200" s="469">
        <v>656442</v>
      </c>
      <c r="G200" s="469">
        <v>78740</v>
      </c>
      <c r="H200" s="469">
        <v>80991</v>
      </c>
      <c r="I200" s="469">
        <v>111840</v>
      </c>
      <c r="J200" s="406">
        <v>244910</v>
      </c>
      <c r="K200" s="406">
        <v>75932</v>
      </c>
      <c r="L200" s="406">
        <v>75700</v>
      </c>
      <c r="M200" s="405"/>
      <c r="N200" s="406">
        <v>177372</v>
      </c>
      <c r="P200" s="25">
        <v>144200</v>
      </c>
    </row>
    <row r="201" spans="2:16" x14ac:dyDescent="0.25">
      <c r="B201" s="468" t="s">
        <v>534</v>
      </c>
      <c r="C201" s="469">
        <f>1503542+2170510+8250</f>
        <v>3682302</v>
      </c>
      <c r="D201" s="469">
        <f>3379985+2606019+582690</f>
        <v>6568694</v>
      </c>
      <c r="E201" s="469">
        <f>1272833+2500+234984+179053</f>
        <v>1689370</v>
      </c>
      <c r="F201" s="469">
        <f>93894+1415850+256517</f>
        <v>1766261</v>
      </c>
      <c r="G201" s="469">
        <f>2263750+213285</f>
        <v>2477035</v>
      </c>
      <c r="H201" s="469">
        <f>1197840+85985</f>
        <v>1283825</v>
      </c>
      <c r="I201" s="469">
        <f>2934000+869515-715600</f>
        <v>3087915</v>
      </c>
      <c r="J201" s="406">
        <f>1244250+3081157</f>
        <v>4325407</v>
      </c>
      <c r="K201" s="406">
        <v>3925150</v>
      </c>
      <c r="L201" s="406">
        <f>208000+2979237</f>
        <v>3187237</v>
      </c>
      <c r="M201" s="405"/>
      <c r="N201" s="406">
        <v>2090342</v>
      </c>
      <c r="P201" s="25">
        <f>428133+995627</f>
        <v>1423760</v>
      </c>
    </row>
    <row r="202" spans="2:16" x14ac:dyDescent="0.25">
      <c r="B202" s="468" t="s">
        <v>528</v>
      </c>
      <c r="C202" s="469">
        <f>3354942+2.55</f>
        <v>3354944.55</v>
      </c>
      <c r="D202" s="469">
        <v>2146032</v>
      </c>
      <c r="E202" s="469">
        <v>2235737</v>
      </c>
      <c r="F202" s="469">
        <v>2255388</v>
      </c>
      <c r="G202" s="469">
        <v>1915994</v>
      </c>
      <c r="H202" s="469">
        <v>2317750</v>
      </c>
      <c r="I202" s="469">
        <v>1583459</v>
      </c>
      <c r="J202" s="406">
        <v>1246628</v>
      </c>
      <c r="K202" s="406">
        <v>2524235</v>
      </c>
      <c r="L202" s="406">
        <v>1802846</v>
      </c>
      <c r="M202" s="405"/>
      <c r="N202" s="406">
        <v>3126610</v>
      </c>
      <c r="P202" s="25">
        <v>3279762</v>
      </c>
    </row>
    <row r="203" spans="2:16" x14ac:dyDescent="0.25">
      <c r="B203" s="470" t="s">
        <v>1013</v>
      </c>
      <c r="C203" s="469">
        <v>7174697</v>
      </c>
      <c r="D203" s="469">
        <f>5134988+6000+1008000</f>
        <v>6148988</v>
      </c>
      <c r="E203" s="469">
        <v>9063238</v>
      </c>
      <c r="F203" s="469">
        <f>6806302+1030668.5</f>
        <v>7836970.5</v>
      </c>
      <c r="G203" s="469">
        <v>5377151</v>
      </c>
      <c r="H203" s="469">
        <v>6256574</v>
      </c>
      <c r="I203" s="469">
        <f>1496142+558262</f>
        <v>2054404</v>
      </c>
      <c r="J203" s="406">
        <v>2662188</v>
      </c>
      <c r="K203" s="406">
        <v>2071030</v>
      </c>
      <c r="L203" s="406">
        <v>563689</v>
      </c>
      <c r="M203" s="405"/>
      <c r="N203" s="406">
        <v>167830</v>
      </c>
      <c r="P203" s="25">
        <v>165524</v>
      </c>
    </row>
    <row r="204" spans="2:16" x14ac:dyDescent="0.25">
      <c r="B204" s="468" t="s">
        <v>537</v>
      </c>
      <c r="C204" s="469">
        <v>1325000</v>
      </c>
      <c r="D204" s="469">
        <v>1808758</v>
      </c>
      <c r="E204" s="469">
        <v>2424119</v>
      </c>
      <c r="F204" s="469">
        <v>1085000</v>
      </c>
      <c r="G204" s="469">
        <f>2451605+1442537</f>
        <v>3894142</v>
      </c>
      <c r="H204" s="469">
        <v>1099110</v>
      </c>
      <c r="I204" s="469">
        <v>1339017</v>
      </c>
      <c r="J204" s="406">
        <v>3862163</v>
      </c>
      <c r="K204" s="406">
        <v>2461592</v>
      </c>
      <c r="L204" s="406">
        <v>3911901</v>
      </c>
      <c r="M204" s="405"/>
      <c r="N204" s="406">
        <v>2857501</v>
      </c>
      <c r="P204" s="25">
        <v>1557050</v>
      </c>
    </row>
    <row r="205" spans="2:16" x14ac:dyDescent="0.25">
      <c r="B205" s="470" t="s">
        <v>688</v>
      </c>
      <c r="C205" s="469">
        <v>875206</v>
      </c>
      <c r="D205" s="469">
        <v>2747877</v>
      </c>
      <c r="E205" s="469">
        <f>2688028+3178124</f>
        <v>5866152</v>
      </c>
      <c r="F205" s="469">
        <v>8257214</v>
      </c>
      <c r="G205" s="469">
        <v>10872622</v>
      </c>
      <c r="H205" s="469">
        <f>1956556+27638068</f>
        <v>29594624</v>
      </c>
      <c r="I205" s="469">
        <v>19495653</v>
      </c>
      <c r="J205" s="406">
        <f>1400265+21716940</f>
        <v>23117205</v>
      </c>
      <c r="K205" s="406">
        <f>11957228+8287692+126000</f>
        <v>20370920</v>
      </c>
      <c r="L205" s="406">
        <f>2718930+88102</f>
        <v>2807032</v>
      </c>
      <c r="M205" s="405"/>
      <c r="N205" s="406">
        <v>1314353</v>
      </c>
      <c r="P205" s="25">
        <v>2081696</v>
      </c>
    </row>
    <row r="206" spans="2:16" x14ac:dyDescent="0.25">
      <c r="B206" s="468" t="s">
        <v>529</v>
      </c>
      <c r="C206" s="469">
        <v>1500000</v>
      </c>
      <c r="D206" s="469">
        <v>1552500</v>
      </c>
      <c r="E206" s="469">
        <v>460000</v>
      </c>
      <c r="F206" s="469">
        <v>282750</v>
      </c>
      <c r="G206" s="469">
        <v>1720840</v>
      </c>
      <c r="H206" s="469">
        <v>1463410</v>
      </c>
      <c r="I206" s="469">
        <v>900000</v>
      </c>
      <c r="J206" s="406">
        <v>118313</v>
      </c>
      <c r="K206" s="406">
        <v>347623</v>
      </c>
      <c r="L206" s="406">
        <v>327789</v>
      </c>
      <c r="M206" s="405"/>
      <c r="N206" s="406">
        <v>331689</v>
      </c>
      <c r="P206" s="25">
        <v>246166</v>
      </c>
    </row>
    <row r="207" spans="2:16" x14ac:dyDescent="0.25">
      <c r="B207" s="468" t="s">
        <v>530</v>
      </c>
      <c r="C207" s="469">
        <v>1102500</v>
      </c>
      <c r="D207" s="469">
        <v>600011</v>
      </c>
      <c r="E207" s="469">
        <v>1393450</v>
      </c>
      <c r="F207" s="469">
        <v>43503</v>
      </c>
      <c r="G207" s="469">
        <v>33508</v>
      </c>
      <c r="H207" s="469">
        <v>3493</v>
      </c>
      <c r="I207" s="469">
        <v>28235</v>
      </c>
      <c r="J207" s="406">
        <v>0</v>
      </c>
      <c r="K207" s="406">
        <v>0</v>
      </c>
      <c r="L207" s="406">
        <v>0</v>
      </c>
      <c r="M207" s="405"/>
      <c r="N207" s="406">
        <v>25178</v>
      </c>
      <c r="P207" s="25">
        <v>150887</v>
      </c>
    </row>
    <row r="208" spans="2:16" x14ac:dyDescent="0.25">
      <c r="B208" s="468" t="s">
        <v>531</v>
      </c>
      <c r="C208" s="469">
        <v>6561329</v>
      </c>
      <c r="D208" s="469">
        <v>1229045</v>
      </c>
      <c r="E208" s="469">
        <f>918449+838</f>
        <v>919287</v>
      </c>
      <c r="F208" s="469">
        <v>1252060</v>
      </c>
      <c r="G208" s="469">
        <v>1995956</v>
      </c>
      <c r="H208" s="469">
        <v>2033099</v>
      </c>
      <c r="I208" s="469">
        <v>2342834</v>
      </c>
      <c r="J208" s="406">
        <v>2835060</v>
      </c>
      <c r="K208" s="406">
        <v>3641743</v>
      </c>
      <c r="L208" s="406">
        <v>3903167</v>
      </c>
      <c r="M208" s="405"/>
      <c r="N208" s="406">
        <v>3503880</v>
      </c>
      <c r="P208" s="25">
        <v>3299492</v>
      </c>
    </row>
    <row r="209" spans="2:18" x14ac:dyDescent="0.25">
      <c r="B209" s="468" t="s">
        <v>142</v>
      </c>
      <c r="C209" s="469">
        <v>52267</v>
      </c>
      <c r="D209" s="469">
        <f>11165+2262.62+0.38</f>
        <v>13427.999999999998</v>
      </c>
      <c r="E209" s="469">
        <v>30995</v>
      </c>
      <c r="F209" s="469">
        <v>702441</v>
      </c>
      <c r="G209" s="469">
        <v>72485</v>
      </c>
      <c r="H209" s="469">
        <v>94221</v>
      </c>
      <c r="I209" s="469">
        <v>74875</v>
      </c>
      <c r="J209" s="406">
        <v>54759</v>
      </c>
      <c r="K209" s="406">
        <v>72452</v>
      </c>
      <c r="L209" s="406">
        <v>61469</v>
      </c>
      <c r="M209" s="405"/>
      <c r="N209" s="406">
        <v>95613.3</v>
      </c>
      <c r="P209" s="25">
        <v>148321</v>
      </c>
    </row>
    <row r="210" spans="2:18" x14ac:dyDescent="0.25">
      <c r="B210" s="468" t="s">
        <v>532</v>
      </c>
      <c r="C210" s="469">
        <f>504416+375035</f>
        <v>879451</v>
      </c>
      <c r="D210" s="469">
        <f>321967+8713</f>
        <v>330680</v>
      </c>
      <c r="E210" s="469">
        <f>351443+10700</f>
        <v>362143</v>
      </c>
      <c r="F210" s="469">
        <f>244870+107808</f>
        <v>352678</v>
      </c>
      <c r="G210" s="469">
        <f>97860+107508</f>
        <v>205368</v>
      </c>
      <c r="H210" s="469">
        <f>138263+124736</f>
        <v>262999</v>
      </c>
      <c r="I210" s="469">
        <f>95760+107608</f>
        <v>203368</v>
      </c>
      <c r="J210" s="406">
        <f>100244+76255</f>
        <v>176499</v>
      </c>
      <c r="K210" s="406">
        <f>114539+329007</f>
        <v>443546</v>
      </c>
      <c r="L210" s="406">
        <v>434053</v>
      </c>
      <c r="M210" s="405"/>
      <c r="N210" s="406">
        <v>300448</v>
      </c>
      <c r="P210" s="25">
        <f>+'Ardh shpenz alpha'!P78</f>
        <v>388700</v>
      </c>
      <c r="R210" s="30"/>
    </row>
    <row r="211" spans="2:18" x14ac:dyDescent="0.25">
      <c r="B211" s="468" t="s">
        <v>533</v>
      </c>
      <c r="C211" s="469">
        <v>28532</v>
      </c>
      <c r="D211" s="469">
        <v>0</v>
      </c>
      <c r="E211" s="469">
        <v>263111</v>
      </c>
      <c r="F211" s="469">
        <v>3196</v>
      </c>
      <c r="G211" s="469">
        <v>0</v>
      </c>
      <c r="H211" s="469">
        <v>50043</v>
      </c>
      <c r="I211" s="469">
        <v>857363</v>
      </c>
      <c r="J211" s="406">
        <v>100000</v>
      </c>
      <c r="K211" s="406">
        <v>431238</v>
      </c>
      <c r="L211" s="406">
        <v>50310</v>
      </c>
      <c r="M211" s="405"/>
      <c r="N211" s="406">
        <v>892593</v>
      </c>
      <c r="P211" s="25">
        <v>0</v>
      </c>
      <c r="R211" s="30"/>
    </row>
    <row r="212" spans="2:18" x14ac:dyDescent="0.25">
      <c r="B212" s="468" t="s">
        <v>632</v>
      </c>
      <c r="C212" s="469"/>
      <c r="D212" s="469"/>
      <c r="E212" s="469"/>
      <c r="F212" s="469"/>
      <c r="G212" s="469"/>
      <c r="H212" s="469"/>
      <c r="I212" s="469"/>
      <c r="J212" s="406">
        <v>396782</v>
      </c>
      <c r="K212" s="406"/>
      <c r="L212" s="406"/>
      <c r="M212" s="405"/>
      <c r="N212" s="406"/>
      <c r="R212" s="30"/>
    </row>
    <row r="213" spans="2:18" ht="15.75" thickBot="1" x14ac:dyDescent="0.3">
      <c r="B213" s="463" t="s">
        <v>2</v>
      </c>
      <c r="C213" s="471">
        <f>SUM(C200:C212)</f>
        <v>26823419.550000001</v>
      </c>
      <c r="D213" s="471">
        <f>SUM(D200:D212)</f>
        <v>23501905</v>
      </c>
      <c r="E213" s="471">
        <f t="shared" ref="E213:J213" si="29">SUM(E200:E212)</f>
        <v>24957931</v>
      </c>
      <c r="F213" s="471">
        <f t="shared" si="29"/>
        <v>24493903.5</v>
      </c>
      <c r="G213" s="471">
        <f t="shared" si="29"/>
        <v>28643841</v>
      </c>
      <c r="H213" s="471">
        <f t="shared" si="29"/>
        <v>44540139</v>
      </c>
      <c r="I213" s="471">
        <f t="shared" si="29"/>
        <v>32078963</v>
      </c>
      <c r="J213" s="407">
        <f t="shared" si="29"/>
        <v>39139914</v>
      </c>
      <c r="K213" s="407">
        <f>SUM(K200:K211)</f>
        <v>36365461</v>
      </c>
      <c r="L213" s="407">
        <f>SUM(L200:L211)</f>
        <v>17125193</v>
      </c>
      <c r="M213" s="393"/>
      <c r="N213" s="407">
        <f>SUM(N200:N211)</f>
        <v>14883409.300000001</v>
      </c>
      <c r="O213" s="373"/>
      <c r="P213" s="394">
        <f>SUM(P200:P211)</f>
        <v>12885558</v>
      </c>
    </row>
    <row r="214" spans="2:18" ht="15.75" thickTop="1" x14ac:dyDescent="0.25">
      <c r="C214" s="404">
        <f>+'ardh-shpenz'!F13</f>
        <v>-26823419.550000001</v>
      </c>
      <c r="D214" s="404">
        <f>+'ardh-shpenz'!G13</f>
        <v>-23501905</v>
      </c>
      <c r="E214" s="404">
        <f>+'ardh-shpenz'!H13</f>
        <v>-24957931</v>
      </c>
      <c r="F214" s="404">
        <f>+'ardh-shpenz'!I13</f>
        <v>-24493904</v>
      </c>
      <c r="G214" s="404">
        <f>+'ardh-shpenz'!J13</f>
        <v>-28643842.900000002</v>
      </c>
      <c r="H214" s="404">
        <f>+'ardh-shpenz'!K13</f>
        <v>-44540139</v>
      </c>
      <c r="I214" s="404">
        <f>+'ardh-shpenz'!L13</f>
        <v>-32078963</v>
      </c>
      <c r="J214" s="404">
        <f>+'ardh-shpenz'!M13</f>
        <v>-39139914</v>
      </c>
      <c r="K214" s="404">
        <f>+'ardh-shpenz'!N13</f>
        <v>-36365461</v>
      </c>
      <c r="L214" s="404">
        <f>+'ardh-shpenz'!O13</f>
        <v>-17941801</v>
      </c>
      <c r="N214" s="404">
        <f>+'ardh-shpenz'!P13</f>
        <v>-18046609</v>
      </c>
      <c r="O214" s="404"/>
      <c r="P214" s="404">
        <f>+'ardh-shpenz'!R13</f>
        <v>-15327558</v>
      </c>
    </row>
    <row r="215" spans="2:18" x14ac:dyDescent="0.25">
      <c r="C215" s="25">
        <f>+C213+C214</f>
        <v>0</v>
      </c>
      <c r="D215" s="25">
        <f>+D213+D214</f>
        <v>0</v>
      </c>
      <c r="E215" s="25">
        <f>+E213+E214</f>
        <v>0</v>
      </c>
      <c r="K215" s="404"/>
      <c r="L215" s="404"/>
      <c r="N215" s="404"/>
      <c r="O215" s="404"/>
      <c r="P215" s="404"/>
    </row>
    <row r="216" spans="2:18" x14ac:dyDescent="0.25">
      <c r="B216" s="25" t="s">
        <v>535</v>
      </c>
    </row>
    <row r="217" spans="2:18" ht="15.75" thickBot="1" x14ac:dyDescent="0.3">
      <c r="B217" s="461" t="s">
        <v>478</v>
      </c>
      <c r="C217" s="453" t="str">
        <f>+C199</f>
        <v>31 Dhjetor 2018</v>
      </c>
      <c r="D217" s="453" t="str">
        <f t="shared" ref="D217:I217" si="30">+D199</f>
        <v>31 Dhjetor 2017</v>
      </c>
      <c r="E217" s="453" t="str">
        <f t="shared" si="30"/>
        <v>31 Dhjetor 2016</v>
      </c>
      <c r="F217" s="453" t="str">
        <f t="shared" si="30"/>
        <v>31 Dhjetor 2015</v>
      </c>
      <c r="G217" s="453" t="str">
        <f t="shared" si="30"/>
        <v>31 Dhjetor 2014</v>
      </c>
      <c r="H217" s="453" t="str">
        <f t="shared" si="30"/>
        <v>31 Dhjetor 2013</v>
      </c>
      <c r="I217" s="453" t="str">
        <f t="shared" si="30"/>
        <v>31 Dhjetor 2012</v>
      </c>
      <c r="J217" s="400" t="s">
        <v>626</v>
      </c>
      <c r="K217" s="400" t="s">
        <v>584</v>
      </c>
      <c r="L217" s="400" t="s">
        <v>568</v>
      </c>
      <c r="N217" s="400" t="s">
        <v>109</v>
      </c>
      <c r="O217" s="385"/>
      <c r="P217" s="400" t="s">
        <v>99</v>
      </c>
    </row>
    <row r="218" spans="2:18" ht="15.75" thickTop="1" x14ac:dyDescent="0.25">
      <c r="B218" s="452" t="s">
        <v>536</v>
      </c>
      <c r="C218" s="462">
        <f>+'Ardh shpenz alpha'!E84</f>
        <v>7443636</v>
      </c>
      <c r="D218" s="462">
        <f>+'Ardh shpenz alpha'!F84</f>
        <v>9080994</v>
      </c>
      <c r="E218" s="462">
        <f>+'Ardh shpenz alpha'!G84</f>
        <v>8565571</v>
      </c>
      <c r="F218" s="462">
        <f>+'Ardh shpenz alpha'!H84</f>
        <v>1827548</v>
      </c>
      <c r="G218" s="462">
        <f>+'Ardh shpenz alpha'!I84</f>
        <v>2556689</v>
      </c>
      <c r="H218" s="462">
        <f>+'Ardh shpenz alpha'!J84</f>
        <v>3140340</v>
      </c>
      <c r="I218" s="462">
        <f>+'Ardh shpenz alpha'!K84</f>
        <v>2703978</v>
      </c>
      <c r="J218" s="408">
        <f>+'Ardh shpenz alpha'!L84</f>
        <v>3766337</v>
      </c>
      <c r="K218" s="408">
        <f>+'Ardh shpenz alpha'!M84</f>
        <v>6100456</v>
      </c>
      <c r="L218" s="405">
        <f>+'Ardh shpenz alpha'!N84</f>
        <v>2969786</v>
      </c>
      <c r="M218" s="374"/>
      <c r="N218" s="405">
        <f>+'Ardh shpenz alpha'!O84</f>
        <v>1142187</v>
      </c>
      <c r="O218" s="377"/>
      <c r="P218" s="25">
        <v>569256</v>
      </c>
    </row>
    <row r="219" spans="2:18" x14ac:dyDescent="0.25">
      <c r="B219" s="461"/>
      <c r="C219" s="461"/>
      <c r="D219" s="461"/>
      <c r="E219" s="461"/>
      <c r="F219" s="461"/>
      <c r="G219" s="461"/>
      <c r="H219" s="461"/>
      <c r="I219" s="461"/>
      <c r="P219" s="377"/>
    </row>
    <row r="220" spans="2:18" ht="15.75" thickBot="1" x14ac:dyDescent="0.3">
      <c r="B220" s="463" t="s">
        <v>2</v>
      </c>
      <c r="C220" s="464">
        <f>SUM(C218:C218)</f>
        <v>7443636</v>
      </c>
      <c r="D220" s="464">
        <f>SUM(D218:D218)</f>
        <v>9080994</v>
      </c>
      <c r="E220" s="464">
        <f>SUM(E218:E218)</f>
        <v>8565571</v>
      </c>
      <c r="F220" s="464">
        <f>SUM(F218:F218)</f>
        <v>1827548</v>
      </c>
      <c r="G220" s="464">
        <f t="shared" ref="G220:L220" si="31">SUM(G218:G218)</f>
        <v>2556689</v>
      </c>
      <c r="H220" s="464">
        <f t="shared" si="31"/>
        <v>3140340</v>
      </c>
      <c r="I220" s="464">
        <f t="shared" si="31"/>
        <v>2703978</v>
      </c>
      <c r="J220" s="394">
        <f t="shared" si="31"/>
        <v>3766337</v>
      </c>
      <c r="K220" s="394">
        <f t="shared" si="31"/>
        <v>6100456</v>
      </c>
      <c r="L220" s="394">
        <f t="shared" si="31"/>
        <v>2969786</v>
      </c>
      <c r="M220" s="393"/>
      <c r="N220" s="394">
        <f>SUM(N218:N218)</f>
        <v>1142187</v>
      </c>
      <c r="O220" s="373"/>
      <c r="P220" s="394">
        <f>SUM(P218:P218)</f>
        <v>569256</v>
      </c>
    </row>
    <row r="221" spans="2:18" ht="15.75" thickTop="1" x14ac:dyDescent="0.25">
      <c r="C221" s="404">
        <f>-C218</f>
        <v>-7443636</v>
      </c>
      <c r="D221" s="404">
        <f>-D218</f>
        <v>-9080994</v>
      </c>
      <c r="E221" s="404">
        <f>-E218</f>
        <v>-8565571</v>
      </c>
      <c r="F221" s="404">
        <f>-F218</f>
        <v>-1827548</v>
      </c>
      <c r="G221" s="404">
        <f t="shared" ref="G221:L221" si="32">-G218</f>
        <v>-2556689</v>
      </c>
      <c r="H221" s="404">
        <f t="shared" si="32"/>
        <v>-3140340</v>
      </c>
      <c r="I221" s="404">
        <f t="shared" si="32"/>
        <v>-2703978</v>
      </c>
      <c r="J221" s="404">
        <f t="shared" si="32"/>
        <v>-3766337</v>
      </c>
      <c r="K221" s="404">
        <f t="shared" si="32"/>
        <v>-6100456</v>
      </c>
      <c r="L221" s="404">
        <f t="shared" si="32"/>
        <v>-2969786</v>
      </c>
      <c r="N221" s="404">
        <f>-N218</f>
        <v>-1142187</v>
      </c>
      <c r="O221" s="404"/>
      <c r="P221" s="404">
        <f>-P220</f>
        <v>-569256</v>
      </c>
    </row>
    <row r="223" spans="2:18" ht="15.75" thickBot="1" x14ac:dyDescent="0.3">
      <c r="B223" s="461" t="s">
        <v>478</v>
      </c>
      <c r="C223" s="453" t="str">
        <f>+C217</f>
        <v>31 Dhjetor 2018</v>
      </c>
      <c r="D223" s="453" t="str">
        <f t="shared" ref="D223:I223" si="33">+D217</f>
        <v>31 Dhjetor 2017</v>
      </c>
      <c r="E223" s="453" t="str">
        <f t="shared" si="33"/>
        <v>31 Dhjetor 2016</v>
      </c>
      <c r="F223" s="453" t="str">
        <f t="shared" si="33"/>
        <v>31 Dhjetor 2015</v>
      </c>
      <c r="G223" s="453" t="str">
        <f t="shared" si="33"/>
        <v>31 Dhjetor 2014</v>
      </c>
      <c r="H223" s="453" t="str">
        <f t="shared" si="33"/>
        <v>31 Dhjetor 2013</v>
      </c>
      <c r="I223" s="453" t="str">
        <f t="shared" si="33"/>
        <v>31 Dhjetor 2012</v>
      </c>
      <c r="J223" s="400" t="s">
        <v>626</v>
      </c>
      <c r="K223" s="400" t="s">
        <v>584</v>
      </c>
      <c r="L223" s="400" t="s">
        <v>568</v>
      </c>
      <c r="N223" s="400" t="s">
        <v>109</v>
      </c>
      <c r="O223" s="385"/>
      <c r="P223" s="400" t="s">
        <v>99</v>
      </c>
    </row>
    <row r="224" spans="2:18" ht="15.75" thickTop="1" x14ac:dyDescent="0.25">
      <c r="B224" s="461" t="s">
        <v>113</v>
      </c>
      <c r="C224" s="461">
        <f>+'Ardh shpenz alpha'!E39</f>
        <v>0</v>
      </c>
      <c r="D224" s="461">
        <f>+'Ardh shpenz alpha'!F39</f>
        <v>0</v>
      </c>
      <c r="E224" s="461">
        <f>+'Ardh shpenz alpha'!G39</f>
        <v>0</v>
      </c>
      <c r="F224" s="461">
        <f>+'Ardh shpenz alpha'!H39</f>
        <v>0</v>
      </c>
      <c r="G224" s="461">
        <f>+'Ardh shpenz alpha'!I39</f>
        <v>0</v>
      </c>
      <c r="H224" s="461">
        <f>+'Ardh shpenz alpha'!J39</f>
        <v>0</v>
      </c>
      <c r="I224" s="461">
        <f>+'Ardh shpenz alpha'!K39</f>
        <v>0</v>
      </c>
      <c r="J224" s="25">
        <f>+'Ardh shpenz alpha'!L39</f>
        <v>4163</v>
      </c>
      <c r="K224" s="25">
        <f>+'Ardh shpenz alpha'!M39</f>
        <v>3573.92</v>
      </c>
      <c r="L224" s="25">
        <f>+'Ardh shpenz alpha'!N39</f>
        <v>27732</v>
      </c>
      <c r="N224" s="25">
        <f>+'Ardh shpenz alpha'!O39</f>
        <v>12304</v>
      </c>
      <c r="O224" s="409"/>
      <c r="P224" s="25">
        <f>+'Ardh shpenz alpha'!P39</f>
        <v>201664</v>
      </c>
    </row>
    <row r="225" spans="2:16" x14ac:dyDescent="0.25">
      <c r="B225" s="461" t="s">
        <v>127</v>
      </c>
      <c r="C225" s="461">
        <f>+'Ardh shpenz alpha'!E37</f>
        <v>0</v>
      </c>
      <c r="D225" s="461">
        <f>+'Ardh shpenz alpha'!F37</f>
        <v>0</v>
      </c>
      <c r="E225" s="461">
        <f>+'Ardh shpenz alpha'!G37</f>
        <v>0</v>
      </c>
      <c r="F225" s="461">
        <f>+'Ardh shpenz alpha'!H37</f>
        <v>0</v>
      </c>
      <c r="G225" s="461">
        <f>+'Ardh shpenz alpha'!I37</f>
        <v>0</v>
      </c>
      <c r="H225" s="461">
        <f>+'Ardh shpenz alpha'!J37</f>
        <v>0</v>
      </c>
      <c r="I225" s="461">
        <f>+'Ardh shpenz alpha'!K37</f>
        <v>882</v>
      </c>
      <c r="J225" s="25">
        <f>+'Ardh shpenz alpha'!L37</f>
        <v>1284</v>
      </c>
      <c r="K225" s="25">
        <f>+'Ardh shpenz alpha'!M37</f>
        <v>3760.08</v>
      </c>
      <c r="L225" s="25">
        <f>+'Ardh shpenz alpha'!N37</f>
        <v>1859</v>
      </c>
      <c r="N225" s="25">
        <f>+'Ardh shpenz alpha'!O37</f>
        <v>1002</v>
      </c>
      <c r="O225" s="409"/>
      <c r="P225" s="25">
        <f>+'Ardh shpenz alpha'!P37</f>
        <v>2493</v>
      </c>
    </row>
    <row r="226" spans="2:16" x14ac:dyDescent="0.25">
      <c r="B226" s="461" t="s">
        <v>114</v>
      </c>
      <c r="C226" s="461">
        <v>0</v>
      </c>
      <c r="D226" s="461">
        <v>0</v>
      </c>
      <c r="E226" s="461">
        <v>0</v>
      </c>
      <c r="F226" s="461">
        <v>0</v>
      </c>
      <c r="G226" s="461">
        <v>0</v>
      </c>
      <c r="H226" s="461">
        <v>0</v>
      </c>
      <c r="I226" s="461">
        <v>0</v>
      </c>
      <c r="J226" s="25">
        <v>0</v>
      </c>
      <c r="K226" s="25">
        <v>0</v>
      </c>
      <c r="L226" s="25">
        <v>0</v>
      </c>
      <c r="N226" s="25">
        <v>0</v>
      </c>
      <c r="O226" s="409"/>
      <c r="P226" s="25">
        <v>0</v>
      </c>
    </row>
    <row r="227" spans="2:16" x14ac:dyDescent="0.25">
      <c r="B227" s="461" t="s">
        <v>126</v>
      </c>
      <c r="C227" s="461">
        <v>0</v>
      </c>
      <c r="D227" s="461">
        <v>0</v>
      </c>
      <c r="E227" s="461">
        <v>0</v>
      </c>
      <c r="F227" s="461">
        <f>-'Ardh shpenz alpha'!H92</f>
        <v>-35238</v>
      </c>
      <c r="G227" s="461">
        <f>-'Ardh shpenz alpha'!I92</f>
        <v>0</v>
      </c>
      <c r="H227" s="461">
        <f>-'Ardh shpenz alpha'!J92</f>
        <v>-350000</v>
      </c>
      <c r="I227" s="461">
        <f>-'Ardh shpenz alpha'!K92</f>
        <v>-2544395</v>
      </c>
      <c r="J227" s="25">
        <f>-'Ardh shpenz alpha'!L92</f>
        <v>-700000</v>
      </c>
      <c r="K227" s="25">
        <f>-'Ardh shpenz alpha'!M92</f>
        <v>-350000</v>
      </c>
      <c r="L227" s="25">
        <f>-'Ardh shpenz alpha'!N92</f>
        <v>-921132</v>
      </c>
      <c r="N227" s="25">
        <f>-'Ardh shpenz alpha'!O92</f>
        <v>-1685131</v>
      </c>
      <c r="O227" s="409"/>
      <c r="P227" s="25">
        <f>-'Ardh shpenz alpha'!P92</f>
        <v>-1151731</v>
      </c>
    </row>
    <row r="228" spans="2:16" x14ac:dyDescent="0.25">
      <c r="B228" s="472" t="s">
        <v>115</v>
      </c>
      <c r="C228" s="461">
        <f>-'Ardh shpenz alpha'!E94</f>
        <v>0</v>
      </c>
      <c r="D228" s="461">
        <f>-'Ardh shpenz alpha'!F94</f>
        <v>0</v>
      </c>
      <c r="E228" s="461">
        <f>-'Ardh shpenz alpha'!G94</f>
        <v>0</v>
      </c>
      <c r="F228" s="461">
        <f>-'Ardh shpenz alpha'!H94</f>
        <v>0</v>
      </c>
      <c r="G228" s="461">
        <f>-'Ardh shpenz alpha'!I94</f>
        <v>1291.0500000000002</v>
      </c>
      <c r="H228" s="461">
        <f>-'Ardh shpenz alpha'!J94</f>
        <v>-35347</v>
      </c>
      <c r="I228" s="461">
        <f>-'Ardh shpenz alpha'!K94</f>
        <v>0</v>
      </c>
      <c r="J228" s="25">
        <f>-'Ardh shpenz alpha'!L94</f>
        <v>-44122</v>
      </c>
      <c r="K228" s="25">
        <f>-'Ardh shpenz alpha'!M94</f>
        <v>-339052</v>
      </c>
      <c r="L228" s="25">
        <f>-'Ardh shpenz alpha'!N94</f>
        <v>0</v>
      </c>
      <c r="M228" s="410"/>
      <c r="N228" s="25">
        <f>-'Ardh shpenz alpha'!O94</f>
        <v>-2538</v>
      </c>
      <c r="O228" s="409"/>
      <c r="P228" s="25">
        <f>-'Ardh shpenz alpha'!P94</f>
        <v>-9029</v>
      </c>
    </row>
    <row r="229" spans="2:16" x14ac:dyDescent="0.25">
      <c r="B229" s="461" t="s">
        <v>116</v>
      </c>
      <c r="C229" s="461">
        <v>0</v>
      </c>
      <c r="D229" s="461">
        <v>0</v>
      </c>
      <c r="E229" s="461">
        <v>0</v>
      </c>
      <c r="F229" s="461">
        <v>0</v>
      </c>
      <c r="G229" s="461">
        <v>0</v>
      </c>
      <c r="H229" s="461">
        <v>0</v>
      </c>
      <c r="I229" s="461">
        <v>0</v>
      </c>
      <c r="J229" s="25">
        <v>0</v>
      </c>
      <c r="K229" s="25">
        <v>0</v>
      </c>
      <c r="L229" s="25">
        <v>0</v>
      </c>
      <c r="N229" s="25">
        <v>0</v>
      </c>
      <c r="O229" s="409"/>
      <c r="P229" s="25">
        <f>-'Ardh shpenz alpha'!P96</f>
        <v>-55000</v>
      </c>
    </row>
    <row r="230" spans="2:16" x14ac:dyDescent="0.25">
      <c r="B230" s="461"/>
      <c r="C230" s="461"/>
      <c r="D230" s="461"/>
      <c r="E230" s="461"/>
      <c r="F230" s="461"/>
      <c r="G230" s="461"/>
      <c r="H230" s="461"/>
      <c r="I230" s="461"/>
      <c r="O230" s="409"/>
    </row>
    <row r="231" spans="2:16" ht="15.75" thickBot="1" x14ac:dyDescent="0.3">
      <c r="B231" s="463" t="s">
        <v>2</v>
      </c>
      <c r="C231" s="464">
        <f>SUM(C224:C229)</f>
        <v>0</v>
      </c>
      <c r="D231" s="464">
        <f>SUM(D224:D229)</f>
        <v>0</v>
      </c>
      <c r="E231" s="464">
        <f>SUM(E224:E229)</f>
        <v>0</v>
      </c>
      <c r="F231" s="464">
        <f>SUM(F224:F229)</f>
        <v>-35238</v>
      </c>
      <c r="G231" s="464">
        <f t="shared" ref="G231:L231" si="34">SUM(G224:G229)</f>
        <v>1291.0500000000002</v>
      </c>
      <c r="H231" s="464">
        <f t="shared" si="34"/>
        <v>-385347</v>
      </c>
      <c r="I231" s="464">
        <f t="shared" si="34"/>
        <v>-2543513</v>
      </c>
      <c r="J231" s="394">
        <f t="shared" si="34"/>
        <v>-738675</v>
      </c>
      <c r="K231" s="394">
        <f t="shared" si="34"/>
        <v>-681718</v>
      </c>
      <c r="L231" s="394">
        <f t="shared" si="34"/>
        <v>-891541</v>
      </c>
      <c r="M231" s="393"/>
      <c r="N231" s="394">
        <f>SUM(N224:N229)</f>
        <v>-1674363</v>
      </c>
      <c r="O231" s="373"/>
      <c r="P231" s="394">
        <f>SUM(P224:P229)</f>
        <v>-1011603</v>
      </c>
    </row>
    <row r="232" spans="2:16" ht="15.75" thickTop="1" x14ac:dyDescent="0.25">
      <c r="C232" s="404">
        <f>-'ardh-shpenz'!F21</f>
        <v>0</v>
      </c>
      <c r="D232" s="404">
        <f>-'ardh-shpenz'!G21</f>
        <v>0</v>
      </c>
      <c r="E232" s="404">
        <f>-'ardh-shpenz'!H21</f>
        <v>0</v>
      </c>
      <c r="F232" s="404">
        <f>-'ardh-shpenz'!I21</f>
        <v>35238</v>
      </c>
      <c r="G232" s="404">
        <f>-'ardh-shpenz'!J21</f>
        <v>-1291.0500000000002</v>
      </c>
      <c r="H232" s="404">
        <f>-'ardh-shpenz'!K21</f>
        <v>385347</v>
      </c>
      <c r="I232" s="404">
        <f>-'ardh-shpenz'!L21</f>
        <v>2543513</v>
      </c>
      <c r="J232" s="404">
        <f>-'ardh-shpenz'!M21</f>
        <v>738675</v>
      </c>
      <c r="K232" s="404">
        <f>-'ardh-shpenz'!N21</f>
        <v>681718</v>
      </c>
      <c r="L232" s="404">
        <f>-'ardh-shpenz'!O21</f>
        <v>891541</v>
      </c>
      <c r="N232" s="404">
        <f>-'ardh-shpenz'!P21</f>
        <v>1674363</v>
      </c>
      <c r="O232" s="404"/>
      <c r="P232" s="404">
        <f>-'ardh-shpenz'!R21</f>
        <v>1011603</v>
      </c>
    </row>
    <row r="233" spans="2:16" x14ac:dyDescent="0.25">
      <c r="K233" s="411"/>
      <c r="L233" s="411"/>
      <c r="N233" s="411"/>
    </row>
    <row r="234" spans="2:16" ht="15.75" thickBot="1" x14ac:dyDescent="0.3">
      <c r="B234" s="461" t="s">
        <v>478</v>
      </c>
      <c r="C234" s="453" t="str">
        <f>+C223</f>
        <v>31 Dhjetor 2018</v>
      </c>
      <c r="D234" s="453" t="str">
        <f t="shared" ref="D234:I234" si="35">+D223</f>
        <v>31 Dhjetor 2017</v>
      </c>
      <c r="E234" s="453" t="str">
        <f t="shared" si="35"/>
        <v>31 Dhjetor 2016</v>
      </c>
      <c r="F234" s="400" t="str">
        <f t="shared" si="35"/>
        <v>31 Dhjetor 2015</v>
      </c>
      <c r="G234" s="400" t="str">
        <f t="shared" si="35"/>
        <v>31 Dhjetor 2014</v>
      </c>
      <c r="H234" s="400" t="str">
        <f t="shared" si="35"/>
        <v>31 Dhjetor 2013</v>
      </c>
      <c r="I234" s="400" t="str">
        <f t="shared" si="35"/>
        <v>31 Dhjetor 2012</v>
      </c>
      <c r="J234" s="400" t="s">
        <v>624</v>
      </c>
      <c r="K234" s="400" t="s">
        <v>582</v>
      </c>
      <c r="L234" s="400" t="s">
        <v>566</v>
      </c>
      <c r="N234" s="400" t="s">
        <v>87</v>
      </c>
      <c r="O234" s="385"/>
      <c r="P234" s="400" t="s">
        <v>120</v>
      </c>
    </row>
    <row r="235" spans="2:16" ht="15.75" thickTop="1" x14ac:dyDescent="0.25">
      <c r="B235" s="461" t="s">
        <v>117</v>
      </c>
      <c r="C235" s="461">
        <f>+'ardh-shpenz'!F23</f>
        <v>8421552.4499999993</v>
      </c>
      <c r="D235" s="461">
        <f>+'ardh-shpenz'!G23</f>
        <v>8481363</v>
      </c>
      <c r="E235" s="461">
        <f>+'ardh-shpenz'!H23</f>
        <v>2897669</v>
      </c>
      <c r="F235" s="25">
        <f>+'ardh-shpenz'!I23</f>
        <v>1736680</v>
      </c>
      <c r="G235" s="25">
        <f>+'ardh-shpenz'!J23</f>
        <v>3152192.1499999976</v>
      </c>
      <c r="H235" s="25">
        <f>+'ardh-shpenz'!K23</f>
        <v>3833879</v>
      </c>
      <c r="I235" s="25">
        <f>+'ardh-shpenz'!L23</f>
        <v>3057933</v>
      </c>
      <c r="J235" s="25">
        <f>+'ardh-shpenz'!M23</f>
        <v>3630767</v>
      </c>
      <c r="K235" s="25">
        <f>+'ardh-shpenz'!N23</f>
        <v>3114356</v>
      </c>
      <c r="L235" s="25">
        <f>+'ardh-shpenz'!O23</f>
        <v>-1803182</v>
      </c>
      <c r="N235" s="25">
        <f>+'ardh-shpenz'!P23</f>
        <v>2556581</v>
      </c>
      <c r="P235" s="25">
        <f>+'ardh-shpenz'!R23</f>
        <v>2220606</v>
      </c>
    </row>
    <row r="236" spans="2:16" x14ac:dyDescent="0.25">
      <c r="B236" s="461" t="s">
        <v>118</v>
      </c>
      <c r="C236" s="461">
        <f>+C211</f>
        <v>28532</v>
      </c>
      <c r="D236" s="461">
        <f>+D211</f>
        <v>0</v>
      </c>
      <c r="E236" s="461">
        <f>+E211</f>
        <v>263111</v>
      </c>
      <c r="F236" s="25">
        <f>+F211+350000+107508</f>
        <v>460704</v>
      </c>
      <c r="G236" s="25">
        <f>+G211</f>
        <v>0</v>
      </c>
      <c r="H236" s="25">
        <f>+H211</f>
        <v>50043</v>
      </c>
      <c r="I236" s="25">
        <f>+I211</f>
        <v>857363</v>
      </c>
      <c r="J236" s="25">
        <v>100000</v>
      </c>
      <c r="K236" s="25">
        <f>+K211</f>
        <v>431238</v>
      </c>
      <c r="L236" s="25">
        <v>4518322</v>
      </c>
      <c r="N236" s="25">
        <f>+'Ardh shpenz alpha'!O79</f>
        <v>892593</v>
      </c>
      <c r="P236" s="412">
        <v>0</v>
      </c>
    </row>
    <row r="237" spans="2:16" x14ac:dyDescent="0.25">
      <c r="B237" s="461" t="s">
        <v>119</v>
      </c>
      <c r="C237" s="461">
        <f>SUM(C235:C236)</f>
        <v>8450084.4499999993</v>
      </c>
      <c r="D237" s="461">
        <f>SUM(D235:D236)</f>
        <v>8481363</v>
      </c>
      <c r="E237" s="461">
        <f>SUM(E235:E236)</f>
        <v>3160780</v>
      </c>
      <c r="F237" s="413">
        <f>SUM(F235:F236)</f>
        <v>2197384</v>
      </c>
      <c r="G237" s="413">
        <f t="shared" ref="G237:L237" si="36">SUM(G235:G236)</f>
        <v>3152192.1499999976</v>
      </c>
      <c r="H237" s="413">
        <f t="shared" si="36"/>
        <v>3883922</v>
      </c>
      <c r="I237" s="413">
        <f t="shared" si="36"/>
        <v>3915296</v>
      </c>
      <c r="J237" s="413">
        <f t="shared" si="36"/>
        <v>3730767</v>
      </c>
      <c r="K237" s="413">
        <f t="shared" si="36"/>
        <v>3545594</v>
      </c>
      <c r="L237" s="413">
        <f t="shared" si="36"/>
        <v>2715140</v>
      </c>
      <c r="N237" s="413">
        <f>SUM(N235:N236)</f>
        <v>3449174</v>
      </c>
      <c r="P237" s="413">
        <f>SUM(P235:P236)</f>
        <v>2220606</v>
      </c>
    </row>
    <row r="238" spans="2:16" x14ac:dyDescent="0.25">
      <c r="B238" s="461" t="s">
        <v>121</v>
      </c>
      <c r="C238" s="545">
        <v>15</v>
      </c>
      <c r="D238" s="545">
        <v>15</v>
      </c>
      <c r="E238" s="545">
        <v>15</v>
      </c>
      <c r="F238" s="414">
        <v>15</v>
      </c>
      <c r="G238" s="414">
        <v>15</v>
      </c>
      <c r="H238" s="414">
        <v>10</v>
      </c>
      <c r="I238" s="414">
        <v>10</v>
      </c>
      <c r="J238" s="414">
        <v>10</v>
      </c>
      <c r="K238" s="414">
        <v>10</v>
      </c>
      <c r="L238" s="414">
        <v>10</v>
      </c>
      <c r="N238" s="414">
        <v>10</v>
      </c>
      <c r="O238" s="415"/>
      <c r="P238" s="414">
        <v>20</v>
      </c>
    </row>
    <row r="239" spans="2:16" x14ac:dyDescent="0.25">
      <c r="B239" s="464" t="s">
        <v>106</v>
      </c>
      <c r="C239" s="546">
        <f>+(C235+'Ardh shpenz alpha'!E79)*0.15</f>
        <v>1267512.6674999997</v>
      </c>
      <c r="D239" s="546">
        <f>+D235*0.15</f>
        <v>1272204.45</v>
      </c>
      <c r="E239" s="546">
        <f>+E237*0.15</f>
        <v>474117</v>
      </c>
      <c r="F239" s="416">
        <f>+F237*0.15</f>
        <v>329607.59999999998</v>
      </c>
      <c r="G239" s="416">
        <f>+G237*0.15</f>
        <v>472828.8224999996</v>
      </c>
      <c r="H239" s="416">
        <f>+H237*0.1</f>
        <v>388392.2</v>
      </c>
      <c r="I239" s="416">
        <f>+I237*0.1</f>
        <v>391529.60000000003</v>
      </c>
      <c r="J239" s="416">
        <f>+J237*0.1</f>
        <v>373076.7</v>
      </c>
      <c r="K239" s="416">
        <f>+K237*0.1</f>
        <v>354559.4</v>
      </c>
      <c r="L239" s="416">
        <f>+L237*0.1</f>
        <v>271514</v>
      </c>
      <c r="M239" s="373"/>
      <c r="N239" s="416">
        <f>+N237*0.1</f>
        <v>344917.4</v>
      </c>
      <c r="O239" s="416"/>
      <c r="P239" s="416">
        <f>+P237*0.2</f>
        <v>444121.2</v>
      </c>
    </row>
    <row r="240" spans="2:16" x14ac:dyDescent="0.25">
      <c r="B240" s="461"/>
      <c r="C240" s="461"/>
      <c r="D240" s="461"/>
      <c r="E240" s="461"/>
      <c r="K240" s="417"/>
      <c r="L240" s="417"/>
      <c r="N240" s="417"/>
      <c r="O240" s="417"/>
      <c r="P240" s="417"/>
    </row>
    <row r="241" spans="2:16" x14ac:dyDescent="0.25">
      <c r="B241" s="464" t="s">
        <v>122</v>
      </c>
      <c r="C241" s="546">
        <f>+C235-C239</f>
        <v>7154039.7824999997</v>
      </c>
      <c r="D241" s="546">
        <f>+D237-D239</f>
        <v>7209158.5499999998</v>
      </c>
      <c r="E241" s="546">
        <f t="shared" ref="E241:J241" si="37">+E235-E239</f>
        <v>2423552</v>
      </c>
      <c r="F241" s="416">
        <f t="shared" si="37"/>
        <v>1407072.4</v>
      </c>
      <c r="G241" s="416">
        <f t="shared" si="37"/>
        <v>2679363.3274999978</v>
      </c>
      <c r="H241" s="416">
        <f t="shared" si="37"/>
        <v>3445486.8</v>
      </c>
      <c r="I241" s="416">
        <f t="shared" si="37"/>
        <v>2666403.4</v>
      </c>
      <c r="J241" s="416">
        <f t="shared" si="37"/>
        <v>3257690.3</v>
      </c>
      <c r="K241" s="416">
        <f>+K235-K239-1</f>
        <v>2759795.6</v>
      </c>
      <c r="L241" s="416">
        <f>+L235-L239</f>
        <v>-2074696</v>
      </c>
      <c r="M241" s="373"/>
      <c r="N241" s="416">
        <f>+N235-N239</f>
        <v>2211663.6</v>
      </c>
      <c r="O241" s="416"/>
      <c r="P241" s="416">
        <f>+P235-P239</f>
        <v>1776484.8</v>
      </c>
    </row>
    <row r="244" spans="2:16" x14ac:dyDescent="0.25">
      <c r="P244" s="25">
        <f>+P241-BK!R69</f>
        <v>-0.19999999995343387</v>
      </c>
    </row>
  </sheetData>
  <phoneticPr fontId="3" type="noConversion"/>
  <pageMargins left="0.23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  <pageSetUpPr fitToPage="1"/>
  </sheetPr>
  <dimension ref="A1:X83"/>
  <sheetViews>
    <sheetView topLeftCell="A7" zoomScale="75" workbookViewId="0">
      <selection activeCell="E31" sqref="E31"/>
    </sheetView>
  </sheetViews>
  <sheetFormatPr defaultRowHeight="15.75" x14ac:dyDescent="0.25"/>
  <cols>
    <col min="1" max="1" width="4.5703125" style="101" customWidth="1"/>
    <col min="2" max="2" width="52.85546875" style="98" customWidth="1"/>
    <col min="3" max="3" width="11.28515625" style="99" customWidth="1"/>
    <col min="4" max="5" width="20.5703125" style="100" customWidth="1"/>
    <col min="6" max="13" width="20.5703125" style="100" hidden="1" customWidth="1"/>
    <col min="14" max="14" width="22.42578125" style="100" hidden="1" customWidth="1"/>
    <col min="15" max="15" width="22.85546875" style="100" hidden="1" customWidth="1"/>
    <col min="16" max="16" width="17.140625" style="100" hidden="1" customWidth="1"/>
    <col min="17" max="17" width="8.42578125" style="100" hidden="1" customWidth="1"/>
    <col min="18" max="18" width="17.42578125" style="100" hidden="1" customWidth="1"/>
    <col min="19" max="19" width="13" style="100" hidden="1" customWidth="1"/>
    <col min="20" max="20" width="17.42578125" style="100" hidden="1" customWidth="1"/>
    <col min="21" max="21" width="9.140625" style="101" customWidth="1"/>
    <col min="22" max="22" width="9.140625" style="101"/>
    <col min="23" max="23" width="16.140625" style="101" customWidth="1"/>
    <col min="24" max="16384" width="9.140625" style="101"/>
  </cols>
  <sheetData>
    <row r="1" spans="1:20" x14ac:dyDescent="0.25">
      <c r="A1" s="29" t="s">
        <v>453</v>
      </c>
    </row>
    <row r="2" spans="1:20" x14ac:dyDescent="0.25">
      <c r="A2" s="102" t="s">
        <v>1059</v>
      </c>
    </row>
    <row r="3" spans="1:20" x14ac:dyDescent="0.25">
      <c r="A3" s="102" t="s">
        <v>96</v>
      </c>
    </row>
    <row r="5" spans="1:20" ht="33" customHeight="1" thickBot="1" x14ac:dyDescent="0.3">
      <c r="A5" s="103" t="s">
        <v>0</v>
      </c>
      <c r="C5" s="99" t="s">
        <v>449</v>
      </c>
      <c r="D5" s="104" t="s">
        <v>1058</v>
      </c>
      <c r="E5" s="104" t="s">
        <v>1036</v>
      </c>
      <c r="F5" s="104" t="s">
        <v>1014</v>
      </c>
      <c r="G5" s="104" t="s">
        <v>1006</v>
      </c>
      <c r="H5" s="104" t="s">
        <v>942</v>
      </c>
      <c r="I5" s="104" t="s">
        <v>932</v>
      </c>
      <c r="J5" s="104" t="s">
        <v>695</v>
      </c>
      <c r="K5" s="104" t="s">
        <v>650</v>
      </c>
      <c r="L5" s="104" t="s">
        <v>636</v>
      </c>
      <c r="M5" s="104" t="s">
        <v>624</v>
      </c>
      <c r="N5" s="104" t="s">
        <v>582</v>
      </c>
      <c r="O5" s="104" t="s">
        <v>566</v>
      </c>
      <c r="P5" s="104" t="s">
        <v>87</v>
      </c>
      <c r="R5" s="105" t="s">
        <v>450</v>
      </c>
      <c r="T5" s="105" t="s">
        <v>540</v>
      </c>
    </row>
    <row r="6" spans="1:20" ht="16.5" thickTop="1" x14ac:dyDescent="0.25">
      <c r="A6" s="103" t="s">
        <v>41</v>
      </c>
    </row>
    <row r="7" spans="1:20" x14ac:dyDescent="0.25"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R7" s="106"/>
      <c r="T7" s="106"/>
    </row>
    <row r="8" spans="1:20" x14ac:dyDescent="0.25">
      <c r="B8" s="98" t="s">
        <v>1</v>
      </c>
      <c r="C8" s="99" t="s">
        <v>441</v>
      </c>
      <c r="D8" s="107">
        <f>+'Bilanci Alpha'!D48</f>
        <v>1558610.08</v>
      </c>
      <c r="E8" s="107">
        <f>+'Bilanci Alpha'!E48</f>
        <v>956034</v>
      </c>
      <c r="F8" s="107">
        <f>+'Bilanci Alpha'!F48</f>
        <v>1036231.58</v>
      </c>
      <c r="G8" s="107">
        <f>+'Bilanci Alpha'!G48</f>
        <v>1052254</v>
      </c>
      <c r="H8" s="107">
        <f>+'Bilanci Alpha'!H48</f>
        <v>2032315.38</v>
      </c>
      <c r="I8" s="107">
        <f>+'Bilanci Alpha'!I48</f>
        <v>385232.1</v>
      </c>
      <c r="J8" s="107">
        <f>+'Bilanci Alpha'!J48</f>
        <v>852121.37</v>
      </c>
      <c r="K8" s="107">
        <f>+'Bilanci Alpha'!K48</f>
        <v>1481529</v>
      </c>
      <c r="L8" s="107">
        <f>+'Bilanci Alpha'!L48</f>
        <v>770163</v>
      </c>
      <c r="M8" s="107">
        <f>+'Bilanci Alpha'!M48</f>
        <v>1480761</v>
      </c>
      <c r="N8" s="107">
        <f>+'Bilanci Alpha'!N48</f>
        <v>1161465</v>
      </c>
      <c r="O8" s="107">
        <f>+'Bilanci Alpha'!O48</f>
        <v>1018978</v>
      </c>
      <c r="P8" s="107">
        <f>+'Bilanci Alpha'!P48</f>
        <v>2113643</v>
      </c>
      <c r="Q8" s="107"/>
      <c r="R8" s="107">
        <f>+'Bilanci Alpha'!Q48</f>
        <v>3313071</v>
      </c>
      <c r="S8" s="108"/>
      <c r="T8" s="107">
        <f>+'Bilanci Alpha'!R48</f>
        <v>4437258</v>
      </c>
    </row>
    <row r="9" spans="1:20" x14ac:dyDescent="0.25">
      <c r="B9" s="98" t="s">
        <v>40</v>
      </c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R9" s="106"/>
      <c r="S9" s="108"/>
      <c r="T9" s="106"/>
    </row>
    <row r="10" spans="1:20" x14ac:dyDescent="0.25">
      <c r="B10" s="103"/>
      <c r="D10" s="109">
        <f>SUM(D8:D9)</f>
        <v>1558610.08</v>
      </c>
      <c r="E10" s="109">
        <f t="shared" ref="E10:J10" si="0">SUM(E8:E9)</f>
        <v>956034</v>
      </c>
      <c r="F10" s="109">
        <f t="shared" si="0"/>
        <v>1036231.58</v>
      </c>
      <c r="G10" s="109">
        <f t="shared" si="0"/>
        <v>1052254</v>
      </c>
      <c r="H10" s="109">
        <f t="shared" si="0"/>
        <v>2032315.38</v>
      </c>
      <c r="I10" s="109">
        <f t="shared" si="0"/>
        <v>385232.1</v>
      </c>
      <c r="J10" s="109">
        <f t="shared" si="0"/>
        <v>852121.37</v>
      </c>
      <c r="K10" s="109">
        <f t="shared" ref="K10:P10" si="1">SUM(K8:K9)</f>
        <v>1481529</v>
      </c>
      <c r="L10" s="109">
        <f t="shared" si="1"/>
        <v>770163</v>
      </c>
      <c r="M10" s="109">
        <f t="shared" si="1"/>
        <v>1480761</v>
      </c>
      <c r="N10" s="109">
        <f t="shared" si="1"/>
        <v>1161465</v>
      </c>
      <c r="O10" s="109">
        <f t="shared" si="1"/>
        <v>1018978</v>
      </c>
      <c r="P10" s="109">
        <f t="shared" si="1"/>
        <v>2113643</v>
      </c>
      <c r="R10" s="109">
        <f>SUM(R8:R9)</f>
        <v>3313071</v>
      </c>
      <c r="S10" s="108"/>
      <c r="T10" s="109">
        <f>SUM(T8:T9)</f>
        <v>4437258</v>
      </c>
    </row>
    <row r="11" spans="1:20" x14ac:dyDescent="0.25">
      <c r="A11" s="98" t="s">
        <v>42</v>
      </c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R11" s="106"/>
      <c r="S11" s="108"/>
      <c r="T11" s="106"/>
    </row>
    <row r="12" spans="1:20" x14ac:dyDescent="0.25">
      <c r="B12" s="98" t="s">
        <v>51</v>
      </c>
      <c r="C12" s="99" t="s">
        <v>440</v>
      </c>
      <c r="D12" s="110">
        <f>+'Bilanci Alpha'!D40</f>
        <v>18964956.530000001</v>
      </c>
      <c r="E12" s="110">
        <f>+'Bilanci Alpha'!E40</f>
        <v>7336757</v>
      </c>
      <c r="F12" s="110">
        <f>+'Bilanci Alpha'!F40</f>
        <v>21137033.129000001</v>
      </c>
      <c r="G12" s="110">
        <f>+'Bilanci Alpha'!G40</f>
        <v>12740703.280000001</v>
      </c>
      <c r="H12" s="110">
        <f>+'Bilanci Alpha'!H40</f>
        <v>18499447</v>
      </c>
      <c r="I12" s="110">
        <f>+'Bilanci Alpha'!I40</f>
        <v>10485211</v>
      </c>
      <c r="J12" s="110">
        <f>+'Bilanci Alpha'!J40</f>
        <v>12252050</v>
      </c>
      <c r="K12" s="110">
        <f>+'Bilanci Alpha'!K40</f>
        <v>17792038</v>
      </c>
      <c r="L12" s="110">
        <f>+'Bilanci Alpha'!L40</f>
        <v>18285958</v>
      </c>
      <c r="M12" s="110">
        <f>+'Bilanci Alpha'!M40</f>
        <v>17374090</v>
      </c>
      <c r="N12" s="110">
        <f>+'Bilanci Alpha'!N40</f>
        <v>16908659</v>
      </c>
      <c r="O12" s="110">
        <f>+'Bilanci Alpha'!O40</f>
        <v>6005912</v>
      </c>
      <c r="P12" s="110">
        <f>+'Bilanci Alpha'!P40</f>
        <v>3183589</v>
      </c>
      <c r="R12" s="110">
        <f>+'Bilanci Alpha'!Q40</f>
        <v>1896742</v>
      </c>
      <c r="S12" s="108"/>
      <c r="T12" s="110">
        <f>+'Bilanci Alpha'!R40</f>
        <v>1411100</v>
      </c>
    </row>
    <row r="13" spans="1:20" x14ac:dyDescent="0.25">
      <c r="B13" s="98" t="s">
        <v>43</v>
      </c>
      <c r="C13" s="99" t="s">
        <v>440</v>
      </c>
      <c r="D13" s="110">
        <f>+'Bilanci Alpha'!D43+'Bilanci Alpha'!D42</f>
        <v>208516</v>
      </c>
      <c r="E13" s="110">
        <f>+'Bilanci Alpha'!E43+'Bilanci Alpha'!E42</f>
        <v>865038</v>
      </c>
      <c r="F13" s="110">
        <f>+'Bilanci Alpha'!F43+'Bilanci Alpha'!F42</f>
        <v>0</v>
      </c>
      <c r="G13" s="110">
        <f>+'Bilanci Alpha'!G43+'Bilanci Alpha'!G42</f>
        <v>1075022</v>
      </c>
      <c r="H13" s="110">
        <f>+'Bilanci Alpha'!H43+'Bilanci Alpha'!H42</f>
        <v>2347227</v>
      </c>
      <c r="I13" s="110">
        <f>+'Bilanci Alpha'!I43+'Bilanci Alpha'!I42</f>
        <v>2870098</v>
      </c>
      <c r="J13" s="110">
        <f>+'Bilanci Alpha'!J43+'Bilanci Alpha'!J42</f>
        <v>3219407.1775000012</v>
      </c>
      <c r="K13" s="110">
        <f>+'Bilanci Alpha'!K43+'Bilanci Alpha'!K42</f>
        <v>3692236</v>
      </c>
      <c r="L13" s="110">
        <f>+'Bilanci Alpha'!L43+'Bilanci Alpha'!L42</f>
        <v>4012173</v>
      </c>
      <c r="M13" s="110">
        <f>+'Bilanci Alpha'!M43+'Bilanci Alpha'!M42</f>
        <v>3549977</v>
      </c>
      <c r="N13" s="110">
        <f>+'Bilanci Alpha'!N43+'Bilanci Alpha'!N42</f>
        <v>8416359</v>
      </c>
      <c r="O13" s="110">
        <f>+'Bilanci Alpha'!O43+'Bilanci Alpha'!O42</f>
        <v>15156696</v>
      </c>
      <c r="P13" s="110">
        <f>+'Bilanci Alpha'!P43+'Bilanci Alpha'!P42</f>
        <v>4488007</v>
      </c>
      <c r="R13" s="110">
        <f>+'Bilanci Alpha'!Q43+'Bilanci Alpha'!Q42</f>
        <v>6214125</v>
      </c>
      <c r="S13" s="108"/>
      <c r="T13" s="110">
        <f>+'Bilanci Alpha'!R43+'Bilanci Alpha'!R42+'Bilanci Alpha'!R41</f>
        <v>10837246</v>
      </c>
    </row>
    <row r="14" spans="1:20" x14ac:dyDescent="0.25">
      <c r="B14" s="98" t="s">
        <v>3</v>
      </c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v>0</v>
      </c>
      <c r="P14" s="111">
        <v>0</v>
      </c>
      <c r="Q14" s="111"/>
      <c r="R14" s="111">
        <v>0</v>
      </c>
      <c r="S14" s="108"/>
      <c r="T14" s="111">
        <v>0</v>
      </c>
    </row>
    <row r="15" spans="1:20" x14ac:dyDescent="0.25">
      <c r="B15" s="98" t="s">
        <v>4</v>
      </c>
      <c r="D15" s="111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v>0</v>
      </c>
      <c r="P15" s="111">
        <v>0</v>
      </c>
      <c r="Q15" s="111"/>
      <c r="R15" s="111">
        <v>0</v>
      </c>
      <c r="S15" s="108"/>
      <c r="T15" s="111">
        <v>0</v>
      </c>
    </row>
    <row r="16" spans="1:20" x14ac:dyDescent="0.25">
      <c r="D16" s="109">
        <f>SUM(D12:D15)</f>
        <v>19173472.530000001</v>
      </c>
      <c r="E16" s="109">
        <f t="shared" ref="E16:J16" si="2">SUM(E12:E15)</f>
        <v>8201795</v>
      </c>
      <c r="F16" s="109">
        <f t="shared" si="2"/>
        <v>21137033.129000001</v>
      </c>
      <c r="G16" s="109">
        <f t="shared" si="2"/>
        <v>13815725.280000001</v>
      </c>
      <c r="H16" s="109">
        <f t="shared" si="2"/>
        <v>20846674</v>
      </c>
      <c r="I16" s="109">
        <f t="shared" si="2"/>
        <v>13355309</v>
      </c>
      <c r="J16" s="109">
        <f t="shared" si="2"/>
        <v>15471457.177500002</v>
      </c>
      <c r="K16" s="109">
        <f t="shared" ref="K16:P16" si="3">SUM(K12:K15)</f>
        <v>21484274</v>
      </c>
      <c r="L16" s="109">
        <f t="shared" si="3"/>
        <v>22298131</v>
      </c>
      <c r="M16" s="109">
        <f t="shared" si="3"/>
        <v>20924067</v>
      </c>
      <c r="N16" s="109">
        <f t="shared" si="3"/>
        <v>25325018</v>
      </c>
      <c r="O16" s="109">
        <f t="shared" si="3"/>
        <v>21162608</v>
      </c>
      <c r="P16" s="109">
        <f t="shared" si="3"/>
        <v>7671596</v>
      </c>
      <c r="R16" s="109">
        <f>SUM(R12:R15)</f>
        <v>8110867</v>
      </c>
      <c r="S16" s="108"/>
      <c r="T16" s="109">
        <f>SUM(T12:T15)</f>
        <v>12248346</v>
      </c>
    </row>
    <row r="17" spans="1:20" x14ac:dyDescent="0.25">
      <c r="A17" s="98" t="s">
        <v>5</v>
      </c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R17" s="106"/>
      <c r="S17" s="108"/>
      <c r="T17" s="106"/>
    </row>
    <row r="18" spans="1:20" x14ac:dyDescent="0.25">
      <c r="B18" s="98" t="s">
        <v>559</v>
      </c>
      <c r="D18" s="111">
        <f>+'Bilanci Alpha'!D33</f>
        <v>0</v>
      </c>
      <c r="E18" s="111">
        <f>+'Bilanci Alpha'!E33</f>
        <v>0</v>
      </c>
      <c r="F18" s="111">
        <f>+'Bilanci Alpha'!F33</f>
        <v>0</v>
      </c>
      <c r="G18" s="111">
        <f>+'Bilanci Alpha'!G33</f>
        <v>0</v>
      </c>
      <c r="H18" s="111">
        <f>+'Bilanci Alpha'!H33</f>
        <v>0</v>
      </c>
      <c r="I18" s="111">
        <f>+'Bilanci Alpha'!I33</f>
        <v>0</v>
      </c>
      <c r="J18" s="111">
        <f>+'Bilanci Alpha'!J33</f>
        <v>0</v>
      </c>
      <c r="K18" s="111">
        <f>+'Bilanci Alpha'!K33</f>
        <v>0</v>
      </c>
      <c r="L18" s="111">
        <f>+'Bilanci Alpha'!L33</f>
        <v>0</v>
      </c>
      <c r="M18" s="111">
        <f>+'Bilanci Alpha'!M33</f>
        <v>0</v>
      </c>
      <c r="N18" s="111">
        <f>+'Bilanci Alpha'!N33</f>
        <v>0</v>
      </c>
      <c r="O18" s="111">
        <f>+'Bilanci Alpha'!O33</f>
        <v>0</v>
      </c>
      <c r="P18" s="111">
        <f>+'Bilanci Alpha'!P33</f>
        <v>0</v>
      </c>
      <c r="Q18" s="111"/>
      <c r="R18" s="111">
        <f>+'Bilanci Alpha'!Q33</f>
        <v>0</v>
      </c>
      <c r="S18" s="108"/>
      <c r="T18" s="111">
        <f>+'Bilanci Alpha'!S33</f>
        <v>0</v>
      </c>
    </row>
    <row r="19" spans="1:20" x14ac:dyDescent="0.25">
      <c r="B19" s="98" t="s">
        <v>6</v>
      </c>
      <c r="D19" s="111">
        <f>+'Bilanci Alpha'!D34</f>
        <v>0</v>
      </c>
      <c r="E19" s="111">
        <f>+'Bilanci Alpha'!E34</f>
        <v>0</v>
      </c>
      <c r="F19" s="111">
        <f>+'Bilanci Alpha'!F34</f>
        <v>0</v>
      </c>
      <c r="G19" s="111">
        <f>+'Bilanci Alpha'!G34</f>
        <v>0</v>
      </c>
      <c r="H19" s="111">
        <f>+'Bilanci Alpha'!H34</f>
        <v>0</v>
      </c>
      <c r="I19" s="111">
        <f>+'Bilanci Alpha'!I34</f>
        <v>0</v>
      </c>
      <c r="J19" s="111">
        <f>+'Bilanci Alpha'!J34</f>
        <v>0</v>
      </c>
      <c r="K19" s="111">
        <f>+'Bilanci Alpha'!K34</f>
        <v>0</v>
      </c>
      <c r="L19" s="111">
        <f>+'Bilanci Alpha'!L34</f>
        <v>0</v>
      </c>
      <c r="M19" s="111">
        <f>+'Bilanci Alpha'!M34</f>
        <v>0</v>
      </c>
      <c r="N19" s="111">
        <f>+'Bilanci Alpha'!N34</f>
        <v>0</v>
      </c>
      <c r="O19" s="111">
        <f>+'Bilanci Alpha'!O34</f>
        <v>0</v>
      </c>
      <c r="P19" s="111">
        <f>+'Bilanci Alpha'!P34</f>
        <v>0</v>
      </c>
      <c r="Q19" s="111"/>
      <c r="R19" s="111">
        <f>+'Bilanci Alpha'!Q34</f>
        <v>0</v>
      </c>
      <c r="S19" s="108"/>
      <c r="T19" s="111">
        <f>+'Bilanci Alpha'!S34</f>
        <v>0</v>
      </c>
    </row>
    <row r="20" spans="1:20" x14ac:dyDescent="0.25">
      <c r="B20" s="98" t="s">
        <v>128</v>
      </c>
      <c r="C20" s="99" t="s">
        <v>439</v>
      </c>
      <c r="D20" s="106">
        <f>+'Bilanci Alpha'!D35</f>
        <v>0</v>
      </c>
      <c r="E20" s="106">
        <v>0</v>
      </c>
      <c r="F20" s="106">
        <f>+'Bilanci Alpha'!F35</f>
        <v>0</v>
      </c>
      <c r="G20" s="106">
        <f>+'Bilanci Alpha'!G35</f>
        <v>0</v>
      </c>
      <c r="H20" s="106">
        <f>+'Bilanci Alpha'!H35</f>
        <v>0</v>
      </c>
      <c r="I20" s="106">
        <f>+'Bilanci Alpha'!I35</f>
        <v>0</v>
      </c>
      <c r="J20" s="106">
        <f>+'Bilanci Alpha'!J35</f>
        <v>0</v>
      </c>
      <c r="K20" s="106">
        <f>+'Bilanci Alpha'!K35</f>
        <v>0</v>
      </c>
      <c r="L20" s="106">
        <f>+'Bilanci Alpha'!L35</f>
        <v>0</v>
      </c>
      <c r="M20" s="106">
        <f>+'Bilanci Alpha'!M35</f>
        <v>0</v>
      </c>
      <c r="N20" s="106">
        <f>+'Bilanci Alpha'!N35</f>
        <v>0</v>
      </c>
      <c r="O20" s="106">
        <f>+'Bilanci Alpha'!O35</f>
        <v>0</v>
      </c>
      <c r="P20" s="106">
        <f>+'Bilanci Alpha'!P35</f>
        <v>0</v>
      </c>
      <c r="R20" s="106">
        <f>+'Bilanci Alpha'!Q35</f>
        <v>0</v>
      </c>
      <c r="S20" s="108"/>
      <c r="T20" s="106">
        <f>+'Bilanci Alpha'!S35</f>
        <v>0</v>
      </c>
    </row>
    <row r="21" spans="1:20" x14ac:dyDescent="0.25">
      <c r="B21" s="98" t="s">
        <v>44</v>
      </c>
      <c r="D21" s="111">
        <f>+'Bilanci Alpha'!D36</f>
        <v>0</v>
      </c>
      <c r="E21" s="111">
        <f>+'Bilanci Alpha'!E35</f>
        <v>1114494</v>
      </c>
      <c r="F21" s="111">
        <f>+'Bilanci Alpha'!F36</f>
        <v>0</v>
      </c>
      <c r="G21" s="111">
        <f>+'Bilanci Alpha'!G36</f>
        <v>0</v>
      </c>
      <c r="H21" s="111">
        <f>+'Bilanci Alpha'!H36</f>
        <v>0</v>
      </c>
      <c r="I21" s="111">
        <f>+'Bilanci Alpha'!I36</f>
        <v>0</v>
      </c>
      <c r="J21" s="111">
        <f>+'Bilanci Alpha'!J36</f>
        <v>0</v>
      </c>
      <c r="K21" s="111">
        <f>+'Bilanci Alpha'!K36</f>
        <v>0</v>
      </c>
      <c r="L21" s="111">
        <f>+'Bilanci Alpha'!L36</f>
        <v>0</v>
      </c>
      <c r="M21" s="111">
        <f>+'Bilanci Alpha'!M36</f>
        <v>0</v>
      </c>
      <c r="N21" s="111">
        <f>+'Bilanci Alpha'!N36</f>
        <v>0</v>
      </c>
      <c r="O21" s="111">
        <f>+'Bilanci Alpha'!O36</f>
        <v>0</v>
      </c>
      <c r="P21" s="111">
        <f>+'Bilanci Alpha'!P36</f>
        <v>0</v>
      </c>
      <c r="Q21" s="111"/>
      <c r="R21" s="111">
        <f>+'Bilanci Alpha'!Q36</f>
        <v>0</v>
      </c>
      <c r="S21" s="108"/>
      <c r="T21" s="111">
        <f>+'Bilanci Alpha'!S36</f>
        <v>0</v>
      </c>
    </row>
    <row r="22" spans="1:20" x14ac:dyDescent="0.25">
      <c r="B22" s="98" t="s">
        <v>45</v>
      </c>
      <c r="C22" s="99" t="s">
        <v>442</v>
      </c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R22" s="106">
        <v>0</v>
      </c>
      <c r="S22" s="108"/>
      <c r="T22" s="106">
        <v>0</v>
      </c>
    </row>
    <row r="23" spans="1:20" ht="12.75" customHeight="1" x14ac:dyDescent="0.25">
      <c r="D23" s="109">
        <f>SUM(D18:D22)</f>
        <v>0</v>
      </c>
      <c r="E23" s="109">
        <f t="shared" ref="E23:J23" si="4">SUM(E18:E22)</f>
        <v>1114494</v>
      </c>
      <c r="F23" s="109">
        <f t="shared" si="4"/>
        <v>0</v>
      </c>
      <c r="G23" s="109">
        <f t="shared" si="4"/>
        <v>0</v>
      </c>
      <c r="H23" s="109">
        <f t="shared" si="4"/>
        <v>0</v>
      </c>
      <c r="I23" s="109">
        <f t="shared" si="4"/>
        <v>0</v>
      </c>
      <c r="J23" s="109">
        <f t="shared" si="4"/>
        <v>0</v>
      </c>
      <c r="K23" s="109">
        <f t="shared" ref="K23:P23" si="5">SUM(K18:K22)</f>
        <v>0</v>
      </c>
      <c r="L23" s="109">
        <f t="shared" si="5"/>
        <v>0</v>
      </c>
      <c r="M23" s="109">
        <f t="shared" si="5"/>
        <v>0</v>
      </c>
      <c r="N23" s="109">
        <f t="shared" si="5"/>
        <v>0</v>
      </c>
      <c r="O23" s="109">
        <f t="shared" si="5"/>
        <v>0</v>
      </c>
      <c r="P23" s="109">
        <f t="shared" si="5"/>
        <v>0</v>
      </c>
      <c r="R23" s="109">
        <f>SUM(R17:R22)</f>
        <v>0</v>
      </c>
      <c r="S23" s="108"/>
      <c r="T23" s="109">
        <f>SUM(T17:T22)</f>
        <v>0</v>
      </c>
    </row>
    <row r="24" spans="1:20" x14ac:dyDescent="0.25">
      <c r="B24" s="98" t="s">
        <v>46</v>
      </c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R24" s="106"/>
      <c r="S24" s="108"/>
      <c r="T24" s="106"/>
    </row>
    <row r="25" spans="1:20" x14ac:dyDescent="0.25">
      <c r="B25" s="98" t="s">
        <v>47</v>
      </c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R25" s="106"/>
      <c r="S25" s="108"/>
      <c r="T25" s="106"/>
    </row>
    <row r="26" spans="1:20" x14ac:dyDescent="0.25">
      <c r="B26" s="98" t="s">
        <v>48</v>
      </c>
      <c r="C26" s="99" t="s">
        <v>443</v>
      </c>
      <c r="D26" s="106">
        <f>+'Bilanci Alpha'!D52</f>
        <v>15010250</v>
      </c>
      <c r="E26" s="106">
        <f>+'Bilanci Alpha'!E52</f>
        <v>27010250</v>
      </c>
      <c r="F26" s="106">
        <f>+'Bilanci Alpha'!F52</f>
        <v>0</v>
      </c>
      <c r="G26" s="106">
        <f>+'Bilanci Alpha'!G52</f>
        <v>0</v>
      </c>
      <c r="H26" s="106">
        <f>+'Bilanci Alpha'!H52</f>
        <v>0</v>
      </c>
      <c r="I26" s="106">
        <f>+'Bilanci Alpha'!I52</f>
        <v>0</v>
      </c>
      <c r="J26" s="106">
        <f>+'Bilanci Alpha'!J52</f>
        <v>3293640</v>
      </c>
      <c r="K26" s="106">
        <f>+'Bilanci Alpha'!K52</f>
        <v>0</v>
      </c>
      <c r="L26" s="106">
        <f>+'Bilanci Alpha'!L52</f>
        <v>715600</v>
      </c>
      <c r="M26" s="106">
        <f>+'Bilanci Alpha'!M52</f>
        <v>0</v>
      </c>
      <c r="N26" s="106">
        <f>+'Bilanci Alpha'!N52</f>
        <v>375915</v>
      </c>
      <c r="O26" s="106">
        <f>+'Bilanci Alpha'!O52</f>
        <v>490454</v>
      </c>
      <c r="P26" s="106">
        <f>+'Bilanci Alpha'!P52</f>
        <v>699101</v>
      </c>
      <c r="Q26" s="106"/>
      <c r="R26" s="106">
        <f>+'Bilanci Alpha'!Q52</f>
        <v>751082</v>
      </c>
      <c r="S26" s="108"/>
      <c r="T26" s="106">
        <f>+'Bilanci Alpha'!R52</f>
        <v>0</v>
      </c>
    </row>
    <row r="27" spans="1:20" x14ac:dyDescent="0.25">
      <c r="B27" s="98" t="s">
        <v>124</v>
      </c>
      <c r="D27" s="111">
        <f>+'Bilanci Alpha'!D56</f>
        <v>0</v>
      </c>
      <c r="E27" s="111">
        <f>+'Bilanci Alpha'!E56</f>
        <v>0</v>
      </c>
      <c r="F27" s="111">
        <f>+'Bilanci Alpha'!F56</f>
        <v>0</v>
      </c>
      <c r="G27" s="111">
        <f>+'Bilanci Alpha'!G56</f>
        <v>0</v>
      </c>
      <c r="H27" s="111">
        <f>+'Bilanci Alpha'!H56</f>
        <v>0</v>
      </c>
      <c r="I27" s="111">
        <f>+'Bilanci Alpha'!I56</f>
        <v>0</v>
      </c>
      <c r="J27" s="111">
        <f>+'Bilanci Alpha'!J56</f>
        <v>0</v>
      </c>
      <c r="K27" s="111">
        <f>+'Bilanci Alpha'!K56</f>
        <v>0</v>
      </c>
      <c r="L27" s="111">
        <f>+'Bilanci Alpha'!L56</f>
        <v>0</v>
      </c>
      <c r="M27" s="111">
        <f>+'Bilanci Alpha'!M56</f>
        <v>0</v>
      </c>
      <c r="N27" s="111">
        <f>+'Bilanci Alpha'!N56</f>
        <v>0</v>
      </c>
      <c r="O27" s="111">
        <f>+'Bilanci Alpha'!O56</f>
        <v>0</v>
      </c>
      <c r="P27" s="111">
        <f>+'Bilanci Alpha'!P56</f>
        <v>0</v>
      </c>
      <c r="R27" s="111">
        <f>+'Bilanci Alpha'!Q56</f>
        <v>7076661</v>
      </c>
      <c r="S27" s="108"/>
      <c r="T27" s="111">
        <f>+'Bilanci Alpha'!R56</f>
        <v>8724025</v>
      </c>
    </row>
    <row r="28" spans="1:20" x14ac:dyDescent="0.25"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R28" s="106"/>
      <c r="S28" s="108"/>
      <c r="T28" s="106"/>
    </row>
    <row r="29" spans="1:20" ht="16.5" thickBot="1" x14ac:dyDescent="0.3">
      <c r="B29" s="112" t="s">
        <v>49</v>
      </c>
      <c r="D29" s="113">
        <f>+D23+D16+D10+D26+D27</f>
        <v>35742332.609999999</v>
      </c>
      <c r="E29" s="113">
        <f t="shared" ref="E29:J29" si="6">+E23+E16+E10+E26+E27</f>
        <v>37282573</v>
      </c>
      <c r="F29" s="113">
        <f t="shared" si="6"/>
        <v>22173264.708999999</v>
      </c>
      <c r="G29" s="113">
        <f t="shared" si="6"/>
        <v>14867979.280000001</v>
      </c>
      <c r="H29" s="113">
        <f t="shared" si="6"/>
        <v>22878989.379999999</v>
      </c>
      <c r="I29" s="113">
        <f t="shared" si="6"/>
        <v>13740541.1</v>
      </c>
      <c r="J29" s="113">
        <f t="shared" si="6"/>
        <v>19617218.547499999</v>
      </c>
      <c r="K29" s="113">
        <f t="shared" ref="K29:P29" si="7">+K23+K16+K10+K26+K27</f>
        <v>22965803</v>
      </c>
      <c r="L29" s="113">
        <f t="shared" si="7"/>
        <v>23783894</v>
      </c>
      <c r="M29" s="113">
        <f t="shared" si="7"/>
        <v>22404828</v>
      </c>
      <c r="N29" s="113">
        <f t="shared" si="7"/>
        <v>26862398</v>
      </c>
      <c r="O29" s="113">
        <f t="shared" si="7"/>
        <v>22672040</v>
      </c>
      <c r="P29" s="113">
        <f t="shared" si="7"/>
        <v>10484340</v>
      </c>
      <c r="R29" s="113">
        <f>+R23+R16+R10+R26+R27</f>
        <v>19251681</v>
      </c>
      <c r="S29" s="108"/>
      <c r="T29" s="113">
        <f>+T23+T16+T10+T26+T27</f>
        <v>25409629</v>
      </c>
    </row>
    <row r="30" spans="1:20" ht="12" customHeight="1" thickTop="1" x14ac:dyDescent="0.25"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R30" s="106"/>
      <c r="S30" s="108"/>
      <c r="T30" s="106"/>
    </row>
    <row r="31" spans="1:20" x14ac:dyDescent="0.25">
      <c r="A31" s="103" t="s">
        <v>7</v>
      </c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R31" s="106"/>
      <c r="S31" s="108"/>
      <c r="T31" s="106"/>
    </row>
    <row r="32" spans="1:20" x14ac:dyDescent="0.25">
      <c r="B32" s="98" t="s">
        <v>50</v>
      </c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R32" s="106"/>
      <c r="S32" s="108"/>
      <c r="T32" s="106"/>
    </row>
    <row r="33" spans="1:20" x14ac:dyDescent="0.25">
      <c r="B33" s="98" t="s">
        <v>52</v>
      </c>
      <c r="C33" s="99">
        <v>4</v>
      </c>
      <c r="D33" s="107">
        <f>+'Bilanci Alpha'!D18</f>
        <v>18469949</v>
      </c>
      <c r="E33" s="107">
        <f>+'Bilanci Alpha'!E18</f>
        <v>19804139</v>
      </c>
      <c r="F33" s="107">
        <f>+'Bilanci Alpha'!F18</f>
        <v>23276259</v>
      </c>
      <c r="G33" s="107">
        <f>+'Bilanci Alpha'!G18</f>
        <v>25993140</v>
      </c>
      <c r="H33" s="107">
        <f>+'Bilanci Alpha'!H18</f>
        <v>34594266</v>
      </c>
      <c r="I33" s="107">
        <f>+'Bilanci Alpha'!I18</f>
        <v>42611733</v>
      </c>
      <c r="J33" s="107">
        <f>+'Bilanci Alpha'!J18</f>
        <v>36550960</v>
      </c>
      <c r="K33" s="107">
        <f>+'Bilanci Alpha'!K18</f>
        <v>35265407</v>
      </c>
      <c r="L33" s="107">
        <f>+'Bilanci Alpha'!L18</f>
        <v>34892661</v>
      </c>
      <c r="M33" s="107">
        <f>+'Bilanci Alpha'!M18</f>
        <v>33494927</v>
      </c>
      <c r="N33" s="107">
        <f>+'Bilanci Alpha'!N18</f>
        <v>36013971</v>
      </c>
      <c r="O33" s="107">
        <f>+'Bilanci Alpha'!O18</f>
        <v>38376194</v>
      </c>
      <c r="P33" s="107">
        <f>+'Bilanci Alpha'!P18</f>
        <v>37707939</v>
      </c>
      <c r="R33" s="107">
        <f>+'Bilanci Alpha'!Q18</f>
        <v>31825083</v>
      </c>
      <c r="S33" s="108"/>
      <c r="T33" s="107">
        <f>+'Bilanci Alpha'!R18</f>
        <v>28982109</v>
      </c>
    </row>
    <row r="34" spans="1:20" x14ac:dyDescent="0.25">
      <c r="B34" s="98" t="s">
        <v>53</v>
      </c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R34" s="106"/>
      <c r="S34" s="108"/>
      <c r="T34" s="106"/>
    </row>
    <row r="35" spans="1:20" x14ac:dyDescent="0.25">
      <c r="B35" s="98" t="s">
        <v>54</v>
      </c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R35" s="106"/>
      <c r="S35" s="108"/>
      <c r="T35" s="106"/>
    </row>
    <row r="36" spans="1:20" ht="16.5" thickBot="1" x14ac:dyDescent="0.3">
      <c r="B36" s="112" t="s">
        <v>55</v>
      </c>
      <c r="D36" s="113">
        <f>SUM(D33:D35)</f>
        <v>18469949</v>
      </c>
      <c r="E36" s="113">
        <f t="shared" ref="E36:J36" si="8">SUM(E33:E35)</f>
        <v>19804139</v>
      </c>
      <c r="F36" s="113">
        <f t="shared" si="8"/>
        <v>23276259</v>
      </c>
      <c r="G36" s="113">
        <f t="shared" si="8"/>
        <v>25993140</v>
      </c>
      <c r="H36" s="113">
        <f t="shared" si="8"/>
        <v>34594266</v>
      </c>
      <c r="I36" s="113">
        <f t="shared" si="8"/>
        <v>42611733</v>
      </c>
      <c r="J36" s="113">
        <f t="shared" si="8"/>
        <v>36550960</v>
      </c>
      <c r="K36" s="113">
        <f t="shared" ref="K36:P36" si="9">SUM(K33:K35)</f>
        <v>35265407</v>
      </c>
      <c r="L36" s="113">
        <f t="shared" si="9"/>
        <v>34892661</v>
      </c>
      <c r="M36" s="113">
        <f t="shared" si="9"/>
        <v>33494927</v>
      </c>
      <c r="N36" s="113">
        <f t="shared" si="9"/>
        <v>36013971</v>
      </c>
      <c r="O36" s="113">
        <f t="shared" si="9"/>
        <v>38376194</v>
      </c>
      <c r="P36" s="113">
        <f t="shared" si="9"/>
        <v>37707939</v>
      </c>
      <c r="R36" s="113">
        <f>SUM(R33:R35)</f>
        <v>31825083</v>
      </c>
      <c r="S36" s="108"/>
      <c r="T36" s="113">
        <f>SUM(T33:T35)</f>
        <v>28982109</v>
      </c>
    </row>
    <row r="37" spans="1:20" ht="16.5" thickTop="1" x14ac:dyDescent="0.25">
      <c r="B37" s="103" t="s">
        <v>56</v>
      </c>
      <c r="D37" s="114">
        <f t="shared" ref="D37:P37" si="10">+D29+D36</f>
        <v>54212281.609999999</v>
      </c>
      <c r="E37" s="114">
        <f t="shared" si="10"/>
        <v>57086712</v>
      </c>
      <c r="F37" s="114">
        <f t="shared" si="10"/>
        <v>45449523.708999999</v>
      </c>
      <c r="G37" s="114">
        <f t="shared" si="10"/>
        <v>40861119.280000001</v>
      </c>
      <c r="H37" s="114">
        <f t="shared" si="10"/>
        <v>57473255.379999995</v>
      </c>
      <c r="I37" s="114">
        <f t="shared" si="10"/>
        <v>56352274.100000001</v>
      </c>
      <c r="J37" s="114">
        <f t="shared" si="10"/>
        <v>56168178.547499999</v>
      </c>
      <c r="K37" s="114">
        <f t="shared" si="10"/>
        <v>58231210</v>
      </c>
      <c r="L37" s="114">
        <f t="shared" si="10"/>
        <v>58676555</v>
      </c>
      <c r="M37" s="114">
        <f t="shared" si="10"/>
        <v>55899755</v>
      </c>
      <c r="N37" s="114">
        <f t="shared" si="10"/>
        <v>62876369</v>
      </c>
      <c r="O37" s="114">
        <f t="shared" si="10"/>
        <v>61048234</v>
      </c>
      <c r="P37" s="114">
        <f t="shared" si="10"/>
        <v>48192279</v>
      </c>
      <c r="Q37" s="108"/>
      <c r="R37" s="114">
        <f>+R29+R36</f>
        <v>51076764</v>
      </c>
      <c r="S37" s="108"/>
      <c r="T37" s="114">
        <f>+T29+T36</f>
        <v>54391738</v>
      </c>
    </row>
    <row r="38" spans="1:20" x14ac:dyDescent="0.25"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8"/>
      <c r="R38" s="106"/>
      <c r="S38" s="108"/>
      <c r="T38" s="106"/>
    </row>
    <row r="39" spans="1:20" x14ac:dyDescent="0.25">
      <c r="A39" s="29" t="s">
        <v>76</v>
      </c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R39" s="106"/>
      <c r="S39" s="108"/>
      <c r="T39" s="106"/>
    </row>
    <row r="40" spans="1:20" ht="9.75" customHeight="1" x14ac:dyDescent="0.25"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R40" s="106"/>
      <c r="S40" s="108"/>
      <c r="T40" s="106"/>
    </row>
    <row r="41" spans="1:20" x14ac:dyDescent="0.25">
      <c r="A41" s="29" t="s">
        <v>110</v>
      </c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R41" s="106"/>
      <c r="S41" s="108"/>
      <c r="T41" s="106"/>
    </row>
    <row r="42" spans="1:20" x14ac:dyDescent="0.25">
      <c r="B42" s="101" t="s">
        <v>57</v>
      </c>
      <c r="C42" s="99" t="s">
        <v>445</v>
      </c>
      <c r="D42" s="110">
        <f>'Bilanci Alpha'!D99</f>
        <v>0</v>
      </c>
      <c r="E42" s="110">
        <f>'Bilanci Alpha'!E99</f>
        <v>0</v>
      </c>
      <c r="F42" s="110">
        <f>'Bilanci Alpha'!F99</f>
        <v>0</v>
      </c>
      <c r="G42" s="110">
        <f>'Bilanci Alpha'!G99</f>
        <v>0</v>
      </c>
      <c r="H42" s="110">
        <f>'Bilanci Alpha'!H99</f>
        <v>0</v>
      </c>
      <c r="I42" s="110">
        <f>'Bilanci Alpha'!I99</f>
        <v>0</v>
      </c>
      <c r="J42" s="110">
        <f>'Bilanci Alpha'!J99</f>
        <v>0</v>
      </c>
      <c r="K42" s="110">
        <f>'Bilanci Alpha'!K99</f>
        <v>0</v>
      </c>
      <c r="L42" s="110">
        <f>'Bilanci Alpha'!L99</f>
        <v>0</v>
      </c>
      <c r="M42" s="110">
        <f>'Bilanci Alpha'!M99</f>
        <v>35994847</v>
      </c>
      <c r="N42" s="110">
        <f>'Bilanci Alpha'!N99</f>
        <v>44053275</v>
      </c>
      <c r="O42" s="110">
        <f>'Bilanci Alpha'!O99</f>
        <v>49932873</v>
      </c>
      <c r="P42" s="110">
        <f>'Bilanci Alpha'!P99</f>
        <v>7924580</v>
      </c>
      <c r="R42" s="110">
        <f>'Bilanci Alpha'!Q99</f>
        <v>31329282</v>
      </c>
      <c r="S42" s="108"/>
      <c r="T42" s="110">
        <f>'Bilanci Alpha'!R99</f>
        <v>14802280</v>
      </c>
    </row>
    <row r="43" spans="1:20" x14ac:dyDescent="0.25">
      <c r="B43" s="101" t="s">
        <v>58</v>
      </c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0</v>
      </c>
      <c r="P43" s="111">
        <v>0</v>
      </c>
      <c r="R43" s="111">
        <v>0</v>
      </c>
      <c r="S43" s="108"/>
      <c r="T43" s="111">
        <v>0</v>
      </c>
    </row>
    <row r="44" spans="1:20" x14ac:dyDescent="0.25">
      <c r="B44" s="102" t="s">
        <v>59</v>
      </c>
      <c r="C44" s="99" t="s">
        <v>444</v>
      </c>
      <c r="D44" s="106">
        <f>'Bilanci Alpha'!D102</f>
        <v>3134210</v>
      </c>
      <c r="E44" s="106">
        <f>'Bilanci Alpha'!E102</f>
        <v>10593540.84</v>
      </c>
      <c r="F44" s="106">
        <f>'Bilanci Alpha'!F102</f>
        <v>3125119</v>
      </c>
      <c r="G44" s="106">
        <f>'Bilanci Alpha'!G102</f>
        <v>5219399.3499999996</v>
      </c>
      <c r="H44" s="106">
        <f>'Bilanci Alpha'!H102</f>
        <v>17111831</v>
      </c>
      <c r="I44" s="106">
        <f>'Bilanci Alpha'!I102</f>
        <v>22394775</v>
      </c>
      <c r="J44" s="106">
        <f>'Bilanci Alpha'!J102</f>
        <v>20632716.419999998</v>
      </c>
      <c r="K44" s="106">
        <f>'Bilanci Alpha'!K102</f>
        <v>16097832.199999999</v>
      </c>
      <c r="L44" s="106">
        <f>'Bilanci Alpha'!L102</f>
        <v>7878046</v>
      </c>
      <c r="M44" s="106">
        <f>'Bilanci Alpha'!M102</f>
        <v>5528943</v>
      </c>
      <c r="N44" s="106">
        <f>'Bilanci Alpha'!N102</f>
        <v>6485898</v>
      </c>
      <c r="O44" s="106">
        <f>'Bilanci Alpha'!O102</f>
        <v>1627585</v>
      </c>
      <c r="P44" s="106">
        <f>'Bilanci Alpha'!P102</f>
        <v>2474626</v>
      </c>
      <c r="R44" s="106">
        <f>'Bilanci Alpha'!Q102</f>
        <v>1617497</v>
      </c>
      <c r="S44" s="108"/>
      <c r="T44" s="106">
        <f>'Bilanci Alpha'!R102</f>
        <v>1031500</v>
      </c>
    </row>
    <row r="45" spans="1:20" x14ac:dyDescent="0.25">
      <c r="B45" s="102" t="s">
        <v>60</v>
      </c>
      <c r="D45" s="110">
        <f>+'Bilanci Alpha'!D103</f>
        <v>1013500</v>
      </c>
      <c r="E45" s="110">
        <f>+'Bilanci Alpha'!E103</f>
        <v>941500</v>
      </c>
      <c r="F45" s="110">
        <f>+'Bilanci Alpha'!F103</f>
        <v>747800</v>
      </c>
      <c r="G45" s="110">
        <f>+'Bilanci Alpha'!G103</f>
        <v>975000</v>
      </c>
      <c r="H45" s="110">
        <f>+'Bilanci Alpha'!H103</f>
        <v>7061408</v>
      </c>
      <c r="I45" s="110">
        <f>+'Bilanci Alpha'!I103</f>
        <v>2353210.7200000002</v>
      </c>
      <c r="J45" s="110">
        <f>+'Bilanci Alpha'!J103</f>
        <v>1444881</v>
      </c>
      <c r="K45" s="110">
        <f>+'Bilanci Alpha'!K103</f>
        <v>908618</v>
      </c>
      <c r="L45" s="110">
        <f>+'Bilanci Alpha'!L103</f>
        <v>0</v>
      </c>
      <c r="M45" s="110">
        <f>+'Bilanci Alpha'!M103</f>
        <v>0</v>
      </c>
      <c r="N45" s="110">
        <f>+'Bilanci Alpha'!N103</f>
        <v>1182576</v>
      </c>
      <c r="O45" s="110">
        <f>+'Bilanci Alpha'!O103</f>
        <v>924132</v>
      </c>
      <c r="P45" s="110">
        <f>+'Bilanci Alpha'!P103</f>
        <v>91680</v>
      </c>
      <c r="R45" s="110">
        <f>+'Bilanci Alpha'!Q103</f>
        <v>0</v>
      </c>
      <c r="S45" s="108"/>
      <c r="T45" s="110">
        <f>+'Bilanci Alpha'!R103</f>
        <v>0</v>
      </c>
    </row>
    <row r="46" spans="1:20" x14ac:dyDescent="0.25">
      <c r="B46" s="102" t="s">
        <v>8</v>
      </c>
      <c r="C46" s="99" t="s">
        <v>447</v>
      </c>
      <c r="D46" s="106">
        <f>+'Bilanci Alpha'!D104+'Bilanci Alpha'!D105</f>
        <v>1032875</v>
      </c>
      <c r="E46" s="106">
        <f>+'Bilanci Alpha'!E104+'Bilanci Alpha'!E105</f>
        <v>356306</v>
      </c>
      <c r="F46" s="106">
        <f>+'Bilanci Alpha'!F104+'Bilanci Alpha'!F105</f>
        <v>705499</v>
      </c>
      <c r="G46" s="106">
        <f>+'Bilanci Alpha'!G104+'Bilanci Alpha'!G105</f>
        <v>949654</v>
      </c>
      <c r="H46" s="106">
        <f>+'Bilanci Alpha'!H104+'Bilanci Alpha'!H105</f>
        <v>982109</v>
      </c>
      <c r="I46" s="106">
        <f>+'Bilanci Alpha'!I104+'Bilanci Alpha'!I105</f>
        <v>667433</v>
      </c>
      <c r="J46" s="106">
        <f>+'Bilanci Alpha'!J104+'Bilanci Alpha'!J105</f>
        <v>353298</v>
      </c>
      <c r="K46" s="106">
        <f>+'Bilanci Alpha'!K104+'Bilanci Alpha'!K105</f>
        <v>834340</v>
      </c>
      <c r="L46" s="106">
        <f>+'Bilanci Alpha'!L104+'Bilanci Alpha'!L105</f>
        <v>565234</v>
      </c>
      <c r="M46" s="106">
        <f>+'Bilanci Alpha'!M104+'Bilanci Alpha'!M105</f>
        <v>489935</v>
      </c>
      <c r="N46" s="106">
        <f>+'Bilanci Alpha'!N104+'Bilanci Alpha'!N105</f>
        <v>526280</v>
      </c>
      <c r="O46" s="106">
        <f>+'Bilanci Alpha'!O104+'Bilanci Alpha'!O105</f>
        <v>558132</v>
      </c>
      <c r="P46" s="106">
        <f>+'Bilanci Alpha'!P104+'Bilanci Alpha'!P105</f>
        <v>538847</v>
      </c>
      <c r="R46" s="106">
        <f>+'Bilanci Alpha'!Q104+'Bilanci Alpha'!Q105</f>
        <v>596758</v>
      </c>
      <c r="S46" s="108"/>
      <c r="T46" s="106">
        <f>+'Bilanci Alpha'!R104+'Bilanci Alpha'!R105</f>
        <v>483650</v>
      </c>
    </row>
    <row r="47" spans="1:20" x14ac:dyDescent="0.25">
      <c r="B47" s="102" t="s">
        <v>94</v>
      </c>
      <c r="C47" s="99" t="s">
        <v>448</v>
      </c>
      <c r="D47" s="110">
        <f>+'Bilanci Alpha'!D107+'Bilanci Alpha'!D106</f>
        <v>0</v>
      </c>
      <c r="E47" s="110">
        <f>+'Bilanci Alpha'!E107+'Bilanci Alpha'!E106</f>
        <v>0</v>
      </c>
      <c r="F47" s="110">
        <f>+'Bilanci Alpha'!F107+'Bilanci Alpha'!F106</f>
        <v>0</v>
      </c>
      <c r="G47" s="110">
        <f>+'Bilanci Alpha'!G107+'Bilanci Alpha'!G106</f>
        <v>0</v>
      </c>
      <c r="H47" s="110">
        <f>+'Bilanci Alpha'!H107+'Bilanci Alpha'!H106</f>
        <v>5810000</v>
      </c>
      <c r="I47" s="110">
        <f>+'Bilanci Alpha'!I107+'Bilanci Alpha'!I106</f>
        <v>6852500</v>
      </c>
      <c r="J47" s="110">
        <f>+'Bilanci Alpha'!J107+'Bilanci Alpha'!J106</f>
        <v>11060000</v>
      </c>
      <c r="K47" s="110">
        <f>+'Bilanci Alpha'!K107+'Bilanci Alpha'!K106</f>
        <v>20392500</v>
      </c>
      <c r="L47" s="110">
        <f>+'Bilanci Alpha'!L107+'Bilanci Alpha'!L106</f>
        <v>33680842</v>
      </c>
      <c r="M47" s="110">
        <f>+'Bilanci Alpha'!M107+'Bilanci Alpha'!M106</f>
        <v>0</v>
      </c>
      <c r="N47" s="110">
        <f>+'Bilanci Alpha'!N107+'Bilanci Alpha'!N106</f>
        <v>0</v>
      </c>
      <c r="O47" s="110">
        <f>+'Bilanci Alpha'!O107+'Bilanci Alpha'!O106</f>
        <v>0</v>
      </c>
      <c r="P47" s="110">
        <f>+'Bilanci Alpha'!P107+'Bilanci Alpha'!P106</f>
        <v>27082338</v>
      </c>
      <c r="R47" s="110">
        <f>+'Bilanci Alpha'!Q107+'Bilanci Alpha'!Q106</f>
        <v>7224401</v>
      </c>
      <c r="S47" s="108"/>
      <c r="T47" s="110">
        <f>+'Bilanci Alpha'!R107+'Bilanci Alpha'!R106</f>
        <v>22780723</v>
      </c>
    </row>
    <row r="48" spans="1:20" x14ac:dyDescent="0.25">
      <c r="B48" s="102" t="s">
        <v>61</v>
      </c>
      <c r="D48" s="110">
        <v>0</v>
      </c>
      <c r="E48" s="110">
        <v>0</v>
      </c>
      <c r="F48" s="110">
        <v>0</v>
      </c>
      <c r="G48" s="110">
        <v>0</v>
      </c>
      <c r="H48" s="110">
        <v>0</v>
      </c>
      <c r="I48" s="110">
        <v>0</v>
      </c>
      <c r="J48" s="110">
        <v>0</v>
      </c>
      <c r="K48" s="110">
        <v>0</v>
      </c>
      <c r="L48" s="110">
        <v>0</v>
      </c>
      <c r="M48" s="110">
        <v>0</v>
      </c>
      <c r="N48" s="110">
        <v>0</v>
      </c>
      <c r="O48" s="110">
        <v>0</v>
      </c>
      <c r="P48" s="110">
        <v>0</v>
      </c>
      <c r="R48" s="110">
        <v>0</v>
      </c>
      <c r="S48" s="108"/>
      <c r="T48" s="110">
        <v>0</v>
      </c>
    </row>
    <row r="49" spans="1:24" x14ac:dyDescent="0.25">
      <c r="B49" s="102" t="s">
        <v>62</v>
      </c>
      <c r="C49" s="99" t="s">
        <v>446</v>
      </c>
      <c r="D49" s="110">
        <f>+'Bilanci Alpha'!D93</f>
        <v>0</v>
      </c>
      <c r="E49" s="110">
        <f>+'Bilanci Alpha'!E93</f>
        <v>0</v>
      </c>
      <c r="F49" s="110">
        <f>+'Bilanci Alpha'!F93</f>
        <v>0</v>
      </c>
      <c r="G49" s="110">
        <f>+'Bilanci Alpha'!G93</f>
        <v>0</v>
      </c>
      <c r="H49" s="110">
        <f>+'Bilanci Alpha'!H93</f>
        <v>0</v>
      </c>
      <c r="I49" s="110">
        <f>+'Bilanci Alpha'!I93</f>
        <v>0</v>
      </c>
      <c r="J49" s="110">
        <f>+'Bilanci Alpha'!J93</f>
        <v>0</v>
      </c>
      <c r="K49" s="110">
        <f>+'Bilanci Alpha'!K93</f>
        <v>0</v>
      </c>
      <c r="L49" s="110">
        <f>+'Bilanci Alpha'!L93</f>
        <v>0</v>
      </c>
      <c r="M49" s="110">
        <f>+'Bilanci Alpha'!M93</f>
        <v>0</v>
      </c>
      <c r="N49" s="110">
        <f>+'Bilanci Alpha'!N93</f>
        <v>0</v>
      </c>
      <c r="O49" s="110">
        <f>+'Bilanci Alpha'!O93</f>
        <v>0</v>
      </c>
      <c r="P49" s="110">
        <f>+'Bilanci Alpha'!P93</f>
        <v>0</v>
      </c>
      <c r="R49" s="110">
        <f>+'Bilanci Alpha'!Q93</f>
        <v>0</v>
      </c>
      <c r="S49" s="108"/>
      <c r="T49" s="110">
        <f>+'Bilanci Alpha'!R93</f>
        <v>0</v>
      </c>
    </row>
    <row r="50" spans="1:24" x14ac:dyDescent="0.25">
      <c r="B50" s="101" t="s">
        <v>97</v>
      </c>
      <c r="D50" s="110">
        <v>0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10">
        <v>0</v>
      </c>
      <c r="M50" s="110">
        <v>0</v>
      </c>
      <c r="N50" s="110">
        <v>0</v>
      </c>
      <c r="O50" s="110">
        <v>0</v>
      </c>
      <c r="P50" s="110">
        <v>0</v>
      </c>
      <c r="R50" s="110">
        <v>0</v>
      </c>
      <c r="S50" s="108"/>
      <c r="T50" s="110">
        <v>0</v>
      </c>
    </row>
    <row r="51" spans="1:24" x14ac:dyDescent="0.25">
      <c r="B51" s="101" t="s">
        <v>63</v>
      </c>
      <c r="D51" s="111">
        <v>0</v>
      </c>
      <c r="E51" s="111">
        <v>0</v>
      </c>
      <c r="F51" s="111">
        <v>0</v>
      </c>
      <c r="G51" s="111">
        <v>0</v>
      </c>
      <c r="H51" s="111">
        <v>0</v>
      </c>
      <c r="I51" s="111">
        <v>0</v>
      </c>
      <c r="J51" s="111">
        <v>0</v>
      </c>
      <c r="K51" s="111">
        <v>0</v>
      </c>
      <c r="L51" s="111">
        <v>0</v>
      </c>
      <c r="M51" s="111">
        <v>0</v>
      </c>
      <c r="N51" s="111">
        <v>0</v>
      </c>
      <c r="O51" s="111">
        <v>0</v>
      </c>
      <c r="P51" s="111">
        <v>0</v>
      </c>
      <c r="R51" s="111">
        <v>0</v>
      </c>
      <c r="S51" s="108"/>
      <c r="T51" s="111">
        <v>0</v>
      </c>
    </row>
    <row r="52" spans="1:24" x14ac:dyDescent="0.25">
      <c r="B52" s="101" t="s">
        <v>64</v>
      </c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0</v>
      </c>
      <c r="M52" s="111">
        <v>0</v>
      </c>
      <c r="N52" s="111">
        <v>0</v>
      </c>
      <c r="O52" s="111">
        <v>0</v>
      </c>
      <c r="P52" s="111">
        <v>0</v>
      </c>
      <c r="R52" s="111">
        <v>0</v>
      </c>
      <c r="S52" s="108"/>
      <c r="T52" s="111">
        <v>0</v>
      </c>
    </row>
    <row r="53" spans="1:24" x14ac:dyDescent="0.25">
      <c r="B53" s="101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R53" s="106"/>
      <c r="S53" s="108"/>
      <c r="T53" s="106"/>
    </row>
    <row r="54" spans="1:24" ht="16.5" thickBot="1" x14ac:dyDescent="0.3">
      <c r="B54" s="112" t="s">
        <v>65</v>
      </c>
      <c r="D54" s="113">
        <f>SUM(D42:D53)</f>
        <v>5180585</v>
      </c>
      <c r="E54" s="113">
        <f t="shared" ref="E54:J54" si="11">SUM(E42:E53)</f>
        <v>11891346.84</v>
      </c>
      <c r="F54" s="113">
        <f t="shared" si="11"/>
        <v>4578418</v>
      </c>
      <c r="G54" s="113">
        <f t="shared" si="11"/>
        <v>7144053.3499999996</v>
      </c>
      <c r="H54" s="113">
        <f t="shared" si="11"/>
        <v>30965348</v>
      </c>
      <c r="I54" s="113">
        <f t="shared" si="11"/>
        <v>32267918.719999999</v>
      </c>
      <c r="J54" s="113">
        <f t="shared" si="11"/>
        <v>33490895.419999998</v>
      </c>
      <c r="K54" s="113">
        <f t="shared" ref="K54:P54" si="12">SUM(K42:K53)</f>
        <v>38233290.200000003</v>
      </c>
      <c r="L54" s="113">
        <f t="shared" si="12"/>
        <v>42124122</v>
      </c>
      <c r="M54" s="113">
        <f t="shared" si="12"/>
        <v>42013725</v>
      </c>
      <c r="N54" s="113">
        <f t="shared" si="12"/>
        <v>52248029</v>
      </c>
      <c r="O54" s="113">
        <f t="shared" si="12"/>
        <v>53042722</v>
      </c>
      <c r="P54" s="113">
        <f t="shared" si="12"/>
        <v>38112071</v>
      </c>
      <c r="R54" s="113">
        <f>SUM(R42:R53)</f>
        <v>40767938</v>
      </c>
      <c r="S54" s="108"/>
      <c r="T54" s="113">
        <f>SUM(T42:T53)</f>
        <v>39098153</v>
      </c>
      <c r="W54" s="98"/>
      <c r="X54" s="98"/>
    </row>
    <row r="55" spans="1:24" ht="16.5" thickTop="1" x14ac:dyDescent="0.25">
      <c r="A55" s="29" t="s">
        <v>66</v>
      </c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R55" s="106"/>
      <c r="S55" s="108"/>
      <c r="T55" s="106"/>
      <c r="W55" s="98"/>
      <c r="X55" s="98"/>
    </row>
    <row r="56" spans="1:24" x14ac:dyDescent="0.25">
      <c r="B56" s="101" t="s">
        <v>67</v>
      </c>
      <c r="C56" s="99">
        <v>6</v>
      </c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R56" s="110">
        <f>'Bilanci Alpha'!Q90</f>
        <v>2440282</v>
      </c>
      <c r="S56" s="108"/>
      <c r="T56" s="110">
        <f>'Bilanci Alpha'!R90</f>
        <v>9201526</v>
      </c>
      <c r="W56" s="98"/>
      <c r="X56" s="98"/>
    </row>
    <row r="57" spans="1:24" x14ac:dyDescent="0.25">
      <c r="B57" s="101" t="s">
        <v>68</v>
      </c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08"/>
      <c r="T57" s="110"/>
      <c r="W57" s="98"/>
      <c r="X57" s="98"/>
    </row>
    <row r="58" spans="1:24" x14ac:dyDescent="0.25">
      <c r="B58" s="101" t="s">
        <v>69</v>
      </c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10">
        <v>0</v>
      </c>
      <c r="N58" s="110">
        <v>0</v>
      </c>
      <c r="O58" s="110">
        <v>0</v>
      </c>
      <c r="P58" s="110">
        <v>0</v>
      </c>
      <c r="Q58" s="110"/>
      <c r="R58" s="110">
        <v>0</v>
      </c>
      <c r="S58" s="108"/>
      <c r="T58" s="110">
        <v>0</v>
      </c>
    </row>
    <row r="59" spans="1:24" x14ac:dyDescent="0.25">
      <c r="B59" s="101" t="s">
        <v>63</v>
      </c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R59" s="106"/>
      <c r="S59" s="108"/>
      <c r="T59" s="106"/>
    </row>
    <row r="60" spans="1:24" ht="16.5" thickBot="1" x14ac:dyDescent="0.3">
      <c r="B60" s="112" t="s">
        <v>70</v>
      </c>
      <c r="D60" s="113">
        <f>SUM(D56:D59)</f>
        <v>0</v>
      </c>
      <c r="E60" s="113">
        <f t="shared" ref="E60:J60" si="13">SUM(E56:E59)</f>
        <v>0</v>
      </c>
      <c r="F60" s="113">
        <f t="shared" si="13"/>
        <v>0</v>
      </c>
      <c r="G60" s="113">
        <f t="shared" si="13"/>
        <v>0</v>
      </c>
      <c r="H60" s="113">
        <f t="shared" si="13"/>
        <v>0</v>
      </c>
      <c r="I60" s="113">
        <f t="shared" si="13"/>
        <v>0</v>
      </c>
      <c r="J60" s="113">
        <f t="shared" si="13"/>
        <v>0</v>
      </c>
      <c r="K60" s="113">
        <f t="shared" ref="K60:P60" si="14">SUM(K56:K59)</f>
        <v>0</v>
      </c>
      <c r="L60" s="113">
        <f t="shared" si="14"/>
        <v>0</v>
      </c>
      <c r="M60" s="113">
        <f t="shared" si="14"/>
        <v>0</v>
      </c>
      <c r="N60" s="113">
        <f t="shared" si="14"/>
        <v>0</v>
      </c>
      <c r="O60" s="113">
        <f t="shared" si="14"/>
        <v>0</v>
      </c>
      <c r="P60" s="113">
        <f t="shared" si="14"/>
        <v>0</v>
      </c>
      <c r="R60" s="115">
        <f>SUM(R56:R59)</f>
        <v>2440282</v>
      </c>
      <c r="S60" s="108"/>
      <c r="T60" s="115">
        <f>SUM(T56:T59)</f>
        <v>9201526</v>
      </c>
      <c r="W60" s="116"/>
    </row>
    <row r="61" spans="1:24" ht="12.75" customHeight="1" thickTop="1" x14ac:dyDescent="0.25"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R61" s="106"/>
      <c r="S61" s="108"/>
      <c r="T61" s="106"/>
    </row>
    <row r="62" spans="1:24" x14ac:dyDescent="0.25">
      <c r="A62" s="29" t="s">
        <v>71</v>
      </c>
      <c r="S62" s="108"/>
      <c r="W62" s="116"/>
    </row>
    <row r="63" spans="1:24" x14ac:dyDescent="0.25">
      <c r="B63" s="101" t="s">
        <v>39</v>
      </c>
      <c r="C63" s="99">
        <v>7</v>
      </c>
      <c r="D63" s="106">
        <f>+'Bilanci Alpha'!D70</f>
        <v>10000000</v>
      </c>
      <c r="E63" s="106">
        <f>+'Bilanci Alpha'!E70</f>
        <v>10000000</v>
      </c>
      <c r="F63" s="106">
        <f>+'Bilanci Alpha'!F70</f>
        <v>10000000</v>
      </c>
      <c r="G63" s="106">
        <f>+'Bilanci Alpha'!G70</f>
        <v>10000000</v>
      </c>
      <c r="H63" s="106">
        <f>+'Bilanci Alpha'!H70</f>
        <v>10000000</v>
      </c>
      <c r="I63" s="106">
        <f>+'Bilanci Alpha'!I70</f>
        <v>10000000</v>
      </c>
      <c r="J63" s="106">
        <f>+'Bilanci Alpha'!J70</f>
        <v>10000000</v>
      </c>
      <c r="K63" s="106">
        <f>+'Bilanci Alpha'!K70</f>
        <v>10000000</v>
      </c>
      <c r="L63" s="106">
        <f>+'Bilanci Alpha'!L70</f>
        <v>10000000</v>
      </c>
      <c r="M63" s="106">
        <f>+'Bilanci Alpha'!M70</f>
        <v>10000000</v>
      </c>
      <c r="N63" s="106">
        <f>+'Bilanci Alpha'!N70</f>
        <v>7800000</v>
      </c>
      <c r="O63" s="106">
        <f>+'Bilanci Alpha'!O70</f>
        <v>7800000</v>
      </c>
      <c r="P63" s="106">
        <f>+'Bilanci Alpha'!P70</f>
        <v>7800000</v>
      </c>
      <c r="R63" s="106">
        <v>100000</v>
      </c>
      <c r="S63" s="108"/>
      <c r="T63" s="106">
        <v>100000</v>
      </c>
    </row>
    <row r="64" spans="1:24" x14ac:dyDescent="0.25">
      <c r="B64" s="101" t="s">
        <v>429</v>
      </c>
      <c r="C64" s="99">
        <v>7</v>
      </c>
      <c r="D64" s="106">
        <f>+'Bilanci Alpha'!D71</f>
        <v>0</v>
      </c>
      <c r="E64" s="106">
        <f>+'Bilanci Alpha'!E71</f>
        <v>0</v>
      </c>
      <c r="F64" s="106">
        <f>+'Bilanci Alpha'!F71</f>
        <v>0</v>
      </c>
      <c r="G64" s="106">
        <f>+'Bilanci Alpha'!G71</f>
        <v>0</v>
      </c>
      <c r="H64" s="106">
        <f>+'Bilanci Alpha'!H71</f>
        <v>0</v>
      </c>
      <c r="I64" s="106">
        <f>+'Bilanci Alpha'!I71</f>
        <v>0</v>
      </c>
      <c r="J64" s="106">
        <f>+'Bilanci Alpha'!J71</f>
        <v>0</v>
      </c>
      <c r="K64" s="106">
        <f>+'Bilanci Alpha'!K71</f>
        <v>0</v>
      </c>
      <c r="L64" s="106">
        <f>+'Bilanci Alpha'!L71</f>
        <v>0</v>
      </c>
      <c r="M64" s="106">
        <f>+'Bilanci Alpha'!M71</f>
        <v>0</v>
      </c>
      <c r="N64" s="106">
        <f>+'Bilanci Alpha'!N71</f>
        <v>0</v>
      </c>
      <c r="O64" s="106">
        <f>+'Bilanci Alpha'!O71</f>
        <v>0</v>
      </c>
      <c r="P64" s="106">
        <f>+'Bilanci Alpha'!P71</f>
        <v>0</v>
      </c>
      <c r="R64" s="110">
        <v>0</v>
      </c>
      <c r="S64" s="108"/>
      <c r="T64" s="110">
        <v>0</v>
      </c>
    </row>
    <row r="65" spans="2:23" x14ac:dyDescent="0.25">
      <c r="B65" s="101" t="s">
        <v>72</v>
      </c>
      <c r="D65" s="110">
        <f>+'Bilanci Alpha'!D75</f>
        <v>615340</v>
      </c>
      <c r="E65" s="110">
        <f>+'Bilanci Alpha'!E75</f>
        <v>615340</v>
      </c>
      <c r="F65" s="110">
        <f>+'Bilanci Alpha'!F75</f>
        <v>615340</v>
      </c>
      <c r="G65" s="110">
        <f>+'Bilanci Alpha'!G75</f>
        <v>615340</v>
      </c>
      <c r="H65" s="110">
        <f>+'Bilanci Alpha'!H75</f>
        <v>615340</v>
      </c>
      <c r="I65" s="110">
        <f>+'Bilanci Alpha'!I75</f>
        <v>615340</v>
      </c>
      <c r="J65" s="110">
        <f>+'Bilanci Alpha'!J75</f>
        <v>615340</v>
      </c>
      <c r="K65" s="110">
        <f>+'Bilanci Alpha'!K75</f>
        <v>615340</v>
      </c>
      <c r="L65" s="110">
        <f>+'Bilanci Alpha'!L75</f>
        <v>615340</v>
      </c>
      <c r="M65" s="110">
        <f>+'Bilanci Alpha'!M75</f>
        <v>615340</v>
      </c>
      <c r="N65" s="110">
        <f>+'Bilanci Alpha'!N75</f>
        <v>55544</v>
      </c>
      <c r="O65" s="110">
        <f>+'Bilanci Alpha'!O75</f>
        <v>55544</v>
      </c>
      <c r="P65" s="110">
        <f>+'Bilanci Alpha'!P75</f>
        <v>55544</v>
      </c>
      <c r="R65" s="110">
        <f>+'Bilanci Alpha'!Q75</f>
        <v>20000</v>
      </c>
      <c r="S65" s="108"/>
      <c r="T65" s="110">
        <f>+'Bilanci Alpha'!R75</f>
        <v>20000</v>
      </c>
      <c r="W65" s="116"/>
    </row>
    <row r="66" spans="2:23" x14ac:dyDescent="0.25">
      <c r="B66" s="101" t="s">
        <v>73</v>
      </c>
      <c r="D66" s="110">
        <f>+'Bilanci Alpha'!D74</f>
        <v>13000</v>
      </c>
      <c r="E66" s="110">
        <f>+'Bilanci Alpha'!E74</f>
        <v>13000</v>
      </c>
      <c r="F66" s="110">
        <f>+'Bilanci Alpha'!F74</f>
        <v>13000</v>
      </c>
      <c r="G66" s="110">
        <f>+'Bilanci Alpha'!G74</f>
        <v>13000</v>
      </c>
      <c r="H66" s="110">
        <f>+'Bilanci Alpha'!H74</f>
        <v>13000</v>
      </c>
      <c r="I66" s="110">
        <f>+'Bilanci Alpha'!I74</f>
        <v>13000</v>
      </c>
      <c r="J66" s="110">
        <f>+'Bilanci Alpha'!J74</f>
        <v>13000</v>
      </c>
      <c r="K66" s="110">
        <f>+'Bilanci Alpha'!K74</f>
        <v>13000</v>
      </c>
      <c r="L66" s="110">
        <f>+'Bilanci Alpha'!L74</f>
        <v>13000</v>
      </c>
      <c r="M66" s="110">
        <f>+'Bilanci Alpha'!M74</f>
        <v>13000</v>
      </c>
      <c r="N66" s="110">
        <f>+'Bilanci Alpha'!N74</f>
        <v>13000</v>
      </c>
      <c r="O66" s="110">
        <f>+'Bilanci Alpha'!O74</f>
        <v>13000</v>
      </c>
      <c r="P66" s="110">
        <f>+'Bilanci Alpha'!P74</f>
        <v>13000</v>
      </c>
      <c r="R66" s="110">
        <f>+'Bilanci Alpha'!Q74</f>
        <v>13000</v>
      </c>
      <c r="S66" s="108"/>
      <c r="T66" s="110">
        <f>+'Bilanci Alpha'!R74</f>
        <v>13000</v>
      </c>
    </row>
    <row r="67" spans="2:23" x14ac:dyDescent="0.25">
      <c r="B67" s="101" t="s">
        <v>9</v>
      </c>
      <c r="D67" s="110">
        <f>+'Bilanci Alpha'!D76</f>
        <v>0</v>
      </c>
      <c r="E67" s="110">
        <f>+'Bilanci Alpha'!E76</f>
        <v>0</v>
      </c>
      <c r="F67" s="110">
        <f>+'Bilanci Alpha'!F76</f>
        <v>0</v>
      </c>
      <c r="G67" s="110">
        <f>+'Bilanci Alpha'!G76</f>
        <v>0</v>
      </c>
      <c r="H67" s="110">
        <f>+'Bilanci Alpha'!H76</f>
        <v>0</v>
      </c>
      <c r="I67" s="110">
        <f>+'Bilanci Alpha'!I76</f>
        <v>0</v>
      </c>
      <c r="J67" s="110">
        <f>+'Bilanci Alpha'!J76</f>
        <v>0</v>
      </c>
      <c r="K67" s="110">
        <f>+'Bilanci Alpha'!K76</f>
        <v>0</v>
      </c>
      <c r="L67" s="110">
        <f>+'Bilanci Alpha'!L76</f>
        <v>0</v>
      </c>
      <c r="M67" s="110">
        <f>+'Bilanci Alpha'!M76</f>
        <v>0</v>
      </c>
      <c r="N67" s="110">
        <f>+'Bilanci Alpha'!N76</f>
        <v>0</v>
      </c>
      <c r="O67" s="110">
        <f>+'Bilanci Alpha'!O76</f>
        <v>0</v>
      </c>
      <c r="P67" s="110">
        <f>+'Bilanci Alpha'!P76</f>
        <v>0</v>
      </c>
      <c r="R67" s="110">
        <f>+'Bilanci Alpha'!Q76</f>
        <v>0</v>
      </c>
      <c r="S67" s="108"/>
      <c r="T67" s="110">
        <f>+'Bilanci Alpha'!R76</f>
        <v>0</v>
      </c>
    </row>
    <row r="68" spans="2:23" x14ac:dyDescent="0.25">
      <c r="B68" s="101" t="s">
        <v>74</v>
      </c>
      <c r="C68" s="99">
        <v>7</v>
      </c>
      <c r="D68" s="106">
        <f>+'Bilanci Alpha'!D77</f>
        <v>34567025.159999996</v>
      </c>
      <c r="E68" s="106">
        <f>+'Bilanci Alpha'!E77</f>
        <v>30242765.709999997</v>
      </c>
      <c r="F68" s="106">
        <f>+'Bilanci Alpha'!F77</f>
        <v>23088725.927499995</v>
      </c>
      <c r="G68" s="106">
        <f>+'Bilanci Alpha'!G77</f>
        <v>15879567.377499994</v>
      </c>
      <c r="H68" s="106">
        <f>+'Bilanci Alpha'!H77</f>
        <v>13456015.377499994</v>
      </c>
      <c r="I68" s="106">
        <f>+'Bilanci Alpha'!I77</f>
        <v>12048943.127499994</v>
      </c>
      <c r="J68" s="106">
        <f>+'Bilanci Alpha'!J77</f>
        <v>9369579.8000000007</v>
      </c>
      <c r="K68" s="106">
        <f>+'Bilanci Alpha'!K77</f>
        <v>5924093</v>
      </c>
      <c r="L68" s="106">
        <f>+'Bilanci Alpha'!L77</f>
        <v>3257690</v>
      </c>
      <c r="M68" s="106">
        <f>+'Bilanci Alpha'!M77</f>
        <v>0</v>
      </c>
      <c r="N68" s="106">
        <f>+'Bilanci Alpha'!N77</f>
        <v>0</v>
      </c>
      <c r="O68" s="106">
        <f>+'Bilanci Alpha'!O77</f>
        <v>2211664</v>
      </c>
      <c r="P68" s="106">
        <f>+'Bilanci Alpha'!P77</f>
        <v>0</v>
      </c>
      <c r="R68" s="106">
        <f>+'Bilanci Alpha'!Q77</f>
        <v>5959059</v>
      </c>
      <c r="S68" s="108"/>
      <c r="T68" s="106">
        <f>+'Bilanci Alpha'!R77</f>
        <v>3934495</v>
      </c>
    </row>
    <row r="69" spans="2:23" x14ac:dyDescent="0.25">
      <c r="B69" s="101" t="s">
        <v>75</v>
      </c>
      <c r="C69" s="99">
        <v>7</v>
      </c>
      <c r="D69" s="106">
        <f>+'Bilanci Alpha'!D78</f>
        <v>3836331.45</v>
      </c>
      <c r="E69" s="106">
        <f>+'Bilanci Alpha'!E78</f>
        <v>4324259.45</v>
      </c>
      <c r="F69" s="106">
        <f>+'Bilanci Alpha'!F78</f>
        <v>7154039.7825000025</v>
      </c>
      <c r="G69" s="106">
        <f>+'Bilanci Alpha'!G78</f>
        <v>7209158.5499999998</v>
      </c>
      <c r="H69" s="106">
        <f>+'Bilanci Alpha'!H78</f>
        <v>2423552</v>
      </c>
      <c r="I69" s="106">
        <f>+'Bilanci Alpha'!I78</f>
        <v>1407072.25</v>
      </c>
      <c r="J69" s="106">
        <f>+'Bilanci Alpha'!J78</f>
        <v>2679363.3274999922</v>
      </c>
      <c r="K69" s="106">
        <f>+'Bilanci Alpha'!K78</f>
        <v>3445486.8</v>
      </c>
      <c r="L69" s="106">
        <f>+'Bilanci Alpha'!L78</f>
        <v>2666403</v>
      </c>
      <c r="M69" s="106">
        <f>+'Bilanci Alpha'!M78</f>
        <v>3257690</v>
      </c>
      <c r="N69" s="106">
        <f>+'Bilanci Alpha'!N78</f>
        <v>2759796</v>
      </c>
      <c r="O69" s="106">
        <f>+'Bilanci Alpha'!O78</f>
        <v>-2074696</v>
      </c>
      <c r="P69" s="106">
        <f>+'Bilanci Alpha'!P78</f>
        <v>2211664</v>
      </c>
      <c r="R69" s="106">
        <f>+'Bilanci Alpha'!Q78</f>
        <v>1776485</v>
      </c>
      <c r="S69" s="108"/>
      <c r="T69" s="106">
        <f>+'Bilanci Alpha'!R78</f>
        <v>2024564</v>
      </c>
    </row>
    <row r="70" spans="2:23" ht="16.5" thickBot="1" x14ac:dyDescent="0.3">
      <c r="B70" s="112" t="s">
        <v>129</v>
      </c>
      <c r="D70" s="113">
        <f>SUM(D63:D69)</f>
        <v>49031696.609999999</v>
      </c>
      <c r="E70" s="113">
        <f t="shared" ref="E70:J70" si="15">SUM(E63:E69)</f>
        <v>45195365.159999996</v>
      </c>
      <c r="F70" s="113">
        <f t="shared" si="15"/>
        <v>40871105.709999993</v>
      </c>
      <c r="G70" s="113">
        <f t="shared" si="15"/>
        <v>33717065.927499995</v>
      </c>
      <c r="H70" s="113">
        <f t="shared" si="15"/>
        <v>26507907.377499994</v>
      </c>
      <c r="I70" s="113">
        <f t="shared" si="15"/>
        <v>24084355.377499994</v>
      </c>
      <c r="J70" s="113">
        <f t="shared" si="15"/>
        <v>22677283.127499994</v>
      </c>
      <c r="K70" s="113">
        <f t="shared" ref="K70:P70" si="16">SUM(K63:K69)</f>
        <v>19997919.800000001</v>
      </c>
      <c r="L70" s="113">
        <f t="shared" si="16"/>
        <v>16552433</v>
      </c>
      <c r="M70" s="113">
        <f t="shared" si="16"/>
        <v>13886030</v>
      </c>
      <c r="N70" s="113">
        <f t="shared" si="16"/>
        <v>10628340</v>
      </c>
      <c r="O70" s="113">
        <f t="shared" si="16"/>
        <v>8005512</v>
      </c>
      <c r="P70" s="113">
        <f t="shared" si="16"/>
        <v>10080208</v>
      </c>
      <c r="R70" s="113">
        <f>SUM(R63:R69)</f>
        <v>7868544</v>
      </c>
      <c r="S70" s="108"/>
      <c r="T70" s="113">
        <f>SUM(T63:T69)</f>
        <v>6092059</v>
      </c>
    </row>
    <row r="71" spans="2:23" ht="16.5" thickTop="1" x14ac:dyDescent="0.25">
      <c r="B71" s="101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R71" s="110"/>
      <c r="T71" s="110"/>
    </row>
    <row r="72" spans="2:23" x14ac:dyDescent="0.25">
      <c r="B72" s="112" t="s">
        <v>77</v>
      </c>
      <c r="D72" s="114">
        <f>+D70+D60+D54</f>
        <v>54212281.609999999</v>
      </c>
      <c r="E72" s="114">
        <f t="shared" ref="E72:J72" si="17">+E70+E60+E54</f>
        <v>57086712</v>
      </c>
      <c r="F72" s="114">
        <f t="shared" si="17"/>
        <v>45449523.709999993</v>
      </c>
      <c r="G72" s="114">
        <f t="shared" si="17"/>
        <v>40861119.277499996</v>
      </c>
      <c r="H72" s="114">
        <f t="shared" si="17"/>
        <v>57473255.377499998</v>
      </c>
      <c r="I72" s="114">
        <f t="shared" si="17"/>
        <v>56352274.097499996</v>
      </c>
      <c r="J72" s="114">
        <f t="shared" si="17"/>
        <v>56168178.547499992</v>
      </c>
      <c r="K72" s="114">
        <f t="shared" ref="K72:P72" si="18">+K70+K60+K54</f>
        <v>58231210</v>
      </c>
      <c r="L72" s="114">
        <f t="shared" si="18"/>
        <v>58676555</v>
      </c>
      <c r="M72" s="114">
        <f t="shared" si="18"/>
        <v>55899755</v>
      </c>
      <c r="N72" s="114">
        <f t="shared" si="18"/>
        <v>62876369</v>
      </c>
      <c r="O72" s="114">
        <f t="shared" si="18"/>
        <v>61048234</v>
      </c>
      <c r="P72" s="114">
        <f t="shared" si="18"/>
        <v>48192279</v>
      </c>
      <c r="Q72" s="117"/>
      <c r="R72" s="114">
        <f>+R70+R60+R54</f>
        <v>51076764</v>
      </c>
      <c r="S72" s="108"/>
      <c r="T72" s="114">
        <f>+T70+T60+T54</f>
        <v>54391738</v>
      </c>
      <c r="W72" s="116"/>
    </row>
    <row r="74" spans="2:23" x14ac:dyDescent="0.25">
      <c r="C74" s="112">
        <v>2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T74" s="108"/>
    </row>
    <row r="75" spans="2:23" x14ac:dyDescent="0.25">
      <c r="B75" s="112" t="s">
        <v>638</v>
      </c>
      <c r="C75" s="112"/>
      <c r="D75" s="70" t="s">
        <v>451</v>
      </c>
      <c r="E75" s="70"/>
      <c r="F75" s="70"/>
      <c r="G75" s="70"/>
      <c r="H75" s="70"/>
      <c r="I75" s="70"/>
      <c r="J75" s="70"/>
      <c r="L75" s="70" t="s">
        <v>451</v>
      </c>
      <c r="N75" s="118"/>
      <c r="O75" s="118"/>
      <c r="P75" s="118"/>
      <c r="Q75" s="119" t="s">
        <v>451</v>
      </c>
      <c r="R75" s="118"/>
      <c r="T75" s="118"/>
    </row>
    <row r="76" spans="2:23" x14ac:dyDescent="0.25">
      <c r="B76" s="112"/>
      <c r="C76" s="112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9"/>
      <c r="R76" s="118"/>
      <c r="T76" s="118"/>
    </row>
    <row r="77" spans="2:23" hidden="1" x14ac:dyDescent="0.25">
      <c r="B77" s="99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20"/>
      <c r="R77" s="108"/>
      <c r="T77" s="108"/>
    </row>
    <row r="78" spans="2:23" hidden="1" x14ac:dyDescent="0.25">
      <c r="D78" s="108">
        <f>+D72-D37</f>
        <v>0</v>
      </c>
      <c r="E78" s="108">
        <f t="shared" ref="E78:J78" si="19">+E72-E37</f>
        <v>0</v>
      </c>
      <c r="F78" s="108">
        <f t="shared" si="19"/>
        <v>9.9999457597732544E-4</v>
      </c>
      <c r="G78" s="108">
        <f t="shared" si="19"/>
        <v>-2.5000050663948059E-3</v>
      </c>
      <c r="H78" s="108">
        <f t="shared" si="19"/>
        <v>-2.499997615814209E-3</v>
      </c>
      <c r="I78" s="108">
        <f t="shared" si="19"/>
        <v>-2.5000050663948059E-3</v>
      </c>
      <c r="J78" s="108">
        <f t="shared" si="19"/>
        <v>0</v>
      </c>
      <c r="K78" s="108">
        <f t="shared" ref="K78:P78" si="20">+K72-K37</f>
        <v>0</v>
      </c>
      <c r="L78" s="108">
        <f t="shared" si="20"/>
        <v>0</v>
      </c>
      <c r="M78" s="108">
        <f t="shared" si="20"/>
        <v>0</v>
      </c>
      <c r="N78" s="108">
        <f t="shared" si="20"/>
        <v>0</v>
      </c>
      <c r="O78" s="108">
        <f t="shared" si="20"/>
        <v>0</v>
      </c>
      <c r="P78" s="108">
        <f t="shared" si="20"/>
        <v>0</v>
      </c>
      <c r="R78" s="108">
        <f>+R72-R37</f>
        <v>0</v>
      </c>
      <c r="T78" s="108">
        <f>+T72-T37</f>
        <v>0</v>
      </c>
    </row>
    <row r="79" spans="2:23" hidden="1" x14ac:dyDescent="0.25"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</row>
    <row r="80" spans="2:23" hidden="1" x14ac:dyDescent="0.25"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</row>
    <row r="81" spans="4:17" x14ac:dyDescent="0.25"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</row>
    <row r="82" spans="4:17" x14ac:dyDescent="0.25"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</row>
    <row r="83" spans="4:17" x14ac:dyDescent="0.25"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</row>
  </sheetData>
  <phoneticPr fontId="3" type="noConversion"/>
  <pageMargins left="0.46" right="0.4" top="0.34" bottom="0.3" header="0.22" footer="0.25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U37"/>
  <sheetViews>
    <sheetView tabSelected="1" workbookViewId="0">
      <selection activeCell="E31" sqref="E31"/>
    </sheetView>
  </sheetViews>
  <sheetFormatPr defaultRowHeight="12.75" x14ac:dyDescent="0.2"/>
  <cols>
    <col min="1" max="1" width="3.85546875" style="1" customWidth="1"/>
    <col min="2" max="2" width="46.42578125" style="1" customWidth="1"/>
    <col min="3" max="3" width="7.5703125" style="12" customWidth="1"/>
    <col min="4" max="5" width="15.5703125" style="8" customWidth="1"/>
    <col min="6" max="14" width="15.5703125" style="8" hidden="1" customWidth="1"/>
    <col min="15" max="15" width="16.28515625" style="8" hidden="1" customWidth="1"/>
    <col min="16" max="16" width="15.5703125" style="8" hidden="1" customWidth="1"/>
    <col min="17" max="17" width="4.28515625" style="1" hidden="1" customWidth="1"/>
    <col min="18" max="18" width="14.85546875" style="1" hidden="1" customWidth="1"/>
    <col min="19" max="19" width="14" style="22" customWidth="1"/>
    <col min="20" max="20" width="12.85546875" style="1" bestFit="1" customWidth="1"/>
    <col min="21" max="21" width="11.140625" style="1" bestFit="1" customWidth="1"/>
    <col min="22" max="16384" width="9.140625" style="1"/>
  </cols>
  <sheetData>
    <row r="1" spans="1:20" ht="15.75" x14ac:dyDescent="0.25">
      <c r="A1" s="29" t="s">
        <v>454</v>
      </c>
    </row>
    <row r="2" spans="1:20" ht="15.75" x14ac:dyDescent="0.25">
      <c r="A2" s="14" t="s">
        <v>1060</v>
      </c>
    </row>
    <row r="3" spans="1:20" ht="15.75" x14ac:dyDescent="0.25">
      <c r="A3" s="14" t="s">
        <v>96</v>
      </c>
    </row>
    <row r="4" spans="1:20" ht="15.75" x14ac:dyDescent="0.25">
      <c r="A4" s="14"/>
    </row>
    <row r="5" spans="1:20" ht="26.25" thickBot="1" x14ac:dyDescent="0.25">
      <c r="C5" s="12" t="s">
        <v>449</v>
      </c>
      <c r="D5" s="16" t="s">
        <v>1058</v>
      </c>
      <c r="E5" s="16" t="s">
        <v>1036</v>
      </c>
      <c r="F5" s="16" t="s">
        <v>1014</v>
      </c>
      <c r="G5" s="16" t="s">
        <v>1006</v>
      </c>
      <c r="H5" s="16" t="s">
        <v>942</v>
      </c>
      <c r="I5" s="16" t="s">
        <v>932</v>
      </c>
      <c r="J5" s="16" t="s">
        <v>695</v>
      </c>
      <c r="K5" s="16" t="s">
        <v>650</v>
      </c>
      <c r="L5" s="16" t="s">
        <v>636</v>
      </c>
      <c r="M5" s="16" t="s">
        <v>624</v>
      </c>
      <c r="N5" s="16" t="s">
        <v>582</v>
      </c>
      <c r="O5" s="16" t="s">
        <v>566</v>
      </c>
      <c r="P5" s="16" t="s">
        <v>87</v>
      </c>
      <c r="R5" s="67" t="s">
        <v>450</v>
      </c>
    </row>
    <row r="6" spans="1:20" ht="13.5" thickTop="1" x14ac:dyDescent="0.2"/>
    <row r="8" spans="1:20" x14ac:dyDescent="0.2">
      <c r="B8" s="1" t="s">
        <v>10</v>
      </c>
      <c r="C8" s="12">
        <v>8</v>
      </c>
      <c r="D8" s="8">
        <f>+'Ardh shpenz alpha'!C12</f>
        <v>50231967</v>
      </c>
      <c r="E8" s="8">
        <f>+'Ardh shpenz alpha'!D12</f>
        <v>58722250</v>
      </c>
      <c r="F8" s="8">
        <f>+'Ardh shpenz alpha'!E12</f>
        <v>59129540</v>
      </c>
      <c r="G8" s="8">
        <f>+'Ardh shpenz alpha'!F12</f>
        <v>57068740</v>
      </c>
      <c r="H8" s="8">
        <f>+'Ardh shpenz alpha'!G12</f>
        <v>52066118</v>
      </c>
      <c r="I8" s="8">
        <f>+'Ardh shpenz alpha'!H12</f>
        <v>42903445</v>
      </c>
      <c r="J8" s="8">
        <f>+'Ardh shpenz alpha'!I12</f>
        <v>48894254</v>
      </c>
      <c r="K8" s="8">
        <f>+'Ardh shpenz alpha'!J12</f>
        <v>65177818</v>
      </c>
      <c r="L8" s="8">
        <f>+'Ardh shpenz alpha'!K12</f>
        <v>51876394</v>
      </c>
      <c r="M8" s="8">
        <f>+'Ardh shpenz alpha'!L12</f>
        <v>58505056</v>
      </c>
      <c r="N8" s="8">
        <f>+'Ardh shpenz alpha'!M12</f>
        <v>58073901</v>
      </c>
      <c r="O8" s="8">
        <f>+'Ardh shpenz alpha'!N12</f>
        <v>32770160</v>
      </c>
      <c r="P8" s="8">
        <f>+'Ardh shpenz alpha'!O12</f>
        <v>35253484</v>
      </c>
      <c r="R8" s="8">
        <f>+'Ardh shpenz alpha'!P12</f>
        <v>29587117</v>
      </c>
    </row>
    <row r="9" spans="1:20" x14ac:dyDescent="0.2">
      <c r="B9" s="1" t="s">
        <v>78</v>
      </c>
      <c r="C9" s="12">
        <v>9</v>
      </c>
      <c r="D9" s="8">
        <f>+'Ardh shpenz alpha'!C19</f>
        <v>0</v>
      </c>
      <c r="E9" s="8">
        <f>+'Ardh shpenz alpha'!D19</f>
        <v>0</v>
      </c>
      <c r="F9" s="8">
        <f>+'Ardh shpenz alpha'!E19</f>
        <v>0</v>
      </c>
      <c r="G9" s="8">
        <f>+'Ardh shpenz alpha'!F19</f>
        <v>0</v>
      </c>
      <c r="H9" s="8">
        <f>+'Ardh shpenz alpha'!G19</f>
        <v>0</v>
      </c>
      <c r="I9" s="8">
        <f>+'Ardh shpenz alpha'!H19</f>
        <v>0</v>
      </c>
      <c r="J9" s="8">
        <f>+'Ardh shpenz alpha'!I19</f>
        <v>0</v>
      </c>
      <c r="K9" s="8">
        <f>+'Ardh shpenz alpha'!J19</f>
        <v>0</v>
      </c>
      <c r="L9" s="8">
        <f>+'Ardh shpenz alpha'!K19</f>
        <v>0</v>
      </c>
      <c r="M9" s="8">
        <f>+'Ardh shpenz alpha'!L19</f>
        <v>606051</v>
      </c>
      <c r="N9" s="8">
        <f>+'Ardh shpenz alpha'!M19</f>
        <v>186500</v>
      </c>
      <c r="O9" s="8">
        <f>+'Ardh shpenz alpha'!N19</f>
        <v>0</v>
      </c>
      <c r="P9" s="8">
        <f>+'Ardh shpenz alpha'!O19</f>
        <v>0</v>
      </c>
      <c r="R9" s="8">
        <f>+'Ardh shpenz alpha'!P19</f>
        <v>0</v>
      </c>
    </row>
    <row r="10" spans="1:20" ht="25.5" x14ac:dyDescent="0.2">
      <c r="B10" s="4" t="s">
        <v>79</v>
      </c>
      <c r="R10" s="8"/>
    </row>
    <row r="11" spans="1:20" ht="25.5" x14ac:dyDescent="0.2">
      <c r="B11" s="4" t="s">
        <v>80</v>
      </c>
    </row>
    <row r="12" spans="1:20" x14ac:dyDescent="0.2">
      <c r="B12" s="1" t="s">
        <v>81</v>
      </c>
      <c r="C12" s="12">
        <v>10</v>
      </c>
      <c r="D12" s="8">
        <f>-'Ardh shpenz alpha'!C67-'Ardh shpenz alpha'!C70</f>
        <v>-1114494</v>
      </c>
      <c r="E12" s="8">
        <f>-'Ardh shpenz alpha'!D67-'Ardh shpenz alpha'!D70</f>
        <v>-1167708</v>
      </c>
      <c r="F12" s="8">
        <f>-'Ardh shpenz alpha'!E67-'Ardh shpenz alpha'!E70</f>
        <v>0</v>
      </c>
      <c r="G12" s="8">
        <f>-'Ardh shpenz alpha'!F67-'Ardh shpenz alpha'!F70</f>
        <v>0</v>
      </c>
      <c r="H12" s="8">
        <f>-'Ardh shpenz alpha'!G67-'Ardh shpenz alpha'!G70</f>
        <v>0</v>
      </c>
      <c r="I12" s="8">
        <f>-'Ardh shpenz alpha'!H67-'Ardh shpenz alpha'!H70</f>
        <v>0</v>
      </c>
      <c r="J12" s="8">
        <f>-'Ardh shpenz alpha'!I67-'Ardh shpenz alpha'!I70</f>
        <v>0</v>
      </c>
      <c r="K12" s="8">
        <f>-'Ardh shpenz alpha'!J67-'Ardh shpenz alpha'!J70</f>
        <v>0</v>
      </c>
      <c r="L12" s="8">
        <f>-'Ardh shpenz alpha'!K67-'Ardh shpenz alpha'!K70</f>
        <v>0</v>
      </c>
      <c r="M12" s="8">
        <f>-'Ardh shpenz alpha'!L67-'Ardh shpenz alpha'!L70</f>
        <v>0</v>
      </c>
      <c r="N12" s="8">
        <f>-'Ardh shpenz alpha'!M67-'Ardh shpenz alpha'!M70</f>
        <v>0</v>
      </c>
      <c r="O12" s="8">
        <f>-'Ardh shpenz alpha'!N67-'Ardh shpenz alpha'!N70</f>
        <v>0</v>
      </c>
      <c r="P12" s="8">
        <f>-'Ardh shpenz alpha'!O67-'Ardh shpenz alpha'!O70</f>
        <v>0</v>
      </c>
      <c r="R12" s="8">
        <f>-'Ardh shpenz alpha'!P67-'Ardh shpenz alpha'!P70</f>
        <v>0</v>
      </c>
      <c r="S12" s="28"/>
      <c r="T12" s="8"/>
    </row>
    <row r="13" spans="1:20" x14ac:dyDescent="0.2">
      <c r="B13" s="1" t="s">
        <v>82</v>
      </c>
      <c r="C13" s="12">
        <v>11</v>
      </c>
      <c r="D13" s="8">
        <f>-'Ardh shpenz alpha'!C73-'Ardh shpenz alpha'!C78-'Ardh shpenz alpha'!C79</f>
        <v>-23368985</v>
      </c>
      <c r="E13" s="8">
        <f>-'Ardh shpenz alpha'!D73-'Ardh shpenz alpha'!D78-'Ardh shpenz alpha'!D79</f>
        <v>-30963557</v>
      </c>
      <c r="F13" s="8">
        <f>-'Ardh shpenz alpha'!E73-'Ardh shpenz alpha'!E78-'Ardh shpenz alpha'!E79</f>
        <v>-26823419.550000001</v>
      </c>
      <c r="G13" s="8">
        <f>-'Ardh shpenz alpha'!F73-'Ardh shpenz alpha'!F78-'Ardh shpenz alpha'!F79</f>
        <v>-23501905</v>
      </c>
      <c r="H13" s="8">
        <f>-'Ardh shpenz alpha'!G73-'Ardh shpenz alpha'!G78-'Ardh shpenz alpha'!G79</f>
        <v>-24957931</v>
      </c>
      <c r="I13" s="8">
        <f>-'Ardh shpenz alpha'!H73-'Ardh shpenz alpha'!H78-'Ardh shpenz alpha'!H79</f>
        <v>-24493904</v>
      </c>
      <c r="J13" s="8">
        <f>-'Ardh shpenz alpha'!I73-'Ardh shpenz alpha'!I78-'Ardh shpenz alpha'!I79</f>
        <v>-28643842.900000002</v>
      </c>
      <c r="K13" s="8">
        <f>-'Ardh shpenz alpha'!J73-'Ardh shpenz alpha'!J78-'Ardh shpenz alpha'!J79</f>
        <v>-44540139</v>
      </c>
      <c r="L13" s="8">
        <f>-'Ardh shpenz alpha'!K73-'Ardh shpenz alpha'!K78-'Ardh shpenz alpha'!K79</f>
        <v>-32078963</v>
      </c>
      <c r="M13" s="8">
        <f>-'Ardh shpenz alpha'!L73-'Ardh shpenz alpha'!L78-'Ardh shpenz alpha'!L79</f>
        <v>-39139914</v>
      </c>
      <c r="N13" s="8">
        <f>-'Ardh shpenz alpha'!M73-'Ardh shpenz alpha'!M78-'Ardh shpenz alpha'!M79</f>
        <v>-36365461</v>
      </c>
      <c r="O13" s="8">
        <f>-'Ardh shpenz alpha'!N73-'Ardh shpenz alpha'!N78-'Ardh shpenz alpha'!N79</f>
        <v>-17941801</v>
      </c>
      <c r="P13" s="8">
        <f>-'Ardh shpenz alpha'!O73-'Ardh shpenz alpha'!O78-'Ardh shpenz alpha'!O79</f>
        <v>-18046609</v>
      </c>
      <c r="R13" s="8">
        <f>-'Ardh shpenz alpha'!P73-'Ardh shpenz alpha'!P78-'Ardh shpenz alpha'!P79</f>
        <v>-15327558</v>
      </c>
      <c r="S13" s="27"/>
      <c r="T13" s="8"/>
    </row>
    <row r="14" spans="1:20" x14ac:dyDescent="0.2">
      <c r="B14" s="1" t="s">
        <v>11</v>
      </c>
      <c r="C14" s="12">
        <v>12</v>
      </c>
      <c r="D14" s="8">
        <f>-'Ardh shpenz alpha'!C74</f>
        <v>-16817457</v>
      </c>
      <c r="E14" s="8">
        <f>-'Ardh shpenz alpha'!D74</f>
        <v>-16400622</v>
      </c>
      <c r="F14" s="8">
        <f>-'Ardh shpenz alpha'!E74</f>
        <v>-16440932</v>
      </c>
      <c r="G14" s="8">
        <f>-'Ardh shpenz alpha'!F74</f>
        <v>-16004478</v>
      </c>
      <c r="H14" s="8">
        <f>-'Ardh shpenz alpha'!G74</f>
        <v>-15644947</v>
      </c>
      <c r="I14" s="8">
        <f>-'Ardh shpenz alpha'!H74</f>
        <v>-14810075</v>
      </c>
      <c r="J14" s="8">
        <f>-'Ardh shpenz alpha'!I74</f>
        <v>-14542821</v>
      </c>
      <c r="K14" s="8">
        <f>-'Ardh shpenz alpha'!J74</f>
        <v>-13278113</v>
      </c>
      <c r="L14" s="8">
        <f>-'Ardh shpenz alpha'!K74</f>
        <v>-11492007</v>
      </c>
      <c r="M14" s="8">
        <f>-'Ardh shpenz alpha'!L74</f>
        <v>-11835414</v>
      </c>
      <c r="N14" s="8">
        <f>-'Ardh shpenz alpha'!M74</f>
        <v>-11998410</v>
      </c>
      <c r="O14" s="8">
        <f>-'Ardh shpenz alpha'!N74</f>
        <v>-12770214</v>
      </c>
      <c r="P14" s="8">
        <f>-'Ardh shpenz alpha'!O74</f>
        <v>-11833744</v>
      </c>
      <c r="R14" s="8">
        <f>-'Ardh shpenz alpha'!P74</f>
        <v>-10458094</v>
      </c>
      <c r="S14" s="27"/>
    </row>
    <row r="15" spans="1:20" x14ac:dyDescent="0.2">
      <c r="B15" s="1" t="s">
        <v>83</v>
      </c>
      <c r="D15" s="21">
        <f>-'Ardh shpenz alpha'!C83</f>
        <v>-4148445</v>
      </c>
      <c r="E15" s="21">
        <f>-'Ardh shpenz alpha'!D83</f>
        <v>-4837274</v>
      </c>
      <c r="F15" s="21">
        <f>-'Ardh shpenz alpha'!E83</f>
        <v>-7443636</v>
      </c>
      <c r="G15" s="21">
        <f>-'Ardh shpenz alpha'!F83</f>
        <v>-9080994</v>
      </c>
      <c r="H15" s="21">
        <f>-'Ardh shpenz alpha'!G83</f>
        <v>-8565571</v>
      </c>
      <c r="I15" s="21">
        <f>-'Ardh shpenz alpha'!H83</f>
        <v>-1827548</v>
      </c>
      <c r="J15" s="21">
        <f>-'Ardh shpenz alpha'!I83</f>
        <v>-2556689</v>
      </c>
      <c r="K15" s="21">
        <f>-'Ardh shpenz alpha'!J83</f>
        <v>-3140340</v>
      </c>
      <c r="L15" s="21">
        <f>-'Ardh shpenz alpha'!K83</f>
        <v>-2703978</v>
      </c>
      <c r="M15" s="21">
        <f>-'Ardh shpenz alpha'!L83</f>
        <v>-3766337</v>
      </c>
      <c r="N15" s="21">
        <f>-'Ardh shpenz alpha'!M83</f>
        <v>-6100456</v>
      </c>
      <c r="O15" s="21">
        <f>-'Ardh shpenz alpha'!N83</f>
        <v>-2969786</v>
      </c>
      <c r="P15" s="21">
        <f>-'Ardh shpenz alpha'!O83</f>
        <v>-1142187</v>
      </c>
      <c r="Q15" s="22"/>
      <c r="R15" s="21">
        <f>-'Ardh shpenz alpha'!P83</f>
        <v>-569256</v>
      </c>
      <c r="S15" s="40"/>
    </row>
    <row r="16" spans="1:20" ht="13.5" thickBot="1" x14ac:dyDescent="0.25">
      <c r="D16" s="9">
        <f>SUM(D8:D15)</f>
        <v>4782586</v>
      </c>
      <c r="E16" s="9">
        <f t="shared" ref="E16:J16" si="0">SUM(E8:E15)</f>
        <v>5353089</v>
      </c>
      <c r="F16" s="9">
        <f t="shared" si="0"/>
        <v>8421552.4499999993</v>
      </c>
      <c r="G16" s="9">
        <f t="shared" si="0"/>
        <v>8481363</v>
      </c>
      <c r="H16" s="9">
        <f t="shared" si="0"/>
        <v>2897669</v>
      </c>
      <c r="I16" s="9">
        <f t="shared" si="0"/>
        <v>1771918</v>
      </c>
      <c r="J16" s="9">
        <f t="shared" si="0"/>
        <v>3150901.0999999978</v>
      </c>
      <c r="K16" s="9">
        <f t="shared" ref="K16:P16" si="1">SUM(K8:K15)</f>
        <v>4219226</v>
      </c>
      <c r="L16" s="9">
        <f t="shared" si="1"/>
        <v>5601446</v>
      </c>
      <c r="M16" s="9">
        <f t="shared" si="1"/>
        <v>4369442</v>
      </c>
      <c r="N16" s="9">
        <f t="shared" si="1"/>
        <v>3796074</v>
      </c>
      <c r="O16" s="9">
        <f t="shared" si="1"/>
        <v>-911641</v>
      </c>
      <c r="P16" s="9">
        <f t="shared" si="1"/>
        <v>4230944</v>
      </c>
      <c r="Q16" s="2"/>
      <c r="R16" s="15">
        <f>SUM(R8:R15)</f>
        <v>3232209</v>
      </c>
    </row>
    <row r="17" spans="1:21" s="2" customFormat="1" ht="13.5" thickTop="1" x14ac:dyDescent="0.2">
      <c r="A17" s="3" t="s">
        <v>84</v>
      </c>
      <c r="C17" s="7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S17" s="24"/>
    </row>
    <row r="18" spans="1:21" s="2" customFormat="1" x14ac:dyDescent="0.2">
      <c r="B18" s="5"/>
      <c r="C18" s="7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S18" s="24"/>
    </row>
    <row r="19" spans="1:21" s="2" customFormat="1" ht="25.5" x14ac:dyDescent="0.2">
      <c r="B19" s="4" t="s">
        <v>85</v>
      </c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"/>
      <c r="R19" s="1"/>
      <c r="S19" s="24"/>
    </row>
    <row r="20" spans="1:21" x14ac:dyDescent="0.2">
      <c r="B20" s="4" t="s">
        <v>86</v>
      </c>
    </row>
    <row r="21" spans="1:21" x14ac:dyDescent="0.2">
      <c r="B21" s="1" t="s">
        <v>12</v>
      </c>
      <c r="C21" s="12">
        <v>13</v>
      </c>
      <c r="D21" s="8">
        <f>+'Ardh shpenz alpha'!C36-'Ardh shpenz alpha'!C91</f>
        <v>-265000</v>
      </c>
      <c r="E21" s="8">
        <f>+'Ardh shpenz alpha'!D36-'Ardh shpenz alpha'!D91</f>
        <v>-265000</v>
      </c>
      <c r="F21" s="8">
        <f>+'Ardh shpenz alpha'!E36-'Ardh shpenz alpha'!E91</f>
        <v>0</v>
      </c>
      <c r="G21" s="8">
        <f>+'Ardh shpenz alpha'!F36-'Ardh shpenz alpha'!F91</f>
        <v>0</v>
      </c>
      <c r="H21" s="8">
        <f>+'Ardh shpenz alpha'!G36-'Ardh shpenz alpha'!G91</f>
        <v>0</v>
      </c>
      <c r="I21" s="8">
        <f>+'Ardh shpenz alpha'!H36-'Ardh shpenz alpha'!H91</f>
        <v>-35238</v>
      </c>
      <c r="J21" s="8">
        <f>+'Ardh shpenz alpha'!I36-'Ardh shpenz alpha'!I91</f>
        <v>1291.0500000000002</v>
      </c>
      <c r="K21" s="8">
        <f>+'Ardh shpenz alpha'!J36-'Ardh shpenz alpha'!J91</f>
        <v>-385347</v>
      </c>
      <c r="L21" s="8">
        <f>+'Ardh shpenz alpha'!K36-'Ardh shpenz alpha'!K91</f>
        <v>-2543513</v>
      </c>
      <c r="M21" s="8">
        <f>+'Ardh shpenz alpha'!L36-'Ardh shpenz alpha'!L91</f>
        <v>-738675</v>
      </c>
      <c r="N21" s="8">
        <f>+'Ardh shpenz alpha'!M36-'Ardh shpenz alpha'!M91</f>
        <v>-681718</v>
      </c>
      <c r="O21" s="8">
        <f>+'Ardh shpenz alpha'!N36-'Ardh shpenz alpha'!N91</f>
        <v>-891541</v>
      </c>
      <c r="P21" s="8">
        <f>+'Ardh shpenz alpha'!O36-'Ardh shpenz alpha'!O91</f>
        <v>-1674363</v>
      </c>
      <c r="R21" s="8">
        <f>+'Ardh shpenz alpha'!P36-'Ardh shpenz alpha'!P91</f>
        <v>-1011603</v>
      </c>
      <c r="T21" s="8"/>
      <c r="U21" s="8"/>
    </row>
    <row r="22" spans="1:21" x14ac:dyDescent="0.2">
      <c r="T22" s="8"/>
      <c r="U22" s="8"/>
    </row>
    <row r="23" spans="1:21" ht="13.5" thickBot="1" x14ac:dyDescent="0.25">
      <c r="B23" s="6" t="s">
        <v>13</v>
      </c>
      <c r="C23" s="13"/>
      <c r="D23" s="23">
        <f>+D16+D21</f>
        <v>4517586</v>
      </c>
      <c r="E23" s="23">
        <f t="shared" ref="E23:J23" si="2">+E16+E21</f>
        <v>5088089</v>
      </c>
      <c r="F23" s="23">
        <f t="shared" si="2"/>
        <v>8421552.4499999993</v>
      </c>
      <c r="G23" s="23">
        <f t="shared" si="2"/>
        <v>8481363</v>
      </c>
      <c r="H23" s="23">
        <f t="shared" si="2"/>
        <v>2897669</v>
      </c>
      <c r="I23" s="23">
        <f t="shared" si="2"/>
        <v>1736680</v>
      </c>
      <c r="J23" s="23">
        <f t="shared" si="2"/>
        <v>3152192.1499999976</v>
      </c>
      <c r="K23" s="23">
        <f t="shared" ref="K23:P23" si="3">+K16+K21</f>
        <v>3833879</v>
      </c>
      <c r="L23" s="23">
        <f t="shared" si="3"/>
        <v>3057933</v>
      </c>
      <c r="M23" s="23">
        <f t="shared" si="3"/>
        <v>3630767</v>
      </c>
      <c r="N23" s="23">
        <f t="shared" si="3"/>
        <v>3114356</v>
      </c>
      <c r="O23" s="23">
        <f t="shared" si="3"/>
        <v>-1803182</v>
      </c>
      <c r="P23" s="23">
        <f t="shared" si="3"/>
        <v>2556581</v>
      </c>
      <c r="Q23" s="24"/>
      <c r="R23" s="23">
        <f>+R16+R21</f>
        <v>2220606</v>
      </c>
    </row>
    <row r="24" spans="1:21" s="2" customFormat="1" ht="13.5" thickTop="1" x14ac:dyDescent="0.2">
      <c r="C24" s="13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S24" s="24"/>
    </row>
    <row r="25" spans="1:21" s="2" customFormat="1" x14ac:dyDescent="0.2">
      <c r="B25" s="5" t="s">
        <v>14</v>
      </c>
      <c r="C25" s="13">
        <v>14</v>
      </c>
      <c r="D25" s="10">
        <f>-'Ardh shpenz alpha'!C104</f>
        <v>-681254.54999999993</v>
      </c>
      <c r="E25" s="10">
        <f>-'Ardh shpenz alpha'!D104</f>
        <v>-763829.54999999993</v>
      </c>
      <c r="F25" s="10">
        <f>-'Ardh shpenz alpha'!E104</f>
        <v>-1267512.6675000004</v>
      </c>
      <c r="G25" s="10">
        <f>-'Ardh shpenz alpha'!F104</f>
        <v>-1272204.45</v>
      </c>
      <c r="H25" s="10">
        <f>-'Ardh shpenz alpha'!G104</f>
        <v>-474117</v>
      </c>
      <c r="I25" s="10">
        <f>-'Ardh shpenz alpha'!H104</f>
        <v>-329607.75</v>
      </c>
      <c r="J25" s="10">
        <f>-'Ardh shpenz alpha'!I104</f>
        <v>-472828.82249999861</v>
      </c>
      <c r="K25" s="10">
        <f>-'Ardh shpenz alpha'!J104</f>
        <v>-388392.2</v>
      </c>
      <c r="L25" s="10">
        <f>-'Ardh shpenz alpha'!K104</f>
        <v>-391530</v>
      </c>
      <c r="M25" s="10">
        <f>-'Ardh shpenz alpha'!L104</f>
        <v>-373077</v>
      </c>
      <c r="N25" s="10">
        <f>-'Ardh shpenz alpha'!M104</f>
        <v>-354559</v>
      </c>
      <c r="O25" s="10">
        <f>-'Ardh shpenz alpha'!N104</f>
        <v>-271514</v>
      </c>
      <c r="P25" s="10">
        <f>-'Ardh shpenz alpha'!O104</f>
        <v>-344917</v>
      </c>
      <c r="R25" s="10">
        <f>-'Ardh shpenz alpha'!P104</f>
        <v>-444121</v>
      </c>
      <c r="S25" s="24"/>
    </row>
    <row r="26" spans="1:21" s="2" customFormat="1" x14ac:dyDescent="0.2">
      <c r="B26" s="5"/>
      <c r="C26" s="13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S26" s="24"/>
    </row>
    <row r="27" spans="1:21" s="2" customFormat="1" ht="13.5" thickBot="1" x14ac:dyDescent="0.25">
      <c r="B27" s="6" t="s">
        <v>15</v>
      </c>
      <c r="C27" s="7"/>
      <c r="D27" s="15">
        <f>+D23+D25</f>
        <v>3836331.45</v>
      </c>
      <c r="E27" s="15">
        <f>+E23+E25</f>
        <v>4324259.45</v>
      </c>
      <c r="F27" s="15">
        <f>+F23+F25</f>
        <v>7154039.7824999988</v>
      </c>
      <c r="G27" s="15">
        <f>+G23+G25</f>
        <v>7209158.5499999998</v>
      </c>
      <c r="H27" s="15">
        <f t="shared" ref="H27:M27" si="4">+H23+H25</f>
        <v>2423552</v>
      </c>
      <c r="I27" s="15">
        <f t="shared" si="4"/>
        <v>1407072.25</v>
      </c>
      <c r="J27" s="15">
        <f t="shared" si="4"/>
        <v>2679363.3274999987</v>
      </c>
      <c r="K27" s="15">
        <f t="shared" si="4"/>
        <v>3445486.8</v>
      </c>
      <c r="L27" s="15">
        <f t="shared" si="4"/>
        <v>2666403</v>
      </c>
      <c r="M27" s="15">
        <f t="shared" si="4"/>
        <v>3257690</v>
      </c>
      <c r="N27" s="15">
        <f>+N23+N25-1</f>
        <v>2759796</v>
      </c>
      <c r="O27" s="15">
        <f>+O23+O25</f>
        <v>-2074696</v>
      </c>
      <c r="P27" s="15">
        <f>+P23+P25</f>
        <v>2211664</v>
      </c>
      <c r="R27" s="15">
        <f>+R23+R25</f>
        <v>1776485</v>
      </c>
      <c r="S27" s="24"/>
    </row>
    <row r="28" spans="1:21" s="2" customFormat="1" ht="13.5" thickTop="1" x14ac:dyDescent="0.2"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S28" s="24"/>
    </row>
    <row r="29" spans="1:21" s="2" customFormat="1" x14ac:dyDescent="0.2"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S29" s="24"/>
    </row>
    <row r="30" spans="1:21" s="2" customFormat="1" x14ac:dyDescent="0.2"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S30" s="24"/>
    </row>
    <row r="31" spans="1:21" s="2" customFormat="1" x14ac:dyDescent="0.2"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S31" s="24"/>
    </row>
    <row r="32" spans="1:21" s="2" customFormat="1" x14ac:dyDescent="0.2"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S32" s="24"/>
    </row>
    <row r="33" spans="2:19" s="2" customFormat="1" x14ac:dyDescent="0.2"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S33" s="24"/>
    </row>
    <row r="34" spans="2:19" s="2" customFormat="1" x14ac:dyDescent="0.2">
      <c r="C34" s="422">
        <v>3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S34" s="24"/>
    </row>
    <row r="35" spans="2:19" s="2" customFormat="1" x14ac:dyDescent="0.2">
      <c r="C35" s="7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"/>
      <c r="R35" s="8"/>
      <c r="S35" s="24"/>
    </row>
    <row r="36" spans="2:19" ht="14.25" x14ac:dyDescent="0.2">
      <c r="B36" s="19" t="s">
        <v>452</v>
      </c>
      <c r="C36" s="19"/>
      <c r="D36" s="70" t="s">
        <v>451</v>
      </c>
      <c r="E36" s="70"/>
      <c r="F36" s="70"/>
      <c r="G36" s="70"/>
      <c r="H36" s="70"/>
      <c r="M36" s="70"/>
      <c r="N36" s="70"/>
      <c r="P36" s="69"/>
      <c r="R36" s="69"/>
    </row>
    <row r="37" spans="2:19" ht="15" x14ac:dyDescent="0.25">
      <c r="B37" s="18"/>
      <c r="C37" s="18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68"/>
      <c r="R37" s="20"/>
    </row>
  </sheetData>
  <phoneticPr fontId="3" type="noConversion"/>
  <pageMargins left="0.45" right="0.55000000000000004" top="0.86" bottom="0.9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1"/>
  <sheetViews>
    <sheetView zoomScaleNormal="100" workbookViewId="0">
      <selection activeCell="E31" sqref="E31"/>
    </sheetView>
  </sheetViews>
  <sheetFormatPr defaultRowHeight="15.75" x14ac:dyDescent="0.25"/>
  <cols>
    <col min="1" max="1" width="3.140625" style="101" customWidth="1"/>
    <col min="2" max="2" width="62.7109375" style="101" customWidth="1"/>
    <col min="3" max="3" width="1.5703125" style="101" customWidth="1"/>
    <col min="4" max="5" width="18.7109375" style="122" customWidth="1"/>
    <col min="6" max="14" width="18.7109375" style="122" hidden="1" customWidth="1"/>
    <col min="15" max="15" width="19.7109375" style="122" hidden="1" customWidth="1"/>
    <col min="16" max="16" width="15.7109375" style="122" hidden="1" customWidth="1"/>
    <col min="17" max="17" width="3.28515625" style="123" hidden="1" customWidth="1"/>
    <col min="18" max="18" width="16.28515625" style="122" hidden="1" customWidth="1"/>
    <col min="19" max="19" width="2.85546875" style="101" customWidth="1"/>
    <col min="20" max="20" width="13.140625" style="100" customWidth="1"/>
    <col min="21" max="21" width="13.140625" style="100" bestFit="1" customWidth="1"/>
    <col min="22" max="22" width="13.85546875" style="101" bestFit="1" customWidth="1"/>
    <col min="23" max="23" width="9.85546875" style="101" bestFit="1" customWidth="1"/>
    <col min="24" max="24" width="9.140625" style="101"/>
    <col min="25" max="25" width="13.140625" style="101" bestFit="1" customWidth="1"/>
    <col min="26" max="16384" width="9.140625" style="101"/>
  </cols>
  <sheetData>
    <row r="1" spans="1:24" x14ac:dyDescent="0.25">
      <c r="A1" s="29" t="s">
        <v>453</v>
      </c>
    </row>
    <row r="2" spans="1:24" x14ac:dyDescent="0.25">
      <c r="A2" s="124" t="s">
        <v>25</v>
      </c>
    </row>
    <row r="3" spans="1:24" s="98" customFormat="1" x14ac:dyDescent="0.25">
      <c r="A3" s="125" t="s">
        <v>1062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7"/>
      <c r="R3" s="126"/>
      <c r="T3" s="121"/>
      <c r="U3" s="121"/>
    </row>
    <row r="4" spans="1:24" s="98" customFormat="1" x14ac:dyDescent="0.25">
      <c r="A4" s="102" t="s">
        <v>96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7"/>
      <c r="R4" s="126"/>
      <c r="T4" s="121"/>
      <c r="U4" s="121"/>
    </row>
    <row r="5" spans="1:24" s="98" customFormat="1" x14ac:dyDescent="0.25"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7"/>
      <c r="R5" s="129"/>
      <c r="T5" s="121"/>
      <c r="U5" s="121"/>
    </row>
    <row r="6" spans="1:24" s="98" customFormat="1" ht="16.5" customHeight="1" thickBot="1" x14ac:dyDescent="0.3">
      <c r="B6" s="128"/>
      <c r="C6" s="128"/>
      <c r="D6" s="130" t="s">
        <v>1061</v>
      </c>
      <c r="E6" s="130" t="s">
        <v>1037</v>
      </c>
      <c r="F6" s="130" t="s">
        <v>1019</v>
      </c>
      <c r="G6" s="130" t="s">
        <v>1007</v>
      </c>
      <c r="H6" s="130" t="s">
        <v>943</v>
      </c>
      <c r="I6" s="130" t="s">
        <v>933</v>
      </c>
      <c r="J6" s="130" t="s">
        <v>696</v>
      </c>
      <c r="K6" s="130" t="s">
        <v>651</v>
      </c>
      <c r="L6" s="130" t="s">
        <v>637</v>
      </c>
      <c r="M6" s="130" t="s">
        <v>625</v>
      </c>
      <c r="N6" s="130" t="s">
        <v>583</v>
      </c>
      <c r="O6" s="130" t="s">
        <v>567</v>
      </c>
      <c r="P6" s="130" t="s">
        <v>93</v>
      </c>
      <c r="Q6" s="127"/>
      <c r="R6" s="130" t="s">
        <v>95</v>
      </c>
      <c r="T6" s="121"/>
      <c r="U6" s="121"/>
    </row>
    <row r="7" spans="1:24" s="98" customFormat="1" ht="16.5" thickTop="1" x14ac:dyDescent="0.25">
      <c r="A7" s="103" t="s">
        <v>26</v>
      </c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7"/>
      <c r="R7" s="129"/>
      <c r="T7" s="121"/>
      <c r="U7" s="121"/>
    </row>
    <row r="8" spans="1:24" s="98" customFormat="1" x14ac:dyDescent="0.25">
      <c r="B8" s="98" t="s">
        <v>27</v>
      </c>
      <c r="D8" s="131">
        <f>+'ardh-shpenz'!D23</f>
        <v>4517586</v>
      </c>
      <c r="E8" s="131">
        <f>+'ardh-shpenz'!E23</f>
        <v>5088089</v>
      </c>
      <c r="F8" s="131">
        <f>+'ardh-shpenz'!F23</f>
        <v>8421552.4499999993</v>
      </c>
      <c r="G8" s="131">
        <f>+'ardh-shpenz'!G23</f>
        <v>8481363</v>
      </c>
      <c r="H8" s="131">
        <f>+'ardh-shpenz'!H23</f>
        <v>2897669</v>
      </c>
      <c r="I8" s="131">
        <f>+'ardh-shpenz'!I23</f>
        <v>1736680</v>
      </c>
      <c r="J8" s="131">
        <f>+'ardh-shpenz'!J23</f>
        <v>3152192.1499999976</v>
      </c>
      <c r="K8" s="131">
        <f>+'ardh-shpenz'!K23</f>
        <v>3833879</v>
      </c>
      <c r="L8" s="131">
        <f>+'ardh-shpenz'!L23</f>
        <v>3057933</v>
      </c>
      <c r="M8" s="131">
        <f>+'ardh-shpenz'!M23</f>
        <v>3630767</v>
      </c>
      <c r="N8" s="131">
        <f>+'ardh-shpenz'!N23</f>
        <v>3114356</v>
      </c>
      <c r="O8" s="131">
        <f>+'ardh-shpenz'!O23</f>
        <v>-1803182</v>
      </c>
      <c r="P8" s="131">
        <f>+'ardh-shpenz'!P23</f>
        <v>2556581</v>
      </c>
      <c r="Q8" s="127"/>
      <c r="R8" s="131">
        <f>+'ardh-shpenz'!R23</f>
        <v>2220606</v>
      </c>
      <c r="T8" s="121"/>
      <c r="U8" s="121"/>
    </row>
    <row r="9" spans="1:24" s="98" customFormat="1" x14ac:dyDescent="0.25">
      <c r="B9" s="98" t="s">
        <v>28</v>
      </c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27"/>
      <c r="R9" s="126"/>
      <c r="T9" s="121"/>
      <c r="U9" s="121"/>
    </row>
    <row r="10" spans="1:24" s="98" customFormat="1" x14ac:dyDescent="0.25">
      <c r="B10" s="98" t="s">
        <v>29</v>
      </c>
      <c r="D10" s="131">
        <f>-'ardh-shpenz'!D15</f>
        <v>4148445</v>
      </c>
      <c r="E10" s="131">
        <f>-'ardh-shpenz'!E15</f>
        <v>4837274</v>
      </c>
      <c r="F10" s="131">
        <f>-'ardh-shpenz'!F15</f>
        <v>7443636</v>
      </c>
      <c r="G10" s="131">
        <f>-'ardh-shpenz'!G15</f>
        <v>9080994</v>
      </c>
      <c r="H10" s="131">
        <f>-'ardh-shpenz'!H15</f>
        <v>8565571</v>
      </c>
      <c r="I10" s="131">
        <f>-'ardh-shpenz'!I15</f>
        <v>1827548</v>
      </c>
      <c r="J10" s="131">
        <f>-'ardh-shpenz'!J15</f>
        <v>2556689</v>
      </c>
      <c r="K10" s="131">
        <f>-'ardh-shpenz'!K15</f>
        <v>3140340</v>
      </c>
      <c r="L10" s="131">
        <f>-'ardh-shpenz'!L15</f>
        <v>2703978</v>
      </c>
      <c r="M10" s="131">
        <f>-'ardh-shpenz'!M15</f>
        <v>3766337</v>
      </c>
      <c r="N10" s="131">
        <f>-'ardh-shpenz'!N15</f>
        <v>6100456</v>
      </c>
      <c r="O10" s="131">
        <f>-'ardh-shpenz'!O15</f>
        <v>2969786</v>
      </c>
      <c r="P10" s="131">
        <f>-'ardh-shpenz'!P15</f>
        <v>1142187</v>
      </c>
      <c r="Q10" s="127"/>
      <c r="R10" s="131">
        <f>-'ardh-shpenz'!R15</f>
        <v>569256</v>
      </c>
      <c r="T10" s="121"/>
      <c r="U10" s="121"/>
    </row>
    <row r="11" spans="1:24" s="98" customFormat="1" x14ac:dyDescent="0.25">
      <c r="B11" s="98" t="s">
        <v>30</v>
      </c>
      <c r="D11" s="131">
        <f>+BK!E27-BK!D27+BK!D50-BK!E50</f>
        <v>0</v>
      </c>
      <c r="E11" s="131">
        <f>+BK!F27-BK!E27+BK!E50-BK!F50</f>
        <v>0</v>
      </c>
      <c r="F11" s="131">
        <f>+BK!G27-BK!F27+BK!F50-BK!G50</f>
        <v>0</v>
      </c>
      <c r="G11" s="131">
        <f>+BK!H27-BK!G27+BK!G50-BK!H50</f>
        <v>0</v>
      </c>
      <c r="H11" s="131">
        <f>+BK!I27-BK!H27+BK!H50-BK!I50</f>
        <v>0</v>
      </c>
      <c r="I11" s="131">
        <f>+BK!J27-BK!I27+BK!I50-BK!J50</f>
        <v>0</v>
      </c>
      <c r="J11" s="131">
        <f>+BK!K27-BK!J27+BK!J50-BK!K50</f>
        <v>0</v>
      </c>
      <c r="K11" s="131">
        <f>+BK!L27-BK!K27+BK!K50-BK!L50</f>
        <v>0</v>
      </c>
      <c r="L11" s="131">
        <f>+BK!M27-BK!L27+BK!L50-BK!M50</f>
        <v>0</v>
      </c>
      <c r="M11" s="131">
        <f>+BK!N27-BK!M27+BK!M50-BK!N50</f>
        <v>0</v>
      </c>
      <c r="N11" s="131">
        <f>+BK!O27-BK!N27+BK!N50-BK!O50</f>
        <v>0</v>
      </c>
      <c r="O11" s="131">
        <f>+BK!P27-BK!O27+BK!O50-BK!P50</f>
        <v>0</v>
      </c>
      <c r="Q11" s="127"/>
      <c r="R11" s="131">
        <f>+BK!T27-BK!R27+BK!R50-BK!T50</f>
        <v>1647364</v>
      </c>
      <c r="T11" s="121"/>
      <c r="U11" s="121"/>
      <c r="X11" s="131"/>
    </row>
    <row r="12" spans="1:24" s="98" customFormat="1" x14ac:dyDescent="0.25">
      <c r="B12" s="98" t="s">
        <v>31</v>
      </c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31">
        <f>+BK!R27-BK!P27+BK!P50-BK!R50</f>
        <v>7076661</v>
      </c>
      <c r="Q12" s="127"/>
      <c r="R12" s="129"/>
      <c r="T12" s="126"/>
      <c r="U12" s="121"/>
    </row>
    <row r="13" spans="1:24" s="98" customFormat="1" x14ac:dyDescent="0.25">
      <c r="B13" s="98" t="s">
        <v>32</v>
      </c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7"/>
      <c r="R13" s="129"/>
      <c r="T13" s="121"/>
      <c r="U13" s="121"/>
    </row>
    <row r="14" spans="1:24" s="98" customFormat="1" x14ac:dyDescent="0.25">
      <c r="B14" s="128"/>
      <c r="C14" s="128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7"/>
      <c r="R14" s="129"/>
      <c r="T14" s="121"/>
      <c r="U14" s="121"/>
    </row>
    <row r="15" spans="1:24" s="98" customFormat="1" ht="31.5" x14ac:dyDescent="0.25">
      <c r="B15" s="132" t="s">
        <v>88</v>
      </c>
      <c r="C15" s="132"/>
      <c r="D15" s="126">
        <f>+BK!E12-BK!D12+BK!E13-BK!D13+BK!E25-BK!D25+BK!E26-BK!D26</f>
        <v>1028322.4699999988</v>
      </c>
      <c r="E15" s="126">
        <f>+BK!F12-BK!E12+BK!F13-BK!E13+BK!F25-BK!E25+BK!F26-BK!E26</f>
        <v>-14075011.870999999</v>
      </c>
      <c r="F15" s="126">
        <f>+BK!G12-BK!F12+BK!G13-BK!F13+BK!G25-BK!F25+BK!G26-BK!F26</f>
        <v>-7321307.8489999995</v>
      </c>
      <c r="G15" s="126">
        <f>+BK!H12-BK!G12+BK!H13-BK!G13+BK!H25-BK!G25+BK!H26-BK!G26</f>
        <v>7030948.7199999988</v>
      </c>
      <c r="H15" s="126">
        <f>+BK!I12-BK!H12+BK!I13-BK!H13+BK!I25-BK!H25+BK!I26-BK!H26</f>
        <v>-7491365</v>
      </c>
      <c r="I15" s="126">
        <f>+BK!J12-BK!I12+BK!J13-BK!I13+BK!J25-BK!I25+BK!J26-BK!I26</f>
        <v>5409788.1775000012</v>
      </c>
      <c r="J15" s="126">
        <f>+BK!K12-BK!J12+BK!K13-BK!J13+BK!K25-BK!J25+BK!K26-BK!J26</f>
        <v>2719176.8224999988</v>
      </c>
      <c r="K15" s="126">
        <f>+BK!L12-BK!K12+BK!L13-BK!K13+BK!L25-BK!K25+BK!L26-BK!K26</f>
        <v>1529457</v>
      </c>
      <c r="L15" s="126">
        <f>+BK!M12-BK!L12+BK!M13-BK!L13+BK!M25-BK!L25+BK!M26-BK!L26</f>
        <v>-2089664</v>
      </c>
      <c r="M15" s="126">
        <f>+BK!N12-BK!M12+BK!N13-BK!M13+BK!N25-BK!M25+BK!N26-BK!M26</f>
        <v>4776866</v>
      </c>
      <c r="N15" s="126">
        <f>+BK!O12-BK!N12+BK!O13-BK!N13+BK!O25-BK!N25+BK!O26-BK!N26</f>
        <v>-4047871</v>
      </c>
      <c r="O15" s="126">
        <f>+BK!P12-BK!O12+BK!P13-BK!O13+BK!P25-BK!O25+BK!P26-BK!O26</f>
        <v>-13282365</v>
      </c>
      <c r="P15" s="126">
        <f>+BK!R12-BK!P12+BK!R13-BK!P13+BK!R25-BK!P25+BK!R26-BK!P26</f>
        <v>491252</v>
      </c>
      <c r="Q15" s="133"/>
      <c r="R15" s="126">
        <f>+BK!T12-BK!R12+BK!T13-BK!R13+BK!T25-BK!R25+BK!T26-BK!R26</f>
        <v>3386397</v>
      </c>
      <c r="T15" s="121"/>
      <c r="U15" s="121"/>
    </row>
    <row r="16" spans="1:24" s="98" customFormat="1" x14ac:dyDescent="0.25"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34"/>
      <c r="R16" s="129"/>
      <c r="T16" s="121"/>
      <c r="U16" s="121"/>
    </row>
    <row r="17" spans="1:25" s="98" customFormat="1" x14ac:dyDescent="0.25">
      <c r="B17" s="98" t="s">
        <v>33</v>
      </c>
      <c r="D17" s="131">
        <f>+BK!E18+BK!E19+BK!E20+BK!E21+BK!E22-BK!D22-BK!D21-BK!D20-BK!D19-BK!D18</f>
        <v>1114494</v>
      </c>
      <c r="E17" s="131">
        <f>+BK!F18+BK!F19+BK!F20+BK!F21+BK!F22-BK!E22-BK!E21-BK!E20-BK!E19-BK!E18</f>
        <v>-1114494</v>
      </c>
      <c r="F17" s="131">
        <f>+BK!G18+BK!G19+BK!G20+BK!G21+BK!G22-BK!F22-BK!F21-BK!F20-BK!F19-BK!F18</f>
        <v>0</v>
      </c>
      <c r="G17" s="131">
        <f>+BK!H18+BK!H19+BK!H20+BK!H21+BK!H22-BK!G22-BK!G21-BK!G20-BK!G19-BK!G18</f>
        <v>0</v>
      </c>
      <c r="H17" s="131">
        <f>+BK!I18+BK!I19+BK!I20+BK!I21+BK!I22-BK!H22-BK!H21-BK!H20-BK!H19-BK!H18</f>
        <v>0</v>
      </c>
      <c r="I17" s="131">
        <f>+BK!J18+BK!J19+BK!J20+BK!J21+BK!J22-BK!I22-BK!I21-BK!I20-BK!I19-BK!I18</f>
        <v>0</v>
      </c>
      <c r="J17" s="131">
        <f>+BK!K18+BK!K19+BK!K20+BK!K21+BK!K22-BK!J22-BK!J21-BK!J20-BK!J19-BK!J18</f>
        <v>0</v>
      </c>
      <c r="K17" s="131">
        <f>+BK!L18+BK!L19+BK!L20+BK!L21+BK!L22-BK!K22-BK!K21-BK!K20-BK!K19-BK!K18</f>
        <v>0</v>
      </c>
      <c r="L17" s="131">
        <f>+BK!M18+BK!M19+BK!M20+BK!M21+BK!M22-BK!L22-BK!L21-BK!L20-BK!L19-BK!L18</f>
        <v>0</v>
      </c>
      <c r="M17" s="131">
        <f>+BK!N18+BK!N19+BK!N20+BK!N21+BK!N22-BK!M22-BK!M21-BK!M20-BK!M19-BK!M18</f>
        <v>0</v>
      </c>
      <c r="N17" s="131">
        <f>+BK!O18+BK!O19+BK!O20+BK!O21+BK!O22-BK!N22-BK!N21-BK!N20-BK!N19-BK!N18</f>
        <v>0</v>
      </c>
      <c r="O17" s="131">
        <f>+BK!P18+BK!P19+BK!P20+BK!P21+BK!P22-BK!O22-BK!O21-BK!O20-BK!O19-BK!O18</f>
        <v>0</v>
      </c>
      <c r="P17" s="131">
        <f>+BK!R18+BK!R19+BK!R20+BK!R21+BK!R22-BK!P22-BK!P21-BK!P20-BK!P19-BK!P18</f>
        <v>0</v>
      </c>
      <c r="Q17" s="135"/>
      <c r="R17" s="131">
        <f>+BK!T18+BK!T19+BK!T20+BK!T21+BK!T22-BK!R22-BK!R21-BK!R20-BK!R19-BK!R18</f>
        <v>0</v>
      </c>
      <c r="T17" s="121"/>
      <c r="U17" s="121"/>
    </row>
    <row r="18" spans="1:25" s="98" customFormat="1" x14ac:dyDescent="0.25">
      <c r="B18" s="98" t="s">
        <v>130</v>
      </c>
      <c r="D18" s="126">
        <f>BK!D42-BK!E42+BK!D44-BK!E44+BK!D45-BK!E45+BK!D46-BK!E46+BK!D47-BK!E47+BK!D48-BK!E48+BK!D49-BK!E49-D21+'ardh-shpenz'!D25</f>
        <v>-7392016.3899999997</v>
      </c>
      <c r="E18" s="126">
        <f>BK!E42-BK!F42+BK!E44-BK!F44+BK!E45-BK!F45+BK!E46-BK!F46+BK!E47-BK!F47+BK!E48-BK!F48+BK!E49-BK!F49-E21+'ardh-shpenz'!E25</f>
        <v>6549099.29</v>
      </c>
      <c r="F18" s="126">
        <f>BK!F42-BK!G42+BK!F44-BK!G44+BK!F45-BK!G45+BK!F46-BK!G46+BK!F47-BK!G47+BK!F48-BK!G48+BK!F49-BK!G49-F21+'ardh-shpenz'!F25</f>
        <v>-3833148.0175000001</v>
      </c>
      <c r="G18" s="126">
        <f>BK!G42-BK!H42+BK!G44-BK!H44+BK!G45-BK!H45+BK!G46-BK!H46+BK!G47-BK!H47+BK!G48-BK!H48+BK!G49-BK!H49-G21+'ardh-shpenz'!G25</f>
        <v>-25093499.099999998</v>
      </c>
      <c r="H18" s="126">
        <f>BK!H42-BK!I42+BK!H44-BK!I44+BK!H45-BK!I45+BK!H46-BK!I46+BK!H47-BK!I47+BK!H48-BK!I48+BK!H49-BK!I49-H21+'ardh-shpenz'!H25</f>
        <v>-1776687.7200000007</v>
      </c>
      <c r="I18" s="126">
        <f>BK!I42-BK!J42+BK!I44-BK!J44+BK!I45-BK!J45+BK!I46-BK!J46+BK!I47-BK!J47+BK!I48-BK!J48+BK!I49-BK!J49-I21+'ardh-shpenz'!I25</f>
        <v>-1552584.4499999974</v>
      </c>
      <c r="J18" s="126">
        <f>BK!J42-BK!K42+BK!J44-BK!K44+BK!J45-BK!K45+BK!J46-BK!K46+BK!J47-BK!K47+BK!J48-BK!K48+BK!J49-BK!K49-J21+'ardh-shpenz'!J25</f>
        <v>-5215223.6025</v>
      </c>
      <c r="K18" s="126">
        <f>BK!K42-BK!L42+BK!K44-BK!L44+BK!K45-BK!L45+BK!K46-BK!L46+BK!K47-BK!L47+BK!K48-BK!L48+BK!K49-BK!L49-K21+'ardh-shpenz'!K25</f>
        <v>-4279224.0000000009</v>
      </c>
      <c r="L18" s="126">
        <f>BK!L42-BK!M42+BK!L44-BK!M44+BK!L45-BK!M45+BK!L46-BK!M46+BK!L47-BK!M47+BK!L48-BK!M48+BK!L49-BK!M49-L21+'ardh-shpenz'!L25</f>
        <v>-281133</v>
      </c>
      <c r="M18" s="126">
        <f>BK!M42-BK!N42+BK!M44-BK!N44+BK!M45-BK!N45+BK!M46-BK!N46+BK!M47-BK!N47+BK!M48-BK!N48+BK!M49-BK!N49-M21+'ardh-shpenz'!M25</f>
        <v>-10516877</v>
      </c>
      <c r="N18" s="126">
        <f>BK!N42-BK!O42+BK!N44-BK!O44+BK!N45-BK!O45+BK!N46-BK!O46+BK!N47-BK!O47+BK!N48-BK!O48+BK!N49-BK!O49-N21+'ardh-shpenz'!N25</f>
        <v>-882550</v>
      </c>
      <c r="O18" s="126">
        <f>BK!O42-BK!P42+BK!O44-BK!P44+BK!O45-BK!P45+BK!O46-BK!P46+BK!O47-BK!P47+BK!O48-BK!P48+BK!O49-BK!P49-O21+'ardh-shpenz'!O25</f>
        <v>14938267</v>
      </c>
      <c r="P18" s="126">
        <f>BK!P42-BK!R42+BK!P44-BK!R44+BK!P45-BK!R45+BK!P46-BK!R46+BK!P47-BK!R47+BK!P48-BK!R48+BK!P49-BK!R49-P21+'ardh-shpenz'!P25</f>
        <v>-2823848</v>
      </c>
      <c r="Q18" s="133"/>
      <c r="R18" s="126">
        <f>BK!R42-BK!T42+BK!R44-BK!T44+BK!R45-BK!T45+BK!R46-BK!T46+BK!R47-BK!T47+BK!R48-BK!T48+BK!R49-BK!T49-R21+'ardh-shpenz'!R25</f>
        <v>2225664</v>
      </c>
      <c r="T18" s="121"/>
      <c r="U18" s="121"/>
    </row>
    <row r="19" spans="1:25" s="98" customFormat="1" ht="21.75" customHeight="1" x14ac:dyDescent="0.25">
      <c r="B19" s="125" t="s">
        <v>34</v>
      </c>
      <c r="C19" s="125"/>
      <c r="D19" s="136">
        <f>SUM(D8:D18)</f>
        <v>3416831.0799999991</v>
      </c>
      <c r="E19" s="136">
        <f t="shared" ref="E19:J19" si="0">SUM(E8:E18)</f>
        <v>1284956.4190000007</v>
      </c>
      <c r="F19" s="136">
        <f t="shared" si="0"/>
        <v>4710732.5834999997</v>
      </c>
      <c r="G19" s="136">
        <f t="shared" si="0"/>
        <v>-500193.37999999896</v>
      </c>
      <c r="H19" s="136">
        <f t="shared" si="0"/>
        <v>2195187.2799999993</v>
      </c>
      <c r="I19" s="136">
        <f t="shared" si="0"/>
        <v>7421431.7275000047</v>
      </c>
      <c r="J19" s="136">
        <f t="shared" si="0"/>
        <v>3212834.3699999964</v>
      </c>
      <c r="K19" s="136">
        <f t="shared" ref="K19:P19" si="1">SUM(K8:K18)</f>
        <v>4224451.9999999991</v>
      </c>
      <c r="L19" s="136">
        <f t="shared" si="1"/>
        <v>3391114</v>
      </c>
      <c r="M19" s="136">
        <f t="shared" si="1"/>
        <v>1657093</v>
      </c>
      <c r="N19" s="136">
        <f t="shared" si="1"/>
        <v>4284391</v>
      </c>
      <c r="O19" s="136">
        <f t="shared" si="1"/>
        <v>2822506</v>
      </c>
      <c r="P19" s="136">
        <f t="shared" si="1"/>
        <v>8442833</v>
      </c>
      <c r="Q19" s="137"/>
      <c r="R19" s="136">
        <f>SUM(R8:R18)</f>
        <v>10049287</v>
      </c>
      <c r="T19" s="121"/>
      <c r="U19" s="121"/>
      <c r="Y19" s="138"/>
    </row>
    <row r="20" spans="1:25" s="98" customFormat="1" ht="12.75" customHeight="1" x14ac:dyDescent="0.25">
      <c r="B20" s="98" t="s">
        <v>16</v>
      </c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34"/>
      <c r="R20" s="129"/>
      <c r="T20" s="121"/>
      <c r="U20" s="121"/>
    </row>
    <row r="21" spans="1:25" s="98" customFormat="1" ht="20.25" customHeight="1" x14ac:dyDescent="0.25">
      <c r="B21" s="98" t="s">
        <v>17</v>
      </c>
      <c r="D21" s="131">
        <v>0</v>
      </c>
      <c r="E21" s="131">
        <v>0</v>
      </c>
      <c r="F21" s="131">
        <v>0</v>
      </c>
      <c r="G21" s="131">
        <v>0</v>
      </c>
      <c r="H21" s="131">
        <v>0</v>
      </c>
      <c r="I21" s="131">
        <v>0</v>
      </c>
      <c r="J21" s="131">
        <v>0</v>
      </c>
      <c r="K21" s="131">
        <v>0</v>
      </c>
      <c r="L21" s="131">
        <v>0</v>
      </c>
      <c r="M21" s="131">
        <v>-90504</v>
      </c>
      <c r="N21" s="131">
        <v>-266702</v>
      </c>
      <c r="O21" s="131">
        <v>-279130</v>
      </c>
      <c r="P21" s="131">
        <v>-176936</v>
      </c>
      <c r="Q21" s="134"/>
      <c r="R21" s="131">
        <v>-1000000</v>
      </c>
      <c r="T21" s="121"/>
      <c r="U21" s="121"/>
    </row>
    <row r="22" spans="1:25" s="98" customFormat="1" x14ac:dyDescent="0.25"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34"/>
      <c r="R22" s="129"/>
      <c r="T22" s="121"/>
      <c r="U22" s="121"/>
    </row>
    <row r="23" spans="1:25" s="98" customFormat="1" x14ac:dyDescent="0.25">
      <c r="A23" s="139" t="s">
        <v>18</v>
      </c>
      <c r="D23" s="140">
        <f>SUM(D19:D22)</f>
        <v>3416831.0799999991</v>
      </c>
      <c r="E23" s="140">
        <f t="shared" ref="E23:J23" si="2">SUM(E19:E22)</f>
        <v>1284956.4190000007</v>
      </c>
      <c r="F23" s="140">
        <f t="shared" si="2"/>
        <v>4710732.5834999997</v>
      </c>
      <c r="G23" s="140">
        <f t="shared" si="2"/>
        <v>-500193.37999999896</v>
      </c>
      <c r="H23" s="140">
        <f t="shared" si="2"/>
        <v>2195187.2799999993</v>
      </c>
      <c r="I23" s="140">
        <f t="shared" si="2"/>
        <v>7421431.7275000047</v>
      </c>
      <c r="J23" s="140">
        <f t="shared" si="2"/>
        <v>3212834.3699999964</v>
      </c>
      <c r="K23" s="140">
        <f t="shared" ref="K23:P23" si="3">SUM(K19:K22)</f>
        <v>4224451.9999999991</v>
      </c>
      <c r="L23" s="140">
        <f t="shared" si="3"/>
        <v>3391114</v>
      </c>
      <c r="M23" s="140">
        <f t="shared" si="3"/>
        <v>1566589</v>
      </c>
      <c r="N23" s="140">
        <f t="shared" si="3"/>
        <v>4017689</v>
      </c>
      <c r="O23" s="140">
        <f t="shared" si="3"/>
        <v>2543376</v>
      </c>
      <c r="P23" s="140">
        <f t="shared" si="3"/>
        <v>8265897</v>
      </c>
      <c r="Q23" s="134"/>
      <c r="R23" s="140">
        <f>SUM(R19:R22)</f>
        <v>9049287</v>
      </c>
      <c r="T23" s="121"/>
      <c r="U23" s="121"/>
    </row>
    <row r="24" spans="1:25" s="98" customFormat="1" x14ac:dyDescent="0.25">
      <c r="A24" s="139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34"/>
      <c r="R24" s="126"/>
      <c r="T24" s="121"/>
      <c r="U24" s="121"/>
    </row>
    <row r="25" spans="1:25" s="98" customFormat="1" x14ac:dyDescent="0.25">
      <c r="B25" s="98" t="s">
        <v>35</v>
      </c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34"/>
      <c r="R25" s="126"/>
      <c r="T25" s="121"/>
      <c r="U25" s="121"/>
    </row>
    <row r="26" spans="1:25" s="98" customFormat="1" x14ac:dyDescent="0.25">
      <c r="B26" s="98" t="s">
        <v>36</v>
      </c>
      <c r="D26" s="131">
        <f>-BK!D33+BK!E33+'ardh-shpenz'!D15</f>
        <v>-2814255</v>
      </c>
      <c r="E26" s="131">
        <f>-BK!E33+BK!F33+'ardh-shpenz'!E15</f>
        <v>-1365154</v>
      </c>
      <c r="F26" s="131">
        <f>-BK!F33+BK!G33+'ardh-shpenz'!F15</f>
        <v>-4726755</v>
      </c>
      <c r="G26" s="131">
        <f>-BK!G33+BK!H33+'ardh-shpenz'!G15</f>
        <v>-479868</v>
      </c>
      <c r="H26" s="131">
        <f>-BK!H33+BK!I33+'ardh-shpenz'!H15</f>
        <v>-548104</v>
      </c>
      <c r="I26" s="131">
        <f>-BK!I33+BK!J33+'ardh-shpenz'!I15</f>
        <v>-7888321</v>
      </c>
      <c r="J26" s="131">
        <f>-BK!J33+BK!K33+'ardh-shpenz'!J15</f>
        <v>-3842242</v>
      </c>
      <c r="K26" s="131">
        <f>-BK!K33+BK!L33+'ardh-shpenz'!K15</f>
        <v>-3513086</v>
      </c>
      <c r="L26" s="131">
        <f>-BK!L33+BK!M33+'ardh-shpenz'!L15</f>
        <v>-4101712</v>
      </c>
      <c r="M26" s="131">
        <f>-BK!M33+BK!N33+'ardh-shpenz'!M15</f>
        <v>-1247293</v>
      </c>
      <c r="N26" s="131">
        <f>-BK!N33+BK!O33+'ardh-shpenz'!N15</f>
        <v>-3738233</v>
      </c>
      <c r="O26" s="131">
        <f>-BK!O33+BK!P33+'ardh-shpenz'!O15</f>
        <v>-3638041</v>
      </c>
      <c r="P26" s="131">
        <f>-BK!P33+BK!R33+'ardh-shpenz'!P15</f>
        <v>-7025043</v>
      </c>
      <c r="Q26" s="137"/>
      <c r="R26" s="131">
        <f>-BK!R33+BK!T33+'ardh-shpenz'!R15</f>
        <v>-3412230</v>
      </c>
      <c r="T26" s="121"/>
      <c r="U26" s="121"/>
    </row>
    <row r="27" spans="1:25" s="98" customFormat="1" x14ac:dyDescent="0.25">
      <c r="B27" s="98" t="s">
        <v>37</v>
      </c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34"/>
      <c r="R27" s="129"/>
      <c r="T27" s="121"/>
      <c r="U27" s="121"/>
    </row>
    <row r="28" spans="1:25" s="98" customFormat="1" ht="12.75" customHeight="1" x14ac:dyDescent="0.25">
      <c r="B28" s="98" t="s">
        <v>19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34"/>
      <c r="R28" s="129"/>
      <c r="T28" s="121"/>
      <c r="U28" s="121"/>
    </row>
    <row r="29" spans="1:25" s="98" customFormat="1" ht="12.75" customHeight="1" x14ac:dyDescent="0.25">
      <c r="B29" s="98" t="s">
        <v>20</v>
      </c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34"/>
      <c r="R29" s="129"/>
      <c r="T29" s="121"/>
      <c r="U29" s="121"/>
    </row>
    <row r="30" spans="1:25" s="98" customFormat="1" x14ac:dyDescent="0.25">
      <c r="B30" s="128"/>
      <c r="C30" s="128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34"/>
      <c r="R30" s="129"/>
      <c r="T30" s="121"/>
      <c r="U30" s="121"/>
    </row>
    <row r="31" spans="1:25" s="98" customFormat="1" x14ac:dyDescent="0.25">
      <c r="B31" s="99" t="s">
        <v>89</v>
      </c>
      <c r="C31" s="99"/>
      <c r="D31" s="140">
        <f>SUM(D25:D29)</f>
        <v>-2814255</v>
      </c>
      <c r="E31" s="140">
        <f t="shared" ref="E31:J31" si="4">SUM(E25:E29)</f>
        <v>-1365154</v>
      </c>
      <c r="F31" s="140">
        <f t="shared" si="4"/>
        <v>-4726755</v>
      </c>
      <c r="G31" s="140">
        <f t="shared" si="4"/>
        <v>-479868</v>
      </c>
      <c r="H31" s="140">
        <f t="shared" si="4"/>
        <v>-548104</v>
      </c>
      <c r="I31" s="140">
        <f t="shared" si="4"/>
        <v>-7888321</v>
      </c>
      <c r="J31" s="140">
        <f t="shared" si="4"/>
        <v>-3842242</v>
      </c>
      <c r="K31" s="140">
        <f t="shared" ref="K31:P31" si="5">SUM(K25:K29)</f>
        <v>-3513086</v>
      </c>
      <c r="L31" s="140">
        <f t="shared" si="5"/>
        <v>-4101712</v>
      </c>
      <c r="M31" s="140">
        <f t="shared" si="5"/>
        <v>-1247293</v>
      </c>
      <c r="N31" s="140">
        <f t="shared" si="5"/>
        <v>-3738233</v>
      </c>
      <c r="O31" s="140">
        <f t="shared" si="5"/>
        <v>-3638041</v>
      </c>
      <c r="P31" s="140">
        <f t="shared" si="5"/>
        <v>-7025043</v>
      </c>
      <c r="Q31" s="134"/>
      <c r="R31" s="140">
        <f>SUM(R25:R29)</f>
        <v>-3412230</v>
      </c>
      <c r="T31" s="121"/>
      <c r="U31" s="121"/>
    </row>
    <row r="32" spans="1:25" s="98" customFormat="1" x14ac:dyDescent="0.25">
      <c r="B32" s="128"/>
      <c r="C32" s="128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34"/>
      <c r="R32" s="129"/>
      <c r="T32" s="121"/>
      <c r="U32" s="121"/>
    </row>
    <row r="33" spans="2:22" s="98" customFormat="1" x14ac:dyDescent="0.25">
      <c r="B33" s="98" t="s">
        <v>91</v>
      </c>
      <c r="D33" s="126">
        <v>0</v>
      </c>
      <c r="E33" s="126">
        <v>0</v>
      </c>
      <c r="F33" s="126">
        <v>0</v>
      </c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>
        <v>0</v>
      </c>
      <c r="M33" s="126">
        <v>0</v>
      </c>
      <c r="N33" s="126">
        <v>0</v>
      </c>
      <c r="O33" s="126">
        <v>0</v>
      </c>
      <c r="P33" s="126">
        <v>0</v>
      </c>
      <c r="Q33" s="134"/>
      <c r="R33" s="126">
        <v>0</v>
      </c>
      <c r="T33" s="121"/>
      <c r="U33" s="121"/>
    </row>
    <row r="34" spans="2:22" s="98" customFormat="1" x14ac:dyDescent="0.25">
      <c r="B34" s="98" t="s">
        <v>21</v>
      </c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34"/>
      <c r="R34" s="126"/>
      <c r="T34" s="121"/>
      <c r="U34" s="121"/>
    </row>
    <row r="35" spans="2:22" s="98" customFormat="1" x14ac:dyDescent="0.25">
      <c r="B35" s="98" t="s">
        <v>38</v>
      </c>
      <c r="D35" s="131">
        <f>+BK!D56-BK!E56</f>
        <v>0</v>
      </c>
      <c r="E35" s="131">
        <f>+BK!E56-BK!F56</f>
        <v>0</v>
      </c>
      <c r="F35" s="131">
        <f>+BK!F56-BK!G56</f>
        <v>0</v>
      </c>
      <c r="G35" s="131">
        <f>+BK!G56-BK!H56</f>
        <v>0</v>
      </c>
      <c r="H35" s="131">
        <f>+BK!H56-BK!I56</f>
        <v>0</v>
      </c>
      <c r="I35" s="131">
        <f>+BK!I56-BK!J56</f>
        <v>0</v>
      </c>
      <c r="J35" s="131">
        <f>+BK!J56-BK!K56</f>
        <v>0</v>
      </c>
      <c r="K35" s="131">
        <f>+BK!K56-BK!L56</f>
        <v>0</v>
      </c>
      <c r="L35" s="131">
        <f>+BK!L56-BK!M56</f>
        <v>0</v>
      </c>
      <c r="M35" s="131">
        <f>+BK!M56-BK!N56</f>
        <v>0</v>
      </c>
      <c r="N35" s="131">
        <f>+BK!N56-BK!O56</f>
        <v>0</v>
      </c>
      <c r="O35" s="131">
        <f>+BK!O56-BK!P56</f>
        <v>0</v>
      </c>
      <c r="P35" s="131">
        <f>+BK!P56-BK!R56</f>
        <v>-2440282</v>
      </c>
      <c r="Q35" s="134"/>
      <c r="R35" s="131">
        <f>+BK!R56-BK!T56</f>
        <v>-6761244</v>
      </c>
      <c r="T35" s="131"/>
      <c r="U35" s="121"/>
    </row>
    <row r="36" spans="2:22" s="98" customFormat="1" x14ac:dyDescent="0.25">
      <c r="B36" s="98" t="s">
        <v>22</v>
      </c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34"/>
      <c r="R36" s="129"/>
      <c r="T36" s="121"/>
      <c r="U36" s="121"/>
    </row>
    <row r="37" spans="2:22" s="98" customFormat="1" x14ac:dyDescent="0.25">
      <c r="B37" s="128"/>
      <c r="C37" s="128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34"/>
      <c r="R37" s="129"/>
      <c r="T37" s="121"/>
      <c r="U37" s="121"/>
    </row>
    <row r="38" spans="2:22" s="98" customFormat="1" x14ac:dyDescent="0.25">
      <c r="B38" s="99" t="s">
        <v>131</v>
      </c>
      <c r="C38" s="99"/>
      <c r="D38" s="140">
        <f t="shared" ref="D38:P38" si="6">SUM(D33:D37)</f>
        <v>0</v>
      </c>
      <c r="E38" s="140">
        <f t="shared" si="6"/>
        <v>0</v>
      </c>
      <c r="F38" s="140">
        <f t="shared" si="6"/>
        <v>0</v>
      </c>
      <c r="G38" s="140">
        <f t="shared" si="6"/>
        <v>0</v>
      </c>
      <c r="H38" s="140">
        <f t="shared" si="6"/>
        <v>0</v>
      </c>
      <c r="I38" s="140">
        <f t="shared" si="6"/>
        <v>0</v>
      </c>
      <c r="J38" s="140">
        <f t="shared" si="6"/>
        <v>0</v>
      </c>
      <c r="K38" s="140">
        <f t="shared" si="6"/>
        <v>0</v>
      </c>
      <c r="L38" s="140">
        <f t="shared" si="6"/>
        <v>0</v>
      </c>
      <c r="M38" s="140">
        <f t="shared" si="6"/>
        <v>0</v>
      </c>
      <c r="N38" s="140">
        <f t="shared" si="6"/>
        <v>0</v>
      </c>
      <c r="O38" s="140">
        <f t="shared" si="6"/>
        <v>0</v>
      </c>
      <c r="P38" s="140">
        <f t="shared" si="6"/>
        <v>-2440282</v>
      </c>
      <c r="Q38" s="134"/>
      <c r="R38" s="140">
        <f>SUM(R33:R37)</f>
        <v>-6761244</v>
      </c>
      <c r="T38" s="121"/>
      <c r="U38" s="121"/>
      <c r="V38" s="138"/>
    </row>
    <row r="39" spans="2:22" s="98" customFormat="1" x14ac:dyDescent="0.25">
      <c r="B39" s="128"/>
      <c r="C39" s="128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34"/>
      <c r="R39" s="129"/>
      <c r="T39" s="121"/>
      <c r="U39" s="126"/>
    </row>
    <row r="40" spans="2:22" s="98" customFormat="1" x14ac:dyDescent="0.25">
      <c r="B40" s="139" t="s">
        <v>23</v>
      </c>
      <c r="C40" s="139"/>
      <c r="D40" s="142">
        <f>+D38+D23+D31</f>
        <v>602576.07999999914</v>
      </c>
      <c r="E40" s="142">
        <f t="shared" ref="E40:P40" si="7">+E38+E23+E31</f>
        <v>-80197.580999999307</v>
      </c>
      <c r="F40" s="142">
        <f t="shared" si="7"/>
        <v>-16022.416500000283</v>
      </c>
      <c r="G40" s="142">
        <f t="shared" si="7"/>
        <v>-980061.37999999896</v>
      </c>
      <c r="H40" s="142">
        <f t="shared" si="7"/>
        <v>1647083.2799999993</v>
      </c>
      <c r="I40" s="142">
        <f t="shared" si="7"/>
        <v>-466889.27249999531</v>
      </c>
      <c r="J40" s="142">
        <f t="shared" si="7"/>
        <v>-629407.63000000361</v>
      </c>
      <c r="K40" s="142">
        <f t="shared" si="7"/>
        <v>711365.99999999907</v>
      </c>
      <c r="L40" s="142">
        <f t="shared" si="7"/>
        <v>-710598</v>
      </c>
      <c r="M40" s="142">
        <f t="shared" si="7"/>
        <v>319296</v>
      </c>
      <c r="N40" s="142">
        <f t="shared" si="7"/>
        <v>279456</v>
      </c>
      <c r="O40" s="142">
        <f t="shared" si="7"/>
        <v>-1094665</v>
      </c>
      <c r="P40" s="142">
        <f t="shared" si="7"/>
        <v>-1199428</v>
      </c>
      <c r="Q40" s="134"/>
      <c r="R40" s="142">
        <f>+R38+R23+R31</f>
        <v>-1124187</v>
      </c>
      <c r="T40" s="121"/>
      <c r="U40" s="126"/>
    </row>
    <row r="41" spans="2:22" s="98" customFormat="1" x14ac:dyDescent="0.25">
      <c r="B41" s="139"/>
      <c r="C41" s="139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4"/>
      <c r="R41" s="131"/>
      <c r="T41" s="121"/>
      <c r="U41" s="121"/>
    </row>
    <row r="42" spans="2:22" s="98" customFormat="1" x14ac:dyDescent="0.25">
      <c r="B42" s="139" t="s">
        <v>90</v>
      </c>
      <c r="C42" s="139"/>
      <c r="D42" s="143">
        <f t="shared" ref="D42:O42" si="8">+E43</f>
        <v>956034.41900000069</v>
      </c>
      <c r="E42" s="143">
        <f t="shared" si="8"/>
        <v>1036232</v>
      </c>
      <c r="F42" s="143">
        <f t="shared" si="8"/>
        <v>1189221.9975000005</v>
      </c>
      <c r="G42" s="143">
        <f t="shared" si="8"/>
        <v>2169283.3774999995</v>
      </c>
      <c r="H42" s="143">
        <f t="shared" si="8"/>
        <v>522200.09750000015</v>
      </c>
      <c r="I42" s="143">
        <f t="shared" si="8"/>
        <v>989089.36999999546</v>
      </c>
      <c r="J42" s="143">
        <f t="shared" si="8"/>
        <v>1618496.9999999991</v>
      </c>
      <c r="K42" s="143">
        <f t="shared" si="8"/>
        <v>907131</v>
      </c>
      <c r="L42" s="143">
        <f t="shared" si="8"/>
        <v>1617729</v>
      </c>
      <c r="M42" s="143">
        <f t="shared" si="8"/>
        <v>1298433</v>
      </c>
      <c r="N42" s="143">
        <f t="shared" si="8"/>
        <v>1018978</v>
      </c>
      <c r="O42" s="143">
        <f t="shared" si="8"/>
        <v>2113643</v>
      </c>
      <c r="P42" s="143">
        <f>+R43</f>
        <v>3313071</v>
      </c>
      <c r="Q42" s="144"/>
      <c r="R42" s="143">
        <f>+BK!T8</f>
        <v>4437258</v>
      </c>
      <c r="T42" s="121"/>
      <c r="U42" s="121"/>
    </row>
    <row r="43" spans="2:22" s="98" customFormat="1" x14ac:dyDescent="0.25">
      <c r="B43" s="139" t="s">
        <v>24</v>
      </c>
      <c r="C43" s="139"/>
      <c r="D43" s="145">
        <f>+D42+D40</f>
        <v>1558610.4989999998</v>
      </c>
      <c r="E43" s="145">
        <f>+E42+E40</f>
        <v>956034.41900000069</v>
      </c>
      <c r="F43" s="145">
        <v>1036232</v>
      </c>
      <c r="G43" s="145">
        <f>+G42+G40</f>
        <v>1189221.9975000005</v>
      </c>
      <c r="H43" s="145">
        <f t="shared" ref="H43:M43" si="9">+H42+H40</f>
        <v>2169283.3774999995</v>
      </c>
      <c r="I43" s="145">
        <f t="shared" si="9"/>
        <v>522200.09750000015</v>
      </c>
      <c r="J43" s="145">
        <f t="shared" si="9"/>
        <v>989089.36999999546</v>
      </c>
      <c r="K43" s="145">
        <f t="shared" si="9"/>
        <v>1618496.9999999991</v>
      </c>
      <c r="L43" s="145">
        <f t="shared" si="9"/>
        <v>907131</v>
      </c>
      <c r="M43" s="145">
        <f t="shared" si="9"/>
        <v>1617729</v>
      </c>
      <c r="N43" s="145">
        <f>+N42+N40-1</f>
        <v>1298433</v>
      </c>
      <c r="O43" s="145">
        <f>+O42+O40</f>
        <v>1018978</v>
      </c>
      <c r="P43" s="145">
        <f>+BK!P8</f>
        <v>2113643</v>
      </c>
      <c r="Q43" s="146"/>
      <c r="R43" s="145">
        <f>+BK!R8</f>
        <v>3313071</v>
      </c>
      <c r="T43" s="121"/>
      <c r="U43" s="121"/>
    </row>
    <row r="44" spans="2:22" s="98" customFormat="1" x14ac:dyDescent="0.25"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7"/>
      <c r="R44" s="126"/>
      <c r="T44" s="121"/>
      <c r="U44" s="121"/>
    </row>
    <row r="45" spans="2:22" s="98" customFormat="1" x14ac:dyDescent="0.25"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33"/>
      <c r="R45" s="126"/>
      <c r="T45" s="121"/>
      <c r="U45" s="121"/>
    </row>
    <row r="47" spans="2:22" x14ac:dyDescent="0.25">
      <c r="C47" s="29">
        <v>4</v>
      </c>
    </row>
    <row r="48" spans="2:22" x14ac:dyDescent="0.25">
      <c r="B48" s="116"/>
      <c r="C48" s="116"/>
    </row>
    <row r="49" spans="2:18" x14ac:dyDescent="0.25">
      <c r="B49" s="112" t="s">
        <v>452</v>
      </c>
      <c r="C49" s="112"/>
      <c r="D49" s="70" t="s">
        <v>451</v>
      </c>
      <c r="E49" s="70"/>
      <c r="F49" s="70"/>
      <c r="G49" s="70"/>
      <c r="H49" s="70"/>
      <c r="I49" s="70"/>
      <c r="J49" s="70"/>
      <c r="K49" s="70"/>
      <c r="L49" s="70"/>
      <c r="M49" s="70"/>
      <c r="N49" s="118"/>
      <c r="O49" s="118"/>
      <c r="P49" s="118"/>
      <c r="Q49" s="119" t="s">
        <v>451</v>
      </c>
      <c r="R49" s="118"/>
    </row>
    <row r="50" spans="2:18" x14ac:dyDescent="0.25">
      <c r="B50" s="112"/>
      <c r="C50" s="112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9"/>
      <c r="R50" s="118"/>
    </row>
    <row r="51" spans="2:18" x14ac:dyDescent="0.25">
      <c r="B51" s="99"/>
      <c r="C51" s="99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20"/>
      <c r="R51" s="108"/>
    </row>
  </sheetData>
  <phoneticPr fontId="3" type="noConversion"/>
  <pageMargins left="0.59" right="0.59" top="0.81" bottom="0.67" header="0.5" footer="0.5"/>
  <pageSetup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zoomScaleNormal="100" workbookViewId="0">
      <selection activeCell="E31" sqref="E31"/>
    </sheetView>
  </sheetViews>
  <sheetFormatPr defaultRowHeight="12.75" x14ac:dyDescent="0.2"/>
  <cols>
    <col min="1" max="1" width="4.28515625" style="73" customWidth="1"/>
    <col min="2" max="2" width="35.28515625" style="73" customWidth="1"/>
    <col min="3" max="3" width="9.85546875" style="73" bestFit="1" customWidth="1"/>
    <col min="4" max="4" width="11.7109375" style="73" customWidth="1"/>
    <col min="5" max="5" width="9.7109375" style="73" customWidth="1"/>
    <col min="6" max="6" width="12.5703125" style="73" customWidth="1"/>
    <col min="7" max="7" width="13.140625" style="73" customWidth="1"/>
    <col min="8" max="8" width="10.42578125" style="73" bestFit="1" customWidth="1"/>
    <col min="9" max="9" width="9.85546875" style="73" bestFit="1" customWidth="1"/>
    <col min="10" max="10" width="11.140625" style="73" customWidth="1"/>
    <col min="11" max="11" width="12" style="73" bestFit="1" customWidth="1"/>
    <col min="12" max="16384" width="9.140625" style="73"/>
  </cols>
  <sheetData>
    <row r="1" spans="1:11" ht="15.75" x14ac:dyDescent="0.25">
      <c r="A1" s="29" t="s">
        <v>453</v>
      </c>
    </row>
    <row r="2" spans="1:11" ht="16.5" x14ac:dyDescent="0.25">
      <c r="A2" s="11" t="s">
        <v>1063</v>
      </c>
    </row>
    <row r="3" spans="1:11" ht="16.5" x14ac:dyDescent="0.25">
      <c r="A3" s="11" t="s">
        <v>96</v>
      </c>
    </row>
    <row r="5" spans="1:11" ht="13.5" thickBot="1" x14ac:dyDescent="0.25">
      <c r="B5" s="580"/>
      <c r="C5" s="581" t="s">
        <v>457</v>
      </c>
      <c r="D5" s="581"/>
      <c r="E5" s="581"/>
      <c r="F5" s="581"/>
      <c r="G5" s="581"/>
      <c r="H5" s="581"/>
      <c r="I5" s="581"/>
      <c r="J5" s="72"/>
      <c r="K5" s="149"/>
    </row>
    <row r="6" spans="1:11" ht="63" customHeight="1" thickBot="1" x14ac:dyDescent="0.25">
      <c r="B6" s="580"/>
      <c r="C6" s="359" t="s">
        <v>92</v>
      </c>
      <c r="D6" s="359" t="s">
        <v>458</v>
      </c>
      <c r="E6" s="359" t="s">
        <v>459</v>
      </c>
      <c r="F6" s="359" t="s">
        <v>460</v>
      </c>
      <c r="G6" s="359" t="s">
        <v>461</v>
      </c>
      <c r="H6" s="359" t="s">
        <v>462</v>
      </c>
      <c r="I6" s="359" t="s">
        <v>2</v>
      </c>
      <c r="J6" s="360" t="s">
        <v>463</v>
      </c>
      <c r="K6" s="361" t="s">
        <v>2</v>
      </c>
    </row>
    <row r="7" spans="1:11" ht="26.25" customHeight="1" thickBot="1" x14ac:dyDescent="0.25">
      <c r="A7" s="73" t="s">
        <v>477</v>
      </c>
      <c r="B7" s="358" t="s">
        <v>1064</v>
      </c>
      <c r="C7" s="365">
        <v>10000000</v>
      </c>
      <c r="D7" s="156"/>
      <c r="E7" s="156"/>
      <c r="F7" s="156">
        <v>628340</v>
      </c>
      <c r="G7" s="156"/>
      <c r="H7" s="156">
        <f>+BK!E68</f>
        <v>30242765.709999997</v>
      </c>
      <c r="I7" s="156">
        <f>+C7+H7+F7</f>
        <v>40871105.709999993</v>
      </c>
      <c r="J7" s="157"/>
      <c r="K7" s="158">
        <f>+I7</f>
        <v>40871105.709999993</v>
      </c>
    </row>
    <row r="8" spans="1:11" x14ac:dyDescent="0.2">
      <c r="A8" s="73" t="s">
        <v>167</v>
      </c>
      <c r="B8" s="76" t="s">
        <v>464</v>
      </c>
      <c r="C8" s="362"/>
      <c r="D8" s="362"/>
      <c r="E8" s="362"/>
      <c r="F8" s="362"/>
      <c r="G8" s="362"/>
      <c r="H8" s="362"/>
      <c r="I8" s="362"/>
      <c r="J8" s="363"/>
      <c r="K8" s="364"/>
    </row>
    <row r="9" spans="1:11" x14ac:dyDescent="0.2">
      <c r="A9" s="73" t="s">
        <v>169</v>
      </c>
      <c r="B9" s="76" t="s">
        <v>465</v>
      </c>
      <c r="C9" s="75"/>
      <c r="D9" s="75"/>
      <c r="E9" s="75"/>
      <c r="F9" s="75"/>
      <c r="G9" s="75"/>
      <c r="H9" s="75"/>
      <c r="I9" s="75"/>
      <c r="J9" s="148"/>
      <c r="K9" s="150"/>
    </row>
    <row r="10" spans="1:11" ht="25.5" x14ac:dyDescent="0.2">
      <c r="A10" s="73">
        <v>1</v>
      </c>
      <c r="B10" s="76" t="s">
        <v>466</v>
      </c>
      <c r="C10" s="75"/>
      <c r="D10" s="75"/>
      <c r="E10" s="75"/>
      <c r="F10" s="75"/>
      <c r="G10" s="75"/>
      <c r="H10" s="75"/>
      <c r="I10" s="75"/>
      <c r="J10" s="148"/>
      <c r="K10" s="150"/>
    </row>
    <row r="11" spans="1:11" ht="38.25" x14ac:dyDescent="0.2">
      <c r="A11" s="73">
        <v>2</v>
      </c>
      <c r="B11" s="76" t="s">
        <v>467</v>
      </c>
      <c r="C11" s="75"/>
      <c r="D11" s="75"/>
      <c r="E11" s="75"/>
      <c r="F11" s="75"/>
      <c r="G11" s="75"/>
      <c r="H11" s="75"/>
      <c r="I11" s="75"/>
      <c r="J11" s="148"/>
      <c r="K11" s="150"/>
    </row>
    <row r="12" spans="1:11" x14ac:dyDescent="0.2">
      <c r="A12" s="73">
        <v>3</v>
      </c>
      <c r="B12" s="76" t="s">
        <v>468</v>
      </c>
      <c r="C12" s="75"/>
      <c r="D12" s="75"/>
      <c r="E12" s="75"/>
      <c r="F12" s="75"/>
      <c r="G12" s="75"/>
      <c r="H12" s="75">
        <f>+BK!E69</f>
        <v>4324259.45</v>
      </c>
      <c r="I12" s="75">
        <f>+C12+H12+F12</f>
        <v>4324259.45</v>
      </c>
      <c r="J12" s="148"/>
      <c r="K12" s="150">
        <f>+H12</f>
        <v>4324259.45</v>
      </c>
    </row>
    <row r="13" spans="1:11" x14ac:dyDescent="0.2">
      <c r="A13" s="73">
        <v>4</v>
      </c>
      <c r="B13" s="76" t="s">
        <v>469</v>
      </c>
      <c r="C13" s="75"/>
      <c r="D13" s="75"/>
      <c r="E13" s="75"/>
      <c r="F13" s="75"/>
      <c r="G13" s="75"/>
      <c r="H13" s="75"/>
      <c r="I13" s="75"/>
      <c r="J13" s="148"/>
      <c r="K13" s="150">
        <f>+H13</f>
        <v>0</v>
      </c>
    </row>
    <row r="14" spans="1:11" ht="25.5" x14ac:dyDescent="0.2">
      <c r="A14" s="73">
        <v>5</v>
      </c>
      <c r="B14" s="76" t="s">
        <v>470</v>
      </c>
      <c r="C14" s="75"/>
      <c r="D14" s="75"/>
      <c r="E14" s="75"/>
      <c r="F14" s="75"/>
      <c r="G14" s="75"/>
      <c r="H14" s="75"/>
      <c r="I14" s="75"/>
      <c r="J14" s="148"/>
      <c r="K14" s="150"/>
    </row>
    <row r="15" spans="1:11" ht="13.5" thickBot="1" x14ac:dyDescent="0.25">
      <c r="A15" s="73">
        <v>6</v>
      </c>
      <c r="B15" s="76" t="s">
        <v>471</v>
      </c>
      <c r="C15" s="152"/>
      <c r="D15" s="152"/>
      <c r="E15" s="152"/>
      <c r="F15" s="152"/>
      <c r="G15" s="152"/>
      <c r="H15" s="152"/>
      <c r="I15" s="152"/>
      <c r="J15" s="153"/>
      <c r="K15" s="154">
        <f>SUM(C15:H15)</f>
        <v>0</v>
      </c>
    </row>
    <row r="16" spans="1:11" ht="13.5" thickBot="1" x14ac:dyDescent="0.25">
      <c r="A16" s="73" t="s">
        <v>145</v>
      </c>
      <c r="B16" s="358" t="s">
        <v>1038</v>
      </c>
      <c r="C16" s="365">
        <f>SUM(C7:C15)</f>
        <v>10000000</v>
      </c>
      <c r="D16" s="156"/>
      <c r="E16" s="156"/>
      <c r="F16" s="156">
        <f>SUM(F7:F15)</f>
        <v>628340</v>
      </c>
      <c r="G16" s="156"/>
      <c r="H16" s="156">
        <f>SUM(H7:H15)</f>
        <v>34567025.159999996</v>
      </c>
      <c r="I16" s="156">
        <f>+C16+H16+F16</f>
        <v>45195365.159999996</v>
      </c>
      <c r="J16" s="157"/>
      <c r="K16" s="158">
        <f>+I16</f>
        <v>45195365.159999996</v>
      </c>
    </row>
    <row r="17" spans="1:11" ht="25.5" x14ac:dyDescent="0.2">
      <c r="A17" s="73">
        <v>1</v>
      </c>
      <c r="B17" s="76" t="s">
        <v>472</v>
      </c>
      <c r="C17" s="362"/>
      <c r="D17" s="362"/>
      <c r="E17" s="362"/>
      <c r="F17" s="362"/>
      <c r="G17" s="362"/>
      <c r="H17" s="362"/>
      <c r="I17" s="362"/>
      <c r="J17" s="363"/>
      <c r="K17" s="364"/>
    </row>
    <row r="18" spans="1:11" ht="38.25" x14ac:dyDescent="0.2">
      <c r="A18" s="73">
        <v>2</v>
      </c>
      <c r="B18" s="76" t="s">
        <v>473</v>
      </c>
      <c r="C18" s="75"/>
      <c r="D18" s="75"/>
      <c r="E18" s="75"/>
      <c r="F18" s="75"/>
      <c r="G18" s="75"/>
      <c r="H18" s="75"/>
      <c r="I18" s="75"/>
      <c r="J18" s="148"/>
      <c r="K18" s="150"/>
    </row>
    <row r="19" spans="1:11" ht="15.75" customHeight="1" x14ac:dyDescent="0.2">
      <c r="A19" s="73">
        <v>3</v>
      </c>
      <c r="B19" s="74" t="s">
        <v>474</v>
      </c>
      <c r="C19" s="75"/>
      <c r="D19" s="75"/>
      <c r="E19" s="75"/>
      <c r="F19" s="75"/>
      <c r="G19" s="75"/>
      <c r="H19" s="75">
        <f>+BK!D69</f>
        <v>3836331.45</v>
      </c>
      <c r="I19" s="75">
        <f>+H19</f>
        <v>3836331.45</v>
      </c>
      <c r="J19" s="148"/>
      <c r="K19" s="150">
        <f>+I19</f>
        <v>3836331.45</v>
      </c>
    </row>
    <row r="20" spans="1:11" x14ac:dyDescent="0.2">
      <c r="A20" s="73">
        <v>4</v>
      </c>
      <c r="B20" s="76" t="s">
        <v>469</v>
      </c>
      <c r="C20" s="75"/>
      <c r="D20" s="75"/>
      <c r="E20" s="75"/>
      <c r="F20" s="75"/>
      <c r="G20" s="75"/>
      <c r="H20" s="75"/>
      <c r="I20" s="75">
        <f>+H20</f>
        <v>0</v>
      </c>
      <c r="J20" s="148"/>
      <c r="K20" s="150">
        <f>+I20</f>
        <v>0</v>
      </c>
    </row>
    <row r="21" spans="1:11" x14ac:dyDescent="0.2">
      <c r="A21" s="73">
        <v>5</v>
      </c>
      <c r="B21" s="76" t="s">
        <v>475</v>
      </c>
      <c r="C21" s="75"/>
      <c r="D21" s="75"/>
      <c r="E21" s="75"/>
      <c r="F21" s="75"/>
      <c r="G21" s="75"/>
      <c r="H21" s="75">
        <v>0</v>
      </c>
      <c r="I21" s="75">
        <f>+C21+F21+H21</f>
        <v>0</v>
      </c>
      <c r="J21" s="148"/>
      <c r="K21" s="150">
        <f>+I21</f>
        <v>0</v>
      </c>
    </row>
    <row r="22" spans="1:11" ht="13.5" thickBot="1" x14ac:dyDescent="0.25">
      <c r="A22" s="73">
        <v>6</v>
      </c>
      <c r="B22" s="151" t="s">
        <v>476</v>
      </c>
      <c r="C22" s="152"/>
      <c r="D22" s="152"/>
      <c r="E22" s="152"/>
      <c r="F22" s="152"/>
      <c r="G22" s="152"/>
      <c r="H22" s="152"/>
      <c r="I22" s="75">
        <f>+H22</f>
        <v>0</v>
      </c>
      <c r="J22" s="153"/>
      <c r="K22" s="150">
        <f>+I22</f>
        <v>0</v>
      </c>
    </row>
    <row r="23" spans="1:11" ht="13.5" thickBot="1" x14ac:dyDescent="0.25">
      <c r="A23" s="73" t="s">
        <v>155</v>
      </c>
      <c r="B23" s="155" t="s">
        <v>1065</v>
      </c>
      <c r="C23" s="156">
        <f>SUM(C16:C22)</f>
        <v>10000000</v>
      </c>
      <c r="D23" s="156">
        <f>SUM(D16:D22)</f>
        <v>0</v>
      </c>
      <c r="E23" s="156">
        <f>SUM(E16:E22)</f>
        <v>0</v>
      </c>
      <c r="F23" s="156">
        <f>SUM(F16:F22)</f>
        <v>628340</v>
      </c>
      <c r="G23" s="156"/>
      <c r="H23" s="156">
        <f>SUM(H16:H22)</f>
        <v>38403356.609999999</v>
      </c>
      <c r="I23" s="156">
        <f>SUM(I16:I22)</f>
        <v>49031696.609999999</v>
      </c>
      <c r="J23" s="157"/>
      <c r="K23" s="158">
        <f>SUM(K16:K22)</f>
        <v>49031696.609999999</v>
      </c>
    </row>
    <row r="25" spans="1:11" x14ac:dyDescent="0.2">
      <c r="F25" s="423">
        <v>5</v>
      </c>
      <c r="K25" s="276"/>
    </row>
    <row r="26" spans="1:11" x14ac:dyDescent="0.2">
      <c r="K26" s="366"/>
    </row>
    <row r="28" spans="1:11" x14ac:dyDescent="0.2">
      <c r="K28" s="276"/>
    </row>
  </sheetData>
  <mergeCells count="2">
    <mergeCell ref="B5:B6"/>
    <mergeCell ref="C5:I5"/>
  </mergeCells>
  <phoneticPr fontId="3" type="noConversion"/>
  <pageMargins left="0.26" right="0.4" top="1" bottom="1" header="0.5" footer="0.5"/>
  <pageSetup scale="94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C1" workbookViewId="0">
      <selection activeCell="E31" sqref="E31"/>
    </sheetView>
  </sheetViews>
  <sheetFormatPr defaultRowHeight="12.75" x14ac:dyDescent="0.2"/>
  <cols>
    <col min="1" max="1" width="12.140625" style="73" hidden="1" customWidth="1"/>
    <col min="2" max="2" width="9.42578125" style="73" hidden="1" customWidth="1"/>
    <col min="3" max="3" width="30.7109375" style="73" customWidth="1"/>
    <col min="4" max="4" width="21.28515625" style="73" customWidth="1"/>
    <col min="5" max="5" width="3.5703125" style="73" customWidth="1"/>
    <col min="6" max="6" width="9.7109375" style="73" customWidth="1"/>
    <col min="7" max="7" width="8.42578125" style="73" customWidth="1"/>
    <col min="8" max="8" width="12.140625" style="73" customWidth="1"/>
    <col min="9" max="9" width="13.5703125" style="73" customWidth="1"/>
    <col min="10" max="10" width="15.7109375" style="73" customWidth="1"/>
    <col min="11" max="11" width="9.140625" style="73"/>
    <col min="12" max="12" width="12.28515625" style="73" customWidth="1"/>
    <col min="13" max="17" width="0" style="73" hidden="1" customWidth="1"/>
    <col min="18" max="18" width="9.5703125" style="73" hidden="1" customWidth="1"/>
    <col min="19" max="20" width="0" style="73" hidden="1" customWidth="1"/>
    <col min="21" max="21" width="11.7109375" style="73" bestFit="1" customWidth="1"/>
    <col min="22" max="22" width="9.5703125" style="73" bestFit="1" customWidth="1"/>
    <col min="23" max="16384" width="9.140625" style="73"/>
  </cols>
  <sheetData>
    <row r="1" spans="1:22" x14ac:dyDescent="0.2">
      <c r="C1" s="3" t="s">
        <v>453</v>
      </c>
    </row>
    <row r="2" spans="1:22" ht="13.5" x14ac:dyDescent="0.25">
      <c r="C2" s="164" t="s">
        <v>541</v>
      </c>
    </row>
    <row r="3" spans="1:22" x14ac:dyDescent="0.2">
      <c r="C3" s="165" t="s">
        <v>1066</v>
      </c>
    </row>
    <row r="4" spans="1:22" x14ac:dyDescent="0.2">
      <c r="A4" s="166"/>
      <c r="B4" s="166"/>
      <c r="C4" s="167" t="s">
        <v>96</v>
      </c>
      <c r="D4" s="166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</row>
    <row r="5" spans="1:22" x14ac:dyDescent="0.2">
      <c r="A5" s="166"/>
      <c r="B5" s="166"/>
      <c r="C5" s="166"/>
      <c r="D5" s="166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</row>
    <row r="6" spans="1:22" ht="13.5" thickBot="1" x14ac:dyDescent="0.25">
      <c r="A6" s="166"/>
      <c r="B6" s="166"/>
      <c r="C6" s="166"/>
      <c r="D6" s="166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</row>
    <row r="7" spans="1:22" ht="12.75" customHeight="1" x14ac:dyDescent="0.2">
      <c r="A7" s="584"/>
      <c r="B7" s="584"/>
      <c r="C7" s="170" t="s">
        <v>478</v>
      </c>
      <c r="D7" s="171"/>
      <c r="E7" s="172"/>
      <c r="F7" s="173" t="s">
        <v>479</v>
      </c>
      <c r="G7" s="174" t="s">
        <v>480</v>
      </c>
      <c r="H7" s="175" t="s">
        <v>350</v>
      </c>
      <c r="I7" s="174" t="s">
        <v>481</v>
      </c>
      <c r="J7" s="176" t="s">
        <v>572</v>
      </c>
      <c r="K7" s="163" t="s">
        <v>482</v>
      </c>
      <c r="L7" s="177" t="s">
        <v>483</v>
      </c>
      <c r="M7" s="178"/>
      <c r="N7" s="179"/>
      <c r="O7" s="582" t="s">
        <v>484</v>
      </c>
    </row>
    <row r="8" spans="1:22" ht="13.5" thickBot="1" x14ac:dyDescent="0.25">
      <c r="A8" s="169"/>
      <c r="B8" s="169"/>
      <c r="C8" s="180"/>
      <c r="D8" s="181"/>
      <c r="E8" s="172"/>
      <c r="F8" s="182"/>
      <c r="G8" s="183"/>
      <c r="H8" s="183"/>
      <c r="I8" s="183"/>
      <c r="J8" s="275" t="s">
        <v>573</v>
      </c>
      <c r="K8" s="184"/>
      <c r="L8" s="184"/>
      <c r="M8" s="178"/>
      <c r="N8" s="179"/>
      <c r="O8" s="583"/>
    </row>
    <row r="9" spans="1:22" x14ac:dyDescent="0.2">
      <c r="A9" s="169"/>
      <c r="B9" s="169"/>
      <c r="C9" s="169"/>
      <c r="D9" s="169"/>
      <c r="E9" s="172"/>
      <c r="F9" s="185"/>
      <c r="G9" s="185"/>
      <c r="H9" s="186"/>
      <c r="I9" s="185"/>
      <c r="J9" s="186"/>
      <c r="K9" s="186"/>
      <c r="L9" s="178"/>
      <c r="M9" s="178"/>
      <c r="N9" s="179"/>
      <c r="O9" s="187"/>
    </row>
    <row r="10" spans="1:22" x14ac:dyDescent="0.2">
      <c r="A10" s="169"/>
      <c r="B10" s="169"/>
      <c r="C10" s="188"/>
      <c r="D10" s="189"/>
      <c r="E10" s="172"/>
      <c r="F10" s="190"/>
      <c r="G10" s="191"/>
      <c r="H10" s="192"/>
      <c r="I10" s="191"/>
      <c r="J10" s="193"/>
      <c r="K10" s="193"/>
      <c r="L10" s="194"/>
      <c r="M10" s="178"/>
      <c r="N10" s="179"/>
      <c r="O10" s="195"/>
    </row>
    <row r="11" spans="1:22" x14ac:dyDescent="0.2">
      <c r="A11" s="169"/>
      <c r="B11" s="169"/>
      <c r="C11" s="196"/>
      <c r="D11" s="197"/>
      <c r="E11" s="172"/>
      <c r="F11" s="198"/>
      <c r="G11" s="199"/>
      <c r="H11" s="200" t="s">
        <v>569</v>
      </c>
      <c r="I11" s="199"/>
      <c r="J11" s="201"/>
      <c r="K11" s="201"/>
      <c r="L11" s="202"/>
      <c r="M11" s="178"/>
      <c r="N11" s="179"/>
      <c r="O11" s="203"/>
    </row>
    <row r="12" spans="1:22" ht="13.5" thickBot="1" x14ac:dyDescent="0.25">
      <c r="A12" s="169"/>
      <c r="B12" s="169"/>
      <c r="C12" s="196"/>
      <c r="D12" s="197"/>
      <c r="E12" s="204"/>
      <c r="F12" s="205"/>
      <c r="G12" s="206"/>
      <c r="H12" s="207"/>
      <c r="I12" s="206"/>
      <c r="J12" s="208"/>
      <c r="K12" s="208"/>
      <c r="L12" s="209"/>
      <c r="M12" s="178"/>
      <c r="N12" s="179"/>
      <c r="O12" s="210"/>
    </row>
    <row r="13" spans="1:22" ht="13.5" x14ac:dyDescent="0.25">
      <c r="A13" s="211" t="s">
        <v>485</v>
      </c>
      <c r="B13" s="211" t="s">
        <v>486</v>
      </c>
      <c r="C13" s="212" t="s">
        <v>1067</v>
      </c>
      <c r="D13" s="213" t="s">
        <v>487</v>
      </c>
      <c r="E13" s="214" t="s">
        <v>488</v>
      </c>
      <c r="F13" s="280"/>
      <c r="G13" s="281"/>
      <c r="H13" s="282"/>
      <c r="I13" s="283">
        <v>4885000</v>
      </c>
      <c r="J13" s="283">
        <v>73238299</v>
      </c>
      <c r="K13" s="288"/>
      <c r="L13" s="215">
        <f>SUM(F13:K13)</f>
        <v>78123299</v>
      </c>
      <c r="M13" s="216"/>
      <c r="N13" s="217"/>
      <c r="O13" s="215"/>
    </row>
    <row r="14" spans="1:22" ht="13.5" x14ac:dyDescent="0.25">
      <c r="A14" s="211" t="s">
        <v>485</v>
      </c>
      <c r="B14" s="218" t="s">
        <v>489</v>
      </c>
      <c r="C14" s="219" t="s">
        <v>1067</v>
      </c>
      <c r="D14" s="220" t="s">
        <v>490</v>
      </c>
      <c r="E14" s="214" t="s">
        <v>488</v>
      </c>
      <c r="F14" s="284"/>
      <c r="G14" s="278"/>
      <c r="H14" s="279"/>
      <c r="I14" s="278">
        <v>4885000</v>
      </c>
      <c r="J14" s="278">
        <v>53434160</v>
      </c>
      <c r="K14" s="289"/>
      <c r="L14" s="221">
        <f>SUM(F14:K14)</f>
        <v>58319160</v>
      </c>
      <c r="M14" s="216"/>
      <c r="N14" s="217"/>
      <c r="O14" s="221"/>
      <c r="V14" s="225"/>
    </row>
    <row r="15" spans="1:22" ht="14.25" thickBot="1" x14ac:dyDescent="0.3">
      <c r="A15" s="211" t="s">
        <v>485</v>
      </c>
      <c r="B15" s="218" t="s">
        <v>491</v>
      </c>
      <c r="C15" s="222" t="s">
        <v>1067</v>
      </c>
      <c r="D15" s="223" t="s">
        <v>492</v>
      </c>
      <c r="E15" s="214" t="s">
        <v>488</v>
      </c>
      <c r="F15" s="285"/>
      <c r="G15" s="286"/>
      <c r="H15" s="287"/>
      <c r="I15" s="287"/>
      <c r="J15" s="287"/>
      <c r="K15" s="290"/>
      <c r="L15" s="291"/>
      <c r="M15" s="216"/>
      <c r="N15" s="217"/>
      <c r="O15" s="224"/>
      <c r="R15" s="225"/>
    </row>
    <row r="16" spans="1:22" ht="14.25" thickBot="1" x14ac:dyDescent="0.3">
      <c r="A16" s="211"/>
      <c r="B16" s="218"/>
      <c r="C16" s="226"/>
      <c r="D16" s="227"/>
      <c r="E16" s="214"/>
      <c r="F16" s="228"/>
      <c r="G16" s="229"/>
      <c r="H16" s="230"/>
      <c r="I16" s="229"/>
      <c r="J16" s="231"/>
      <c r="K16" s="232"/>
      <c r="L16" s="233"/>
      <c r="M16" s="234"/>
      <c r="N16" s="217"/>
      <c r="O16" s="233"/>
    </row>
    <row r="17" spans="1:22" ht="13.5" x14ac:dyDescent="0.25">
      <c r="A17" s="211" t="s">
        <v>493</v>
      </c>
      <c r="B17" s="211" t="s">
        <v>486</v>
      </c>
      <c r="C17" s="235" t="s">
        <v>1068</v>
      </c>
      <c r="D17" s="236" t="s">
        <v>494</v>
      </c>
      <c r="E17" s="214" t="s">
        <v>488</v>
      </c>
      <c r="F17" s="237"/>
      <c r="G17" s="238"/>
      <c r="H17" s="239">
        <v>0</v>
      </c>
      <c r="I17" s="238">
        <v>0</v>
      </c>
      <c r="J17" s="240">
        <v>2814255</v>
      </c>
      <c r="K17" s="241"/>
      <c r="L17" s="242">
        <f>SUM(F17:K17)</f>
        <v>2814255</v>
      </c>
      <c r="M17" s="234"/>
      <c r="N17" s="217"/>
      <c r="O17" s="215"/>
    </row>
    <row r="18" spans="1:22" ht="13.5" x14ac:dyDescent="0.25">
      <c r="A18" s="211" t="s">
        <v>495</v>
      </c>
      <c r="B18" s="211" t="s">
        <v>486</v>
      </c>
      <c r="C18" s="235" t="s">
        <v>1069</v>
      </c>
      <c r="D18" s="236" t="s">
        <v>494</v>
      </c>
      <c r="E18" s="214" t="s">
        <v>496</v>
      </c>
      <c r="F18" s="237"/>
      <c r="G18" s="238"/>
      <c r="H18" s="239"/>
      <c r="I18" s="238"/>
      <c r="J18" s="240"/>
      <c r="K18" s="243"/>
      <c r="L18" s="242">
        <f>SUM(F18:K18)</f>
        <v>0</v>
      </c>
      <c r="M18" s="234"/>
      <c r="N18" s="217"/>
      <c r="O18" s="242"/>
    </row>
    <row r="19" spans="1:22" ht="13.5" x14ac:dyDescent="0.25">
      <c r="A19" s="211" t="s">
        <v>497</v>
      </c>
      <c r="B19" s="211" t="s">
        <v>498</v>
      </c>
      <c r="C19" s="235" t="s">
        <v>499</v>
      </c>
      <c r="D19" s="236"/>
      <c r="E19" s="214" t="s">
        <v>500</v>
      </c>
      <c r="F19" s="237"/>
      <c r="G19" s="238"/>
      <c r="H19" s="239"/>
      <c r="I19" s="238"/>
      <c r="J19" s="240"/>
      <c r="K19" s="241"/>
      <c r="L19" s="242">
        <f>SUM(F19:K19)</f>
        <v>0</v>
      </c>
      <c r="M19" s="234"/>
      <c r="N19" s="217"/>
      <c r="O19" s="242"/>
    </row>
    <row r="20" spans="1:22" ht="13.5" x14ac:dyDescent="0.25">
      <c r="A20" s="211"/>
      <c r="B20" s="211"/>
      <c r="C20" s="235"/>
      <c r="D20" s="236"/>
      <c r="E20" s="214"/>
      <c r="F20" s="237"/>
      <c r="G20" s="238"/>
      <c r="H20" s="239"/>
      <c r="I20" s="238"/>
      <c r="J20" s="240"/>
      <c r="K20" s="241"/>
      <c r="L20" s="242">
        <v>0</v>
      </c>
      <c r="M20" s="234"/>
      <c r="N20" s="217"/>
      <c r="O20" s="242"/>
    </row>
    <row r="21" spans="1:22" ht="13.5" x14ac:dyDescent="0.25">
      <c r="A21" s="211" t="s">
        <v>491</v>
      </c>
      <c r="B21" s="211"/>
      <c r="C21" s="235" t="s">
        <v>501</v>
      </c>
      <c r="D21" s="236"/>
      <c r="E21" s="214" t="s">
        <v>488</v>
      </c>
      <c r="F21" s="237"/>
      <c r="G21" s="238"/>
      <c r="H21" s="239"/>
      <c r="I21" s="238"/>
      <c r="J21" s="240"/>
      <c r="K21" s="241"/>
      <c r="L21" s="242">
        <f>SUM(F21:K21)</f>
        <v>0</v>
      </c>
      <c r="M21" s="234"/>
      <c r="N21" s="217"/>
      <c r="O21" s="242"/>
    </row>
    <row r="22" spans="1:22" ht="13.5" x14ac:dyDescent="0.25">
      <c r="A22" s="211" t="s">
        <v>502</v>
      </c>
      <c r="B22" s="211"/>
      <c r="C22" s="235" t="s">
        <v>503</v>
      </c>
      <c r="D22" s="236"/>
      <c r="E22" s="214" t="s">
        <v>488</v>
      </c>
      <c r="F22" s="237"/>
      <c r="G22" s="238"/>
      <c r="H22" s="238"/>
      <c r="I22" s="238">
        <v>0</v>
      </c>
      <c r="J22" s="240">
        <v>4148445</v>
      </c>
      <c r="K22" s="241"/>
      <c r="L22" s="242">
        <f>SUM(F22:K22)</f>
        <v>4148445</v>
      </c>
      <c r="M22" s="234"/>
      <c r="N22" s="217"/>
      <c r="O22" s="221"/>
      <c r="U22" s="366"/>
    </row>
    <row r="23" spans="1:22" ht="13.5" x14ac:dyDescent="0.25">
      <c r="A23" s="211"/>
      <c r="B23" s="211"/>
      <c r="C23" s="235"/>
      <c r="D23" s="236"/>
      <c r="E23" s="214"/>
      <c r="F23" s="237"/>
      <c r="G23" s="238"/>
      <c r="H23" s="239"/>
      <c r="I23" s="238"/>
      <c r="J23" s="240"/>
      <c r="K23" s="241"/>
      <c r="L23" s="242">
        <v>0</v>
      </c>
      <c r="M23" s="234"/>
      <c r="N23" s="217"/>
      <c r="O23" s="242"/>
    </row>
    <row r="24" spans="1:22" ht="13.5" x14ac:dyDescent="0.25">
      <c r="A24" s="211" t="s">
        <v>504</v>
      </c>
      <c r="B24" s="218" t="s">
        <v>489</v>
      </c>
      <c r="C24" s="235" t="s">
        <v>505</v>
      </c>
      <c r="D24" s="236"/>
      <c r="E24" s="214" t="s">
        <v>496</v>
      </c>
      <c r="F24" s="237"/>
      <c r="G24" s="238"/>
      <c r="H24" s="239"/>
      <c r="I24" s="238"/>
      <c r="J24" s="240"/>
      <c r="K24" s="241"/>
      <c r="L24" s="242">
        <f>SUM(F24:K24)</f>
        <v>0</v>
      </c>
      <c r="M24" s="234"/>
      <c r="N24" s="217"/>
      <c r="O24" s="242"/>
    </row>
    <row r="25" spans="1:22" ht="13.5" x14ac:dyDescent="0.25">
      <c r="A25" s="211" t="s">
        <v>504</v>
      </c>
      <c r="B25" s="218" t="s">
        <v>491</v>
      </c>
      <c r="C25" s="235" t="s">
        <v>506</v>
      </c>
      <c r="D25" s="236"/>
      <c r="E25" s="214" t="s">
        <v>496</v>
      </c>
      <c r="F25" s="237"/>
      <c r="G25" s="238"/>
      <c r="H25" s="239"/>
      <c r="I25" s="238"/>
      <c r="J25" s="240"/>
      <c r="K25" s="241"/>
      <c r="L25" s="242">
        <f>SUM(F25:K25)</f>
        <v>0</v>
      </c>
      <c r="M25" s="234"/>
      <c r="N25" s="217"/>
      <c r="O25" s="242"/>
    </row>
    <row r="26" spans="1:22" ht="13.5" x14ac:dyDescent="0.25">
      <c r="A26" s="211" t="s">
        <v>497</v>
      </c>
      <c r="B26" s="211" t="s">
        <v>507</v>
      </c>
      <c r="C26" s="235" t="s">
        <v>508</v>
      </c>
      <c r="D26" s="236"/>
      <c r="E26" s="214" t="s">
        <v>500</v>
      </c>
      <c r="F26" s="237"/>
      <c r="G26" s="238"/>
      <c r="H26" s="239"/>
      <c r="I26" s="238"/>
      <c r="J26" s="240"/>
      <c r="K26" s="241"/>
      <c r="L26" s="242">
        <f>SUM(F26:K26)</f>
        <v>0</v>
      </c>
      <c r="M26" s="234"/>
      <c r="N26" s="217"/>
      <c r="O26" s="242"/>
    </row>
    <row r="27" spans="1:22" ht="14.25" thickBot="1" x14ac:dyDescent="0.3">
      <c r="A27" s="211"/>
      <c r="B27" s="211"/>
      <c r="C27" s="244"/>
      <c r="D27" s="245"/>
      <c r="E27" s="214"/>
      <c r="F27" s="246"/>
      <c r="G27" s="247"/>
      <c r="H27" s="248"/>
      <c r="I27" s="247"/>
      <c r="J27" s="249"/>
      <c r="K27" s="250"/>
      <c r="L27" s="251"/>
      <c r="M27" s="234"/>
      <c r="N27" s="217"/>
      <c r="O27" s="251"/>
    </row>
    <row r="28" spans="1:22" ht="13.5" x14ac:dyDescent="0.25">
      <c r="A28" s="211" t="s">
        <v>509</v>
      </c>
      <c r="B28" s="211" t="s">
        <v>510</v>
      </c>
      <c r="C28" s="252" t="s">
        <v>1070</v>
      </c>
      <c r="D28" s="253" t="s">
        <v>487</v>
      </c>
      <c r="E28" s="254"/>
      <c r="F28" s="255">
        <f t="shared" ref="F28:K28" si="0">F13+F17+F18+F19</f>
        <v>0</v>
      </c>
      <c r="G28" s="256">
        <f t="shared" si="0"/>
        <v>0</v>
      </c>
      <c r="H28" s="256">
        <f>H13+H17+H18+H19</f>
        <v>0</v>
      </c>
      <c r="I28" s="256">
        <f t="shared" si="0"/>
        <v>4885000</v>
      </c>
      <c r="J28" s="257">
        <f t="shared" si="0"/>
        <v>76052554</v>
      </c>
      <c r="K28" s="258">
        <f t="shared" si="0"/>
        <v>0</v>
      </c>
      <c r="L28" s="215">
        <f>SUM(F28:K28)</f>
        <v>80937554</v>
      </c>
      <c r="M28" s="216"/>
      <c r="N28" s="217"/>
      <c r="O28" s="215"/>
      <c r="V28" s="225"/>
    </row>
    <row r="29" spans="1:22" ht="13.5" x14ac:dyDescent="0.25">
      <c r="A29" s="211" t="s">
        <v>509</v>
      </c>
      <c r="B29" s="211" t="s">
        <v>511</v>
      </c>
      <c r="C29" s="259" t="s">
        <v>1070</v>
      </c>
      <c r="D29" s="220" t="s">
        <v>490</v>
      </c>
      <c r="E29" s="254"/>
      <c r="F29" s="260">
        <f t="shared" ref="F29:K29" si="1">F14+F22+F24+F26</f>
        <v>0</v>
      </c>
      <c r="G29" s="261">
        <f t="shared" si="1"/>
        <v>0</v>
      </c>
      <c r="H29" s="261">
        <f>H14+H22+H24+H26</f>
        <v>0</v>
      </c>
      <c r="I29" s="261">
        <f t="shared" si="1"/>
        <v>4885000</v>
      </c>
      <c r="J29" s="262">
        <f>J14+J22+J24+J26</f>
        <v>57582605</v>
      </c>
      <c r="K29" s="263">
        <f t="shared" si="1"/>
        <v>0</v>
      </c>
      <c r="L29" s="221">
        <f>SUM(F29:K29)</f>
        <v>62467605</v>
      </c>
      <c r="M29" s="216"/>
      <c r="N29" s="217"/>
      <c r="O29" s="221"/>
    </row>
    <row r="30" spans="1:22" ht="13.5" thickBot="1" x14ac:dyDescent="0.25">
      <c r="A30" s="264" t="s">
        <v>509</v>
      </c>
      <c r="B30" s="211" t="s">
        <v>512</v>
      </c>
      <c r="C30" s="265" t="s">
        <v>1070</v>
      </c>
      <c r="D30" s="266" t="s">
        <v>513</v>
      </c>
      <c r="E30" s="267"/>
      <c r="F30" s="268">
        <f t="shared" ref="F30:K30" si="2">F28-F29</f>
        <v>0</v>
      </c>
      <c r="G30" s="269">
        <f t="shared" si="2"/>
        <v>0</v>
      </c>
      <c r="H30" s="269">
        <f t="shared" si="2"/>
        <v>0</v>
      </c>
      <c r="I30" s="269">
        <f t="shared" si="2"/>
        <v>0</v>
      </c>
      <c r="J30" s="270">
        <f t="shared" si="2"/>
        <v>18469949</v>
      </c>
      <c r="K30" s="271">
        <f t="shared" si="2"/>
        <v>0</v>
      </c>
      <c r="L30" s="224">
        <f>L28-L29</f>
        <v>18469949</v>
      </c>
      <c r="M30" s="216"/>
      <c r="N30" s="217"/>
      <c r="O30" s="224"/>
    </row>
    <row r="31" spans="1:22" x14ac:dyDescent="0.2">
      <c r="A31" s="272"/>
      <c r="B31" s="272"/>
      <c r="C31" s="272"/>
      <c r="D31" s="272"/>
      <c r="E31" s="217"/>
      <c r="F31" s="217"/>
      <c r="G31" s="217"/>
      <c r="H31" s="217"/>
      <c r="I31" s="217"/>
      <c r="J31" s="217"/>
      <c r="K31" s="217"/>
      <c r="L31" s="217"/>
      <c r="M31" s="217"/>
      <c r="N31" s="168"/>
      <c r="O31" s="168"/>
    </row>
    <row r="32" spans="1:22" x14ac:dyDescent="0.2">
      <c r="A32" s="272"/>
      <c r="B32" s="272"/>
      <c r="C32" s="272"/>
      <c r="D32" s="272"/>
      <c r="E32" s="217"/>
      <c r="F32" s="217"/>
      <c r="G32" s="217"/>
      <c r="H32" s="217"/>
      <c r="I32" s="217"/>
      <c r="J32" s="217"/>
      <c r="K32" s="217"/>
      <c r="L32" s="273"/>
      <c r="M32" s="273"/>
      <c r="N32" s="168"/>
      <c r="O32" s="168"/>
    </row>
    <row r="33" spans="1:15" x14ac:dyDescent="0.2">
      <c r="A33" s="272"/>
      <c r="B33" s="272"/>
      <c r="C33" s="272"/>
      <c r="D33" s="272"/>
      <c r="E33" s="217"/>
      <c r="F33" s="217"/>
      <c r="G33" s="424">
        <v>6</v>
      </c>
      <c r="H33" s="217"/>
      <c r="I33" s="217"/>
      <c r="J33" s="217"/>
      <c r="K33" s="217"/>
      <c r="L33" s="273"/>
      <c r="M33" s="273"/>
      <c r="N33" s="168"/>
      <c r="O33" s="168"/>
    </row>
    <row r="34" spans="1:15" x14ac:dyDescent="0.2">
      <c r="A34" s="166"/>
      <c r="B34" s="166"/>
      <c r="C34" s="166"/>
      <c r="D34" s="166"/>
      <c r="E34" s="168"/>
      <c r="F34" s="168"/>
      <c r="G34" s="168"/>
      <c r="H34" s="168"/>
      <c r="I34" s="168"/>
      <c r="J34" s="274"/>
      <c r="K34" s="168"/>
      <c r="L34" s="168"/>
      <c r="M34" s="168"/>
      <c r="N34" s="168"/>
      <c r="O34" s="168"/>
    </row>
    <row r="35" spans="1:15" x14ac:dyDescent="0.2">
      <c r="A35" s="166"/>
      <c r="B35" s="166"/>
      <c r="C35" s="166"/>
      <c r="D35" s="166"/>
      <c r="E35" s="168"/>
      <c r="F35" s="168"/>
      <c r="G35" s="168"/>
      <c r="H35" s="168"/>
      <c r="I35" s="168"/>
      <c r="J35" s="274"/>
      <c r="K35" s="168"/>
      <c r="L35" s="168"/>
      <c r="M35" s="168"/>
      <c r="N35" s="168"/>
      <c r="O35" s="168"/>
    </row>
  </sheetData>
  <mergeCells count="2">
    <mergeCell ref="O7:O8"/>
    <mergeCell ref="A7:B7"/>
  </mergeCells>
  <phoneticPr fontId="3" type="noConversion"/>
  <pageMargins left="0.19685039370078741" right="0.19685039370078741" top="0.98425196850393704" bottom="0.98425196850393704" header="0.51181102362204722" footer="0.51181102362204722"/>
  <pageSetup scale="99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opLeftCell="A7" workbookViewId="0">
      <selection activeCell="E31" sqref="E31"/>
    </sheetView>
  </sheetViews>
  <sheetFormatPr defaultRowHeight="12.75" x14ac:dyDescent="0.2"/>
  <cols>
    <col min="1" max="1" width="5.140625" customWidth="1"/>
    <col min="2" max="2" width="21.140625" customWidth="1"/>
    <col min="3" max="3" width="9.42578125" customWidth="1"/>
    <col min="4" max="4" width="11.5703125" customWidth="1"/>
    <col min="5" max="5" width="11" customWidth="1"/>
    <col min="6" max="6" width="12" customWidth="1"/>
    <col min="7" max="7" width="13.42578125" customWidth="1"/>
    <col min="9" max="10" width="10.140625" bestFit="1" customWidth="1"/>
    <col min="13" max="13" width="12.28515625" customWidth="1"/>
  </cols>
  <sheetData>
    <row r="1" spans="1:9" ht="15" x14ac:dyDescent="0.2">
      <c r="B1" s="294" t="s">
        <v>596</v>
      </c>
    </row>
    <row r="2" spans="1:9" x14ac:dyDescent="0.2">
      <c r="B2" s="295" t="s">
        <v>597</v>
      </c>
    </row>
    <row r="3" spans="1:9" x14ac:dyDescent="0.2">
      <c r="B3" s="295"/>
    </row>
    <row r="4" spans="1:9" ht="15.75" x14ac:dyDescent="0.25">
      <c r="B4" s="587" t="s">
        <v>1071</v>
      </c>
      <c r="C4" s="587"/>
      <c r="D4" s="587"/>
      <c r="E4" s="587"/>
      <c r="F4" s="587"/>
      <c r="G4" s="587"/>
    </row>
    <row r="5" spans="1:9" ht="13.5" thickBot="1" x14ac:dyDescent="0.25"/>
    <row r="6" spans="1:9" x14ac:dyDescent="0.2">
      <c r="A6" s="588" t="s">
        <v>166</v>
      </c>
      <c r="B6" s="590" t="s">
        <v>585</v>
      </c>
      <c r="C6" s="592" t="s">
        <v>586</v>
      </c>
      <c r="D6" s="369" t="s">
        <v>587</v>
      </c>
      <c r="E6" s="592" t="s">
        <v>588</v>
      </c>
      <c r="F6" s="592" t="s">
        <v>589</v>
      </c>
      <c r="G6" s="370" t="s">
        <v>587</v>
      </c>
    </row>
    <row r="7" spans="1:9" ht="13.5" thickBot="1" x14ac:dyDescent="0.25">
      <c r="A7" s="589"/>
      <c r="B7" s="591"/>
      <c r="C7" s="593"/>
      <c r="D7" s="371">
        <v>43831</v>
      </c>
      <c r="E7" s="593"/>
      <c r="F7" s="593"/>
      <c r="G7" s="372">
        <v>44196</v>
      </c>
      <c r="H7" s="296"/>
      <c r="I7" s="296"/>
    </row>
    <row r="8" spans="1:9" x14ac:dyDescent="0.2">
      <c r="A8" s="367">
        <v>1</v>
      </c>
      <c r="B8" s="298" t="s">
        <v>479</v>
      </c>
      <c r="C8" s="367"/>
      <c r="D8" s="368"/>
      <c r="E8" s="368"/>
      <c r="F8" s="368"/>
      <c r="G8" s="368">
        <f t="shared" ref="G8:G16" si="0">D8+E8-F8</f>
        <v>0</v>
      </c>
      <c r="H8" s="296"/>
      <c r="I8" s="296"/>
    </row>
    <row r="9" spans="1:9" x14ac:dyDescent="0.2">
      <c r="A9" s="297">
        <v>2</v>
      </c>
      <c r="B9" s="298" t="s">
        <v>590</v>
      </c>
      <c r="C9" s="297"/>
      <c r="D9" s="299"/>
      <c r="E9" s="299"/>
      <c r="F9" s="299"/>
      <c r="G9" s="299">
        <f t="shared" si="0"/>
        <v>0</v>
      </c>
      <c r="H9" s="300"/>
      <c r="I9" s="301"/>
    </row>
    <row r="10" spans="1:9" x14ac:dyDescent="0.2">
      <c r="A10" s="297">
        <v>3</v>
      </c>
      <c r="B10" s="302" t="s">
        <v>591</v>
      </c>
      <c r="C10" s="297"/>
      <c r="D10" s="299">
        <f>+'Aq&amp;AM'!H13</f>
        <v>0</v>
      </c>
      <c r="E10" s="299">
        <f>+'Aq&amp;AM'!H17</f>
        <v>0</v>
      </c>
      <c r="F10" s="299">
        <v>0</v>
      </c>
      <c r="G10" s="299">
        <f t="shared" si="0"/>
        <v>0</v>
      </c>
      <c r="H10" s="300"/>
      <c r="I10" s="301"/>
    </row>
    <row r="11" spans="1:9" x14ac:dyDescent="0.2">
      <c r="A11" s="297">
        <v>4</v>
      </c>
      <c r="B11" s="302" t="s">
        <v>592</v>
      </c>
      <c r="C11" s="297"/>
      <c r="D11" s="299">
        <f>+'Aq&amp;AM'!I13</f>
        <v>4885000</v>
      </c>
      <c r="E11" s="299">
        <f>+'Aq&amp;AM'!I17</f>
        <v>0</v>
      </c>
      <c r="F11" s="299">
        <f>+'Aq&amp;AM'!I18</f>
        <v>0</v>
      </c>
      <c r="G11" s="299">
        <f t="shared" si="0"/>
        <v>4885000</v>
      </c>
      <c r="H11" s="300"/>
      <c r="I11" s="301"/>
    </row>
    <row r="12" spans="1:9" x14ac:dyDescent="0.2">
      <c r="A12" s="297">
        <v>5</v>
      </c>
      <c r="B12" s="302" t="s">
        <v>598</v>
      </c>
      <c r="C12" s="297"/>
      <c r="D12" s="299">
        <f>+'Aq&amp;AM'!J13</f>
        <v>73238299</v>
      </c>
      <c r="E12" s="320">
        <f>+'Aq&amp;AM'!J17</f>
        <v>2814255</v>
      </c>
      <c r="F12" s="299">
        <v>0</v>
      </c>
      <c r="G12" s="299">
        <f t="shared" si="0"/>
        <v>76052554</v>
      </c>
      <c r="H12" s="300"/>
      <c r="I12" s="301"/>
    </row>
    <row r="13" spans="1:9" x14ac:dyDescent="0.2">
      <c r="A13" s="297">
        <v>6</v>
      </c>
      <c r="B13" s="302"/>
      <c r="C13" s="297"/>
      <c r="D13" s="299"/>
      <c r="E13" s="299"/>
      <c r="F13" s="299"/>
      <c r="G13" s="299">
        <f t="shared" si="0"/>
        <v>0</v>
      </c>
      <c r="H13" s="300"/>
      <c r="I13" s="301"/>
    </row>
    <row r="14" spans="1:9" x14ac:dyDescent="0.2">
      <c r="A14" s="297">
        <v>7</v>
      </c>
      <c r="B14" s="303"/>
      <c r="C14" s="297"/>
      <c r="D14" s="299"/>
      <c r="E14" s="299"/>
      <c r="F14" s="299"/>
      <c r="G14" s="299">
        <f t="shared" si="0"/>
        <v>0</v>
      </c>
      <c r="H14" s="296"/>
      <c r="I14" s="296"/>
    </row>
    <row r="15" spans="1:9" x14ac:dyDescent="0.2">
      <c r="A15" s="297">
        <v>8</v>
      </c>
      <c r="B15" s="303"/>
      <c r="C15" s="297"/>
      <c r="D15" s="299"/>
      <c r="E15" s="299"/>
      <c r="F15" s="299"/>
      <c r="G15" s="299">
        <f t="shared" si="0"/>
        <v>0</v>
      </c>
      <c r="H15" s="296"/>
      <c r="I15" s="296"/>
    </row>
    <row r="16" spans="1:9" ht="13.5" thickBot="1" x14ac:dyDescent="0.25">
      <c r="A16" s="297">
        <v>9</v>
      </c>
      <c r="B16" s="305"/>
      <c r="C16" s="304"/>
      <c r="D16" s="306"/>
      <c r="E16" s="306"/>
      <c r="F16" s="306"/>
      <c r="G16" s="306">
        <f t="shared" si="0"/>
        <v>0</v>
      </c>
      <c r="H16" s="296"/>
      <c r="I16" s="296"/>
    </row>
    <row r="17" spans="1:9" ht="13.5" thickBot="1" x14ac:dyDescent="0.25">
      <c r="A17" s="307"/>
      <c r="B17" s="308" t="s">
        <v>593</v>
      </c>
      <c r="C17" s="309"/>
      <c r="D17" s="310">
        <f>SUM(D8:D16)</f>
        <v>78123299</v>
      </c>
      <c r="E17" s="310">
        <f>SUM(E8:E16)</f>
        <v>2814255</v>
      </c>
      <c r="F17" s="310">
        <f>SUM(F8:F16)</f>
        <v>0</v>
      </c>
      <c r="G17" s="311">
        <f>SUM(G8:G16)</f>
        <v>80937554</v>
      </c>
      <c r="I17" s="312"/>
    </row>
    <row r="20" spans="1:9" ht="15.75" x14ac:dyDescent="0.25">
      <c r="B20" s="587" t="s">
        <v>1072</v>
      </c>
      <c r="C20" s="587"/>
      <c r="D20" s="587"/>
      <c r="E20" s="587"/>
      <c r="F20" s="587"/>
      <c r="G20" s="587"/>
      <c r="I20" s="312"/>
    </row>
    <row r="21" spans="1:9" ht="13.5" thickBot="1" x14ac:dyDescent="0.25"/>
    <row r="22" spans="1:9" x14ac:dyDescent="0.2">
      <c r="A22" s="588" t="s">
        <v>166</v>
      </c>
      <c r="B22" s="590" t="s">
        <v>585</v>
      </c>
      <c r="C22" s="592" t="s">
        <v>586</v>
      </c>
      <c r="D22" s="369" t="s">
        <v>587</v>
      </c>
      <c r="E22" s="592" t="s">
        <v>588</v>
      </c>
      <c r="F22" s="592" t="s">
        <v>589</v>
      </c>
      <c r="G22" s="370" t="s">
        <v>587</v>
      </c>
    </row>
    <row r="23" spans="1:9" ht="13.5" thickBot="1" x14ac:dyDescent="0.25">
      <c r="A23" s="589"/>
      <c r="B23" s="591"/>
      <c r="C23" s="593"/>
      <c r="D23" s="371">
        <f>+D7</f>
        <v>43831</v>
      </c>
      <c r="E23" s="593"/>
      <c r="F23" s="593"/>
      <c r="G23" s="372">
        <f>+G7</f>
        <v>44196</v>
      </c>
    </row>
    <row r="24" spans="1:9" x14ac:dyDescent="0.2">
      <c r="A24" s="477">
        <v>1</v>
      </c>
      <c r="B24" s="317" t="s">
        <v>479</v>
      </c>
      <c r="C24" s="367"/>
      <c r="D24" s="368"/>
      <c r="E24" s="368"/>
      <c r="F24" s="368"/>
      <c r="G24" s="478">
        <f>D24+E24</f>
        <v>0</v>
      </c>
    </row>
    <row r="25" spans="1:9" x14ac:dyDescent="0.2">
      <c r="A25" s="473">
        <v>2</v>
      </c>
      <c r="B25" s="317" t="s">
        <v>590</v>
      </c>
      <c r="C25" s="297"/>
      <c r="D25" s="299"/>
      <c r="E25" s="299"/>
      <c r="F25" s="299"/>
      <c r="G25" s="474">
        <f>D25+E25</f>
        <v>0</v>
      </c>
    </row>
    <row r="26" spans="1:9" x14ac:dyDescent="0.2">
      <c r="A26" s="473">
        <v>3</v>
      </c>
      <c r="B26" s="302" t="s">
        <v>594</v>
      </c>
      <c r="C26" s="297"/>
      <c r="D26" s="299">
        <f>+'Aq&amp;AM'!H14</f>
        <v>0</v>
      </c>
      <c r="E26" s="321">
        <f>+'Aq&amp;AM'!H22</f>
        <v>0</v>
      </c>
      <c r="F26" s="299">
        <v>0</v>
      </c>
      <c r="G26" s="474">
        <f>D26+E26-F26</f>
        <v>0</v>
      </c>
    </row>
    <row r="27" spans="1:9" x14ac:dyDescent="0.2">
      <c r="A27" s="473">
        <v>4</v>
      </c>
      <c r="B27" s="302" t="s">
        <v>592</v>
      </c>
      <c r="C27" s="297"/>
      <c r="D27" s="299">
        <f>+'Aq&amp;AM'!I14</f>
        <v>4885000</v>
      </c>
      <c r="E27" s="322">
        <f>+'Aq&amp;AM'!I22</f>
        <v>0</v>
      </c>
      <c r="F27" s="299">
        <v>0</v>
      </c>
      <c r="G27" s="474">
        <f>D27+E27</f>
        <v>4885000</v>
      </c>
    </row>
    <row r="28" spans="1:9" x14ac:dyDescent="0.2">
      <c r="A28" s="473">
        <v>5</v>
      </c>
      <c r="B28" s="302" t="s">
        <v>598</v>
      </c>
      <c r="C28" s="297"/>
      <c r="D28" s="299">
        <f>+'Aq&amp;AM'!J14</f>
        <v>53434160</v>
      </c>
      <c r="E28" s="321">
        <f>+'Aq&amp;AM'!J22</f>
        <v>4148445</v>
      </c>
      <c r="F28" s="299">
        <v>0</v>
      </c>
      <c r="G28" s="474">
        <f>D28+E28-F28</f>
        <v>57582605</v>
      </c>
    </row>
    <row r="29" spans="1:9" x14ac:dyDescent="0.2">
      <c r="A29" s="473">
        <v>1</v>
      </c>
      <c r="B29" s="302"/>
      <c r="C29" s="297"/>
      <c r="D29" s="299"/>
      <c r="E29" s="299"/>
      <c r="F29" s="299"/>
      <c r="G29" s="474"/>
    </row>
    <row r="30" spans="1:9" x14ac:dyDescent="0.2">
      <c r="A30" s="473">
        <v>2</v>
      </c>
      <c r="B30" s="303"/>
      <c r="C30" s="297"/>
      <c r="D30" s="299"/>
      <c r="E30" s="299"/>
      <c r="F30" s="299"/>
      <c r="G30" s="474">
        <f>D30+E30-F30</f>
        <v>0</v>
      </c>
    </row>
    <row r="31" spans="1:9" x14ac:dyDescent="0.2">
      <c r="A31" s="473">
        <v>3</v>
      </c>
      <c r="B31" s="303"/>
      <c r="C31" s="297"/>
      <c r="D31" s="299"/>
      <c r="E31" s="299"/>
      <c r="F31" s="299"/>
      <c r="G31" s="474">
        <f>D31+E31-F31</f>
        <v>0</v>
      </c>
    </row>
    <row r="32" spans="1:9" ht="13.5" thickBot="1" x14ac:dyDescent="0.25">
      <c r="A32" s="475">
        <v>4</v>
      </c>
      <c r="B32" s="305"/>
      <c r="C32" s="304"/>
      <c r="D32" s="306"/>
      <c r="E32" s="306"/>
      <c r="F32" s="306"/>
      <c r="G32" s="476">
        <f>D32+E32-F32</f>
        <v>0</v>
      </c>
    </row>
    <row r="33" spans="1:14" ht="13.5" thickBot="1" x14ac:dyDescent="0.25">
      <c r="A33" s="307"/>
      <c r="B33" s="308" t="s">
        <v>593</v>
      </c>
      <c r="C33" s="309"/>
      <c r="D33" s="310">
        <f>SUM(D24:D32)</f>
        <v>58319160</v>
      </c>
      <c r="E33" s="310">
        <f>SUM(E24:E32)</f>
        <v>4148445</v>
      </c>
      <c r="F33" s="310">
        <f>SUM(F24:F32)</f>
        <v>0</v>
      </c>
      <c r="G33" s="311">
        <f>SUM(G24:G32)</f>
        <v>62467605</v>
      </c>
      <c r="H33" s="313"/>
      <c r="I33" s="312"/>
      <c r="J33" s="312"/>
    </row>
    <row r="34" spans="1:14" x14ac:dyDescent="0.2">
      <c r="G34" s="313"/>
    </row>
    <row r="36" spans="1:14" ht="16.5" thickBot="1" x14ac:dyDescent="0.3">
      <c r="B36" s="587" t="s">
        <v>1073</v>
      </c>
      <c r="C36" s="587"/>
      <c r="D36" s="587"/>
      <c r="E36" s="587"/>
      <c r="F36" s="587"/>
      <c r="G36" s="587"/>
    </row>
    <row r="37" spans="1:14" x14ac:dyDescent="0.2">
      <c r="A37" s="588" t="s">
        <v>166</v>
      </c>
      <c r="B37" s="590" t="s">
        <v>585</v>
      </c>
      <c r="C37" s="592" t="s">
        <v>586</v>
      </c>
      <c r="D37" s="369" t="s">
        <v>587</v>
      </c>
      <c r="E37" s="592" t="s">
        <v>588</v>
      </c>
      <c r="F37" s="592" t="s">
        <v>589</v>
      </c>
      <c r="G37" s="370" t="s">
        <v>587</v>
      </c>
    </row>
    <row r="38" spans="1:14" ht="13.5" thickBot="1" x14ac:dyDescent="0.25">
      <c r="A38" s="589"/>
      <c r="B38" s="591"/>
      <c r="C38" s="593"/>
      <c r="D38" s="371">
        <f>+D7</f>
        <v>43831</v>
      </c>
      <c r="E38" s="593"/>
      <c r="F38" s="593"/>
      <c r="G38" s="372">
        <f>+G7</f>
        <v>44196</v>
      </c>
    </row>
    <row r="39" spans="1:14" x14ac:dyDescent="0.2">
      <c r="A39" s="367">
        <v>1</v>
      </c>
      <c r="B39" s="298" t="s">
        <v>479</v>
      </c>
      <c r="C39" s="367"/>
      <c r="D39" s="368"/>
      <c r="E39" s="368"/>
      <c r="F39" s="368"/>
      <c r="G39" s="368">
        <f t="shared" ref="G39:G47" si="1">D39+E39-F39</f>
        <v>0</v>
      </c>
    </row>
    <row r="40" spans="1:14" x14ac:dyDescent="0.2">
      <c r="A40" s="297">
        <v>2</v>
      </c>
      <c r="B40" s="302" t="s">
        <v>590</v>
      </c>
      <c r="C40" s="297"/>
      <c r="D40" s="299"/>
      <c r="E40" s="299"/>
      <c r="F40" s="299"/>
      <c r="G40" s="299">
        <f t="shared" si="1"/>
        <v>0</v>
      </c>
      <c r="M40" s="296"/>
      <c r="N40" s="296"/>
    </row>
    <row r="41" spans="1:14" x14ac:dyDescent="0.2">
      <c r="A41" s="297">
        <v>3</v>
      </c>
      <c r="B41" s="302" t="s">
        <v>594</v>
      </c>
      <c r="C41" s="297"/>
      <c r="D41" s="322">
        <f>+D10-D26</f>
        <v>0</v>
      </c>
      <c r="E41" s="321">
        <f>+E10-E26</f>
        <v>0</v>
      </c>
      <c r="F41" s="322">
        <f>+F10-F26</f>
        <v>0</v>
      </c>
      <c r="G41" s="299">
        <f t="shared" si="1"/>
        <v>0</v>
      </c>
      <c r="M41" s="296"/>
      <c r="N41" s="296"/>
    </row>
    <row r="42" spans="1:14" x14ac:dyDescent="0.2">
      <c r="A42" s="297">
        <v>4</v>
      </c>
      <c r="B42" s="302" t="s">
        <v>592</v>
      </c>
      <c r="C42" s="297"/>
      <c r="D42" s="322">
        <f t="shared" ref="D42:F43" si="2">+D11-D27</f>
        <v>0</v>
      </c>
      <c r="E42" s="321">
        <f t="shared" si="2"/>
        <v>0</v>
      </c>
      <c r="F42" s="322">
        <f t="shared" si="2"/>
        <v>0</v>
      </c>
      <c r="G42" s="299">
        <f t="shared" si="1"/>
        <v>0</v>
      </c>
      <c r="M42" s="296"/>
      <c r="N42" s="296"/>
    </row>
    <row r="43" spans="1:14" x14ac:dyDescent="0.2">
      <c r="A43" s="297">
        <v>5</v>
      </c>
      <c r="B43" s="302" t="s">
        <v>598</v>
      </c>
      <c r="C43" s="297"/>
      <c r="D43" s="322">
        <f t="shared" si="2"/>
        <v>19804139</v>
      </c>
      <c r="E43" s="321">
        <f t="shared" si="2"/>
        <v>-1334190</v>
      </c>
      <c r="F43" s="322">
        <f t="shared" si="2"/>
        <v>0</v>
      </c>
      <c r="G43" s="299">
        <f t="shared" si="1"/>
        <v>18469949</v>
      </c>
      <c r="M43" s="296"/>
      <c r="N43" s="296"/>
    </row>
    <row r="44" spans="1:14" x14ac:dyDescent="0.2">
      <c r="A44" s="297">
        <v>1</v>
      </c>
      <c r="B44" s="302"/>
      <c r="C44" s="297"/>
      <c r="D44" s="299"/>
      <c r="E44" s="299"/>
      <c r="F44" s="299"/>
      <c r="G44" s="299">
        <f t="shared" si="1"/>
        <v>0</v>
      </c>
      <c r="M44" s="296"/>
      <c r="N44" s="296"/>
    </row>
    <row r="45" spans="1:14" x14ac:dyDescent="0.2">
      <c r="A45" s="297">
        <v>2</v>
      </c>
      <c r="B45" s="302"/>
      <c r="C45" s="297"/>
      <c r="D45" s="299"/>
      <c r="E45" s="299"/>
      <c r="F45" s="299"/>
      <c r="G45" s="299">
        <f t="shared" si="1"/>
        <v>0</v>
      </c>
      <c r="M45" s="296"/>
      <c r="N45" s="296"/>
    </row>
    <row r="46" spans="1:14" x14ac:dyDescent="0.2">
      <c r="A46" s="297">
        <v>3</v>
      </c>
      <c r="B46" s="303"/>
      <c r="C46" s="297"/>
      <c r="D46" s="299"/>
      <c r="E46" s="299"/>
      <c r="F46" s="299"/>
      <c r="G46" s="299">
        <f t="shared" si="1"/>
        <v>0</v>
      </c>
      <c r="M46" s="296"/>
      <c r="N46" s="296"/>
    </row>
    <row r="47" spans="1:14" ht="13.5" thickBot="1" x14ac:dyDescent="0.25">
      <c r="A47" s="304">
        <v>4</v>
      </c>
      <c r="B47" s="305"/>
      <c r="C47" s="304"/>
      <c r="D47" s="306"/>
      <c r="E47" s="306"/>
      <c r="F47" s="306"/>
      <c r="G47" s="306">
        <f t="shared" si="1"/>
        <v>0</v>
      </c>
      <c r="M47" s="296"/>
      <c r="N47" s="296"/>
    </row>
    <row r="48" spans="1:14" ht="13.5" thickBot="1" x14ac:dyDescent="0.25">
      <c r="A48" s="307"/>
      <c r="B48" s="308" t="s">
        <v>593</v>
      </c>
      <c r="C48" s="309"/>
      <c r="D48" s="310">
        <f>SUM(D39:D47)</f>
        <v>19804139</v>
      </c>
      <c r="E48" s="310">
        <f>SUM(E39:E47)</f>
        <v>-1334190</v>
      </c>
      <c r="F48" s="310">
        <f>SUM(F39:F47)</f>
        <v>0</v>
      </c>
      <c r="G48" s="311">
        <f>SUM(G39:G47)</f>
        <v>18469949</v>
      </c>
      <c r="I48" s="313"/>
      <c r="J48" s="312"/>
      <c r="M48" s="314"/>
      <c r="N48" s="296"/>
    </row>
    <row r="49" spans="3:14" s="296" customFormat="1" x14ac:dyDescent="0.2">
      <c r="F49" s="301"/>
      <c r="G49" s="315"/>
      <c r="J49" s="301"/>
    </row>
    <row r="50" spans="3:14" x14ac:dyDescent="0.2">
      <c r="D50" s="312"/>
      <c r="G50" s="312"/>
      <c r="I50" s="313"/>
      <c r="M50" s="296"/>
      <c r="N50" s="296"/>
    </row>
    <row r="51" spans="3:14" x14ac:dyDescent="0.2">
      <c r="C51" s="316">
        <v>7</v>
      </c>
      <c r="D51" s="312"/>
      <c r="G51" s="312"/>
      <c r="I51" s="312"/>
      <c r="M51" s="296"/>
      <c r="N51" s="296"/>
    </row>
    <row r="52" spans="3:14" ht="15.75" x14ac:dyDescent="0.25">
      <c r="E52" s="585" t="s">
        <v>595</v>
      </c>
      <c r="F52" s="585"/>
      <c r="G52" s="585"/>
      <c r="M52" s="296"/>
      <c r="N52" s="296"/>
    </row>
    <row r="53" spans="3:14" x14ac:dyDescent="0.2">
      <c r="E53" s="586" t="s">
        <v>646</v>
      </c>
      <c r="F53" s="586"/>
      <c r="G53" s="586"/>
    </row>
  </sheetData>
  <mergeCells count="20">
    <mergeCell ref="B4:G4"/>
    <mergeCell ref="A6:A7"/>
    <mergeCell ref="B6:B7"/>
    <mergeCell ref="C6:C7"/>
    <mergeCell ref="E6:E7"/>
    <mergeCell ref="F6:F7"/>
    <mergeCell ref="B20:G20"/>
    <mergeCell ref="A22:A23"/>
    <mergeCell ref="B22:B23"/>
    <mergeCell ref="C22:C23"/>
    <mergeCell ref="E22:E23"/>
    <mergeCell ref="F22:F23"/>
    <mergeCell ref="E52:G52"/>
    <mergeCell ref="E53:G53"/>
    <mergeCell ref="B36:G36"/>
    <mergeCell ref="A37:A38"/>
    <mergeCell ref="B37:B38"/>
    <mergeCell ref="C37:C38"/>
    <mergeCell ref="E37:E38"/>
    <mergeCell ref="F37:F38"/>
  </mergeCells>
  <pageMargins left="0.7" right="0.7" top="0.43" bottom="0.75" header="0.24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workbookViewId="0">
      <selection activeCell="E31" sqref="E31"/>
    </sheetView>
  </sheetViews>
  <sheetFormatPr defaultRowHeight="12.75" x14ac:dyDescent="0.2"/>
  <cols>
    <col min="1" max="1" width="7.42578125" customWidth="1"/>
    <col min="2" max="2" width="14.42578125" customWidth="1"/>
    <col min="3" max="3" width="20.85546875" customWidth="1"/>
    <col min="4" max="6" width="14.42578125" customWidth="1"/>
    <col min="7" max="7" width="17.28515625" customWidth="1"/>
    <col min="8" max="9" width="14.42578125" customWidth="1"/>
    <col min="10" max="10" width="17.28515625" customWidth="1"/>
    <col min="11" max="12" width="30" customWidth="1"/>
    <col min="13" max="13" width="22.5703125" customWidth="1"/>
    <col min="14" max="14" width="17.28515625" customWidth="1"/>
    <col min="19" max="19" width="17.85546875" customWidth="1"/>
  </cols>
  <sheetData>
    <row r="1" spans="1:13" ht="15" x14ac:dyDescent="0.2">
      <c r="A1" s="294" t="s">
        <v>596</v>
      </c>
    </row>
    <row r="2" spans="1:13" x14ac:dyDescent="0.2">
      <c r="A2" s="295" t="s">
        <v>597</v>
      </c>
    </row>
    <row r="3" spans="1:13" ht="18" x14ac:dyDescent="0.25">
      <c r="A3" s="327" t="s">
        <v>602</v>
      </c>
      <c r="F3" s="334" t="s">
        <v>1074</v>
      </c>
    </row>
    <row r="5" spans="1:13" ht="15.75" x14ac:dyDescent="0.25">
      <c r="A5" s="555" t="s">
        <v>166</v>
      </c>
      <c r="B5" s="556" t="s">
        <v>1041</v>
      </c>
      <c r="C5" s="556" t="s">
        <v>1042</v>
      </c>
      <c r="D5" s="556" t="s">
        <v>1043</v>
      </c>
      <c r="E5" s="556" t="s">
        <v>1044</v>
      </c>
      <c r="F5" s="556" t="s">
        <v>1045</v>
      </c>
      <c r="G5" s="556" t="s">
        <v>1046</v>
      </c>
      <c r="H5" s="556" t="s">
        <v>1047</v>
      </c>
      <c r="I5" s="556" t="s">
        <v>603</v>
      </c>
      <c r="J5" s="556" t="s">
        <v>1048</v>
      </c>
      <c r="K5" s="556" t="s">
        <v>1049</v>
      </c>
      <c r="L5" s="556" t="s">
        <v>1050</v>
      </c>
      <c r="M5" s="556" t="s">
        <v>1051</v>
      </c>
    </row>
    <row r="6" spans="1:13" ht="15.95" customHeight="1" x14ac:dyDescent="0.2">
      <c r="A6" s="328"/>
      <c r="B6" s="557"/>
      <c r="C6" s="557"/>
      <c r="D6" s="329"/>
      <c r="E6" s="557"/>
      <c r="F6" s="329"/>
      <c r="G6" s="557"/>
      <c r="H6" s="557"/>
      <c r="I6" s="557"/>
      <c r="J6" s="558"/>
      <c r="K6" s="558"/>
      <c r="L6" s="559"/>
      <c r="M6" s="558"/>
    </row>
    <row r="7" spans="1:13" ht="15.95" customHeight="1" x14ac:dyDescent="0.2">
      <c r="A7" s="330"/>
      <c r="B7" s="560"/>
      <c r="C7" s="560"/>
      <c r="D7" s="560"/>
      <c r="E7" s="560"/>
      <c r="F7" s="331"/>
      <c r="G7" s="560"/>
      <c r="H7" s="560"/>
      <c r="I7" s="560"/>
      <c r="J7" s="561"/>
      <c r="K7" s="561"/>
      <c r="L7" s="562"/>
      <c r="M7" s="561"/>
    </row>
    <row r="8" spans="1:13" ht="15.95" customHeight="1" x14ac:dyDescent="0.2">
      <c r="A8" s="330"/>
      <c r="B8" s="560"/>
      <c r="C8" s="560"/>
      <c r="D8" s="560"/>
      <c r="E8" s="560"/>
      <c r="F8" s="560"/>
      <c r="G8" s="560"/>
      <c r="H8" s="560"/>
      <c r="I8" s="560"/>
      <c r="J8" s="331"/>
      <c r="K8" s="331"/>
      <c r="L8" s="562"/>
      <c r="M8" s="563"/>
    </row>
    <row r="9" spans="1:13" ht="15.95" customHeight="1" x14ac:dyDescent="0.2">
      <c r="A9" s="330"/>
      <c r="B9" s="560"/>
      <c r="C9" s="560"/>
      <c r="D9" s="560"/>
      <c r="E9" s="560"/>
      <c r="F9" s="560"/>
      <c r="G9" s="560"/>
      <c r="H9" s="560"/>
      <c r="I9" s="560"/>
      <c r="J9" s="331"/>
      <c r="K9" s="331"/>
      <c r="L9" s="562"/>
      <c r="M9" s="563"/>
    </row>
    <row r="10" spans="1:13" ht="15.95" customHeight="1" x14ac:dyDescent="0.2">
      <c r="A10" s="330"/>
      <c r="B10" s="560"/>
      <c r="C10" s="560"/>
      <c r="D10" s="560"/>
      <c r="E10" s="560"/>
      <c r="F10" s="560"/>
      <c r="G10" s="560"/>
      <c r="H10" s="560"/>
      <c r="I10" s="560"/>
      <c r="J10" s="331"/>
      <c r="K10" s="331"/>
      <c r="L10" s="562"/>
      <c r="M10" s="563"/>
    </row>
    <row r="11" spans="1:13" ht="15.95" customHeight="1" x14ac:dyDescent="0.2">
      <c r="A11" s="330"/>
      <c r="B11" s="560"/>
      <c r="C11" s="560"/>
      <c r="D11" s="560"/>
      <c r="E11" s="560"/>
      <c r="F11" s="560"/>
      <c r="G11" s="560"/>
      <c r="H11" s="560"/>
      <c r="I11" s="560"/>
      <c r="J11" s="331"/>
      <c r="K11" s="331"/>
      <c r="L11" s="562"/>
      <c r="M11" s="563"/>
    </row>
    <row r="12" spans="1:13" ht="15.95" customHeight="1" x14ac:dyDescent="0.2">
      <c r="A12" s="330"/>
      <c r="B12" s="560"/>
      <c r="C12" s="560"/>
      <c r="D12" s="560"/>
      <c r="E12" s="560"/>
      <c r="F12" s="560"/>
      <c r="G12" s="560"/>
      <c r="H12" s="560"/>
      <c r="I12" s="560"/>
      <c r="J12" s="331"/>
      <c r="K12" s="331"/>
      <c r="L12" s="562"/>
      <c r="M12" s="563"/>
    </row>
    <row r="13" spans="1:13" ht="15.95" customHeight="1" x14ac:dyDescent="0.2">
      <c r="A13" s="330"/>
      <c r="B13" s="560"/>
      <c r="C13" s="560"/>
      <c r="D13" s="560"/>
      <c r="E13" s="560"/>
      <c r="F13" s="560"/>
      <c r="G13" s="560"/>
      <c r="H13" s="560"/>
      <c r="I13" s="560"/>
      <c r="J13" s="331"/>
      <c r="K13" s="331"/>
      <c r="L13" s="562"/>
      <c r="M13" s="563"/>
    </row>
    <row r="14" spans="1:13" ht="15.95" customHeight="1" x14ac:dyDescent="0.2">
      <c r="A14" s="330"/>
      <c r="B14" s="560"/>
      <c r="C14" s="560"/>
      <c r="D14" s="560"/>
      <c r="E14" s="560"/>
      <c r="F14" s="560"/>
      <c r="G14" s="560"/>
      <c r="H14" s="560"/>
      <c r="I14" s="560"/>
      <c r="J14" s="331"/>
      <c r="K14" s="331"/>
      <c r="L14" s="562"/>
      <c r="M14" s="563"/>
    </row>
    <row r="15" spans="1:13" ht="15.95" customHeight="1" x14ac:dyDescent="0.2">
      <c r="A15" s="330"/>
      <c r="B15" s="560"/>
      <c r="C15" s="560"/>
      <c r="D15" s="560"/>
      <c r="E15" s="560"/>
      <c r="F15" s="560"/>
      <c r="G15" s="560"/>
      <c r="H15" s="560"/>
      <c r="I15" s="560"/>
      <c r="J15" s="331"/>
      <c r="K15" s="331"/>
      <c r="L15" s="562"/>
      <c r="M15" s="563"/>
    </row>
    <row r="16" spans="1:13" ht="15.95" customHeight="1" x14ac:dyDescent="0.2">
      <c r="A16" s="330"/>
      <c r="B16" s="560"/>
      <c r="C16" s="560"/>
      <c r="D16" s="560"/>
      <c r="E16" s="560"/>
      <c r="F16" s="560"/>
      <c r="G16" s="560"/>
      <c r="H16" s="560"/>
      <c r="I16" s="560"/>
      <c r="J16" s="331"/>
      <c r="K16" s="331"/>
      <c r="L16" s="562"/>
      <c r="M16" s="563"/>
    </row>
    <row r="17" spans="1:13" ht="15.95" customHeight="1" x14ac:dyDescent="0.2">
      <c r="A17" s="330"/>
      <c r="B17" s="560"/>
      <c r="C17" s="560"/>
      <c r="D17" s="560"/>
      <c r="E17" s="560"/>
      <c r="F17" s="560"/>
      <c r="G17" s="560"/>
      <c r="H17" s="560"/>
      <c r="I17" s="560"/>
      <c r="J17" s="331"/>
      <c r="K17" s="331"/>
      <c r="L17" s="562"/>
      <c r="M17" s="563"/>
    </row>
    <row r="18" spans="1:13" ht="15.95" customHeight="1" x14ac:dyDescent="0.2">
      <c r="A18" s="330"/>
      <c r="B18" s="560"/>
      <c r="C18" s="560"/>
      <c r="D18" s="560"/>
      <c r="E18" s="560"/>
      <c r="F18" s="560"/>
      <c r="G18" s="560"/>
      <c r="H18" s="560"/>
      <c r="I18" s="560"/>
      <c r="J18" s="331"/>
      <c r="K18" s="331"/>
      <c r="L18" s="562"/>
      <c r="M18" s="563"/>
    </row>
    <row r="19" spans="1:13" ht="15.95" customHeight="1" x14ac:dyDescent="0.2">
      <c r="A19" s="330"/>
      <c r="B19" s="560"/>
      <c r="C19" s="560"/>
      <c r="D19" s="560"/>
      <c r="E19" s="560"/>
      <c r="F19" s="560"/>
      <c r="G19" s="560"/>
      <c r="H19" s="560"/>
      <c r="I19" s="560"/>
      <c r="J19" s="331"/>
      <c r="K19" s="331"/>
      <c r="L19" s="562"/>
      <c r="M19" s="563"/>
    </row>
    <row r="20" spans="1:13" ht="15.95" customHeight="1" x14ac:dyDescent="0.2">
      <c r="A20" s="330"/>
      <c r="B20" s="560"/>
      <c r="C20" s="560"/>
      <c r="D20" s="560"/>
      <c r="E20" s="560"/>
      <c r="F20" s="560"/>
      <c r="G20" s="560"/>
      <c r="H20" s="560"/>
      <c r="I20" s="560"/>
      <c r="J20" s="331"/>
      <c r="K20" s="331"/>
      <c r="L20" s="562"/>
      <c r="M20" s="563"/>
    </row>
    <row r="21" spans="1:13" ht="15.95" customHeight="1" x14ac:dyDescent="0.2">
      <c r="A21" s="330"/>
      <c r="B21" s="560"/>
      <c r="C21" s="560"/>
      <c r="D21" s="560"/>
      <c r="E21" s="560"/>
      <c r="F21" s="560"/>
      <c r="G21" s="560"/>
      <c r="H21" s="560"/>
      <c r="I21" s="560"/>
      <c r="J21" s="331"/>
      <c r="K21" s="331"/>
      <c r="L21" s="562"/>
      <c r="M21" s="563"/>
    </row>
    <row r="22" spans="1:13" ht="15.95" customHeight="1" thickBot="1" x14ac:dyDescent="0.25">
      <c r="A22" s="564"/>
      <c r="B22" s="565"/>
      <c r="C22" s="565"/>
      <c r="D22" s="565"/>
      <c r="E22" s="565"/>
      <c r="F22" s="565"/>
      <c r="G22" s="565"/>
      <c r="H22" s="565"/>
      <c r="I22" s="565"/>
      <c r="J22" s="566"/>
      <c r="K22" s="566"/>
      <c r="L22" s="567"/>
      <c r="M22" s="568"/>
    </row>
    <row r="23" spans="1:13" ht="15.95" customHeight="1" thickBot="1" x14ac:dyDescent="0.25">
      <c r="A23" s="353"/>
      <c r="B23" s="569"/>
      <c r="C23" s="569"/>
      <c r="D23" s="569"/>
      <c r="E23" s="569"/>
      <c r="F23" s="569"/>
      <c r="G23" s="569"/>
      <c r="H23" s="569"/>
      <c r="I23" s="569"/>
      <c r="J23" s="570">
        <f>SUM(J6:J22)</f>
        <v>0</v>
      </c>
      <c r="K23" s="354"/>
      <c r="L23" s="571"/>
      <c r="M23" s="572">
        <f>SUM(M6:M22)</f>
        <v>0</v>
      </c>
    </row>
    <row r="25" spans="1:13" ht="15.75" x14ac:dyDescent="0.25">
      <c r="A25" s="325" t="s">
        <v>604</v>
      </c>
      <c r="J25" s="326"/>
      <c r="K25" s="326"/>
      <c r="L25" s="326"/>
    </row>
    <row r="27" spans="1:13" ht="15" x14ac:dyDescent="0.2">
      <c r="J27" s="326"/>
    </row>
    <row r="32" spans="1:13" x14ac:dyDescent="0.2">
      <c r="J32" s="324">
        <v>8</v>
      </c>
    </row>
  </sheetData>
  <pageMargins left="0.39370078740157483" right="0.70866141732283472" top="0.74803149606299213" bottom="0.74803149606299213" header="0.31496062992125984" footer="0.31496062992125984"/>
  <pageSetup scale="40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3"/>
  <sheetViews>
    <sheetView topLeftCell="A304" workbookViewId="0">
      <selection activeCell="E31" sqref="E31"/>
    </sheetView>
  </sheetViews>
  <sheetFormatPr defaultRowHeight="12.75" x14ac:dyDescent="0.2"/>
  <cols>
    <col min="1" max="1" width="7.7109375" style="22" customWidth="1"/>
    <col min="2" max="2" width="21.28515625" style="22" customWidth="1"/>
    <col min="3" max="3" width="9.85546875" style="22" customWidth="1"/>
    <col min="4" max="4" width="9.5703125" style="22" customWidth="1"/>
    <col min="5" max="5" width="14" style="22" customWidth="1"/>
    <col min="6" max="6" width="17.28515625" style="22" customWidth="1"/>
    <col min="7" max="7" width="9.140625" style="22" customWidth="1"/>
    <col min="8" max="8" width="9.140625" style="22"/>
    <col min="9" max="9" width="16.140625" style="22" customWidth="1"/>
    <col min="10" max="10" width="11.140625" style="22" bestFit="1" customWidth="1"/>
    <col min="11" max="16384" width="9.140625" style="22"/>
  </cols>
  <sheetData>
    <row r="1" spans="1:6" ht="15.75" x14ac:dyDescent="0.25">
      <c r="A1" s="118" t="s">
        <v>747</v>
      </c>
    </row>
    <row r="2" spans="1:6" ht="15.75" x14ac:dyDescent="0.25">
      <c r="A2" s="118" t="s">
        <v>748</v>
      </c>
    </row>
    <row r="3" spans="1:6" ht="16.5" thickBot="1" x14ac:dyDescent="0.3">
      <c r="A3" s="118">
        <v>2020</v>
      </c>
    </row>
    <row r="4" spans="1:6" ht="13.5" thickBot="1" x14ac:dyDescent="0.25">
      <c r="A4" s="525" t="s">
        <v>749</v>
      </c>
      <c r="B4" s="519" t="s">
        <v>750</v>
      </c>
      <c r="C4" s="519" t="s">
        <v>751</v>
      </c>
      <c r="D4" s="519" t="s">
        <v>752</v>
      </c>
      <c r="E4" s="519" t="s">
        <v>753</v>
      </c>
      <c r="F4" s="576" t="s">
        <v>754</v>
      </c>
    </row>
    <row r="5" spans="1:6" x14ac:dyDescent="0.2">
      <c r="A5" s="499">
        <v>1</v>
      </c>
      <c r="B5" s="499" t="s">
        <v>755</v>
      </c>
      <c r="C5" s="499" t="s">
        <v>756</v>
      </c>
      <c r="D5" s="499">
        <v>9</v>
      </c>
      <c r="E5" s="575">
        <v>189000</v>
      </c>
      <c r="F5" s="575">
        <f>SUM(D5*E5)</f>
        <v>1701000</v>
      </c>
    </row>
    <row r="6" spans="1:6" x14ac:dyDescent="0.2">
      <c r="A6" s="488">
        <v>2</v>
      </c>
      <c r="B6" s="488" t="s">
        <v>755</v>
      </c>
      <c r="C6" s="488" t="s">
        <v>756</v>
      </c>
      <c r="D6" s="488">
        <v>2</v>
      </c>
      <c r="E6" s="505">
        <f>SUM(F6/D6)</f>
        <v>120000</v>
      </c>
      <c r="F6" s="505">
        <v>240000</v>
      </c>
    </row>
    <row r="7" spans="1:6" x14ac:dyDescent="0.2">
      <c r="A7" s="488">
        <v>3</v>
      </c>
      <c r="B7" s="488" t="s">
        <v>757</v>
      </c>
      <c r="C7" s="488" t="s">
        <v>756</v>
      </c>
      <c r="D7" s="488">
        <v>5</v>
      </c>
      <c r="E7" s="505">
        <v>213000</v>
      </c>
      <c r="F7" s="505">
        <f>SUM(D7*E7)</f>
        <v>1065000</v>
      </c>
    </row>
    <row r="8" spans="1:6" x14ac:dyDescent="0.2">
      <c r="A8" s="488">
        <v>4</v>
      </c>
      <c r="B8" s="488" t="s">
        <v>757</v>
      </c>
      <c r="C8" s="488" t="s">
        <v>756</v>
      </c>
      <c r="D8" s="488">
        <v>3</v>
      </c>
      <c r="E8" s="505">
        <f>SUM(F8/D8)</f>
        <v>38000</v>
      </c>
      <c r="F8" s="505">
        <v>114000</v>
      </c>
    </row>
    <row r="9" spans="1:6" x14ac:dyDescent="0.2">
      <c r="A9" s="488">
        <v>5</v>
      </c>
      <c r="B9" s="488" t="s">
        <v>758</v>
      </c>
      <c r="C9" s="488" t="s">
        <v>756</v>
      </c>
      <c r="D9" s="488">
        <v>3</v>
      </c>
      <c r="E9" s="505">
        <v>166667</v>
      </c>
      <c r="F9" s="505">
        <f t="shared" ref="F9:F14" si="0">SUM(D9*E9)</f>
        <v>500001</v>
      </c>
    </row>
    <row r="10" spans="1:6" x14ac:dyDescent="0.2">
      <c r="A10" s="488">
        <v>6</v>
      </c>
      <c r="B10" s="488" t="s">
        <v>759</v>
      </c>
      <c r="C10" s="488" t="s">
        <v>756</v>
      </c>
      <c r="D10" s="488">
        <v>6</v>
      </c>
      <c r="E10" s="505">
        <v>10500</v>
      </c>
      <c r="F10" s="505">
        <f t="shared" si="0"/>
        <v>63000</v>
      </c>
    </row>
    <row r="11" spans="1:6" x14ac:dyDescent="0.2">
      <c r="A11" s="488">
        <v>7</v>
      </c>
      <c r="B11" s="488" t="s">
        <v>760</v>
      </c>
      <c r="C11" s="488" t="s">
        <v>756</v>
      </c>
      <c r="D11" s="488">
        <v>6</v>
      </c>
      <c r="E11" s="505">
        <v>31500</v>
      </c>
      <c r="F11" s="505">
        <f t="shared" si="0"/>
        <v>189000</v>
      </c>
    </row>
    <row r="12" spans="1:6" x14ac:dyDescent="0.2">
      <c r="A12" s="488">
        <v>8</v>
      </c>
      <c r="B12" s="488" t="s">
        <v>760</v>
      </c>
      <c r="C12" s="488" t="s">
        <v>756</v>
      </c>
      <c r="D12" s="488">
        <v>6</v>
      </c>
      <c r="E12" s="505">
        <v>25000</v>
      </c>
      <c r="F12" s="505">
        <f t="shared" si="0"/>
        <v>150000</v>
      </c>
    </row>
    <row r="13" spans="1:6" x14ac:dyDescent="0.2">
      <c r="A13" s="488">
        <v>9</v>
      </c>
      <c r="B13" s="488" t="s">
        <v>761</v>
      </c>
      <c r="C13" s="488" t="s">
        <v>756</v>
      </c>
      <c r="D13" s="488">
        <v>1</v>
      </c>
      <c r="E13" s="505">
        <v>98000</v>
      </c>
      <c r="F13" s="505">
        <f t="shared" si="0"/>
        <v>98000</v>
      </c>
    </row>
    <row r="14" spans="1:6" x14ac:dyDescent="0.2">
      <c r="A14" s="488">
        <v>10</v>
      </c>
      <c r="B14" s="488" t="s">
        <v>761</v>
      </c>
      <c r="C14" s="488" t="s">
        <v>756</v>
      </c>
      <c r="D14" s="488">
        <v>1</v>
      </c>
      <c r="E14" s="505">
        <v>135000</v>
      </c>
      <c r="F14" s="505">
        <f t="shared" si="0"/>
        <v>135000</v>
      </c>
    </row>
    <row r="15" spans="1:6" x14ac:dyDescent="0.2">
      <c r="A15" s="488">
        <v>11</v>
      </c>
      <c r="B15" s="488" t="s">
        <v>762</v>
      </c>
      <c r="C15" s="488" t="s">
        <v>756</v>
      </c>
      <c r="D15" s="488">
        <v>6</v>
      </c>
      <c r="E15" s="505">
        <f>SUM(F15/D15)</f>
        <v>33000</v>
      </c>
      <c r="F15" s="505">
        <v>198000</v>
      </c>
    </row>
    <row r="16" spans="1:6" x14ac:dyDescent="0.2">
      <c r="A16" s="488">
        <v>12</v>
      </c>
      <c r="B16" s="488" t="s">
        <v>763</v>
      </c>
      <c r="C16" s="488" t="s">
        <v>756</v>
      </c>
      <c r="D16" s="488">
        <v>1</v>
      </c>
      <c r="E16" s="505">
        <v>72000</v>
      </c>
      <c r="F16" s="505">
        <f t="shared" ref="F16:F34" si="1">SUM(D16*E16)</f>
        <v>72000</v>
      </c>
    </row>
    <row r="17" spans="1:6" x14ac:dyDescent="0.2">
      <c r="A17" s="488">
        <v>13</v>
      </c>
      <c r="B17" s="488" t="s">
        <v>764</v>
      </c>
      <c r="C17" s="488" t="s">
        <v>756</v>
      </c>
      <c r="D17" s="488">
        <v>1</v>
      </c>
      <c r="E17" s="505">
        <v>1100000</v>
      </c>
      <c r="F17" s="505">
        <f t="shared" si="1"/>
        <v>1100000</v>
      </c>
    </row>
    <row r="18" spans="1:6" x14ac:dyDescent="0.2">
      <c r="A18" s="488">
        <v>14</v>
      </c>
      <c r="B18" s="488" t="s">
        <v>765</v>
      </c>
      <c r="C18" s="488" t="s">
        <v>756</v>
      </c>
      <c r="D18" s="488">
        <v>1</v>
      </c>
      <c r="E18" s="505">
        <v>720000</v>
      </c>
      <c r="F18" s="505">
        <f t="shared" si="1"/>
        <v>720000</v>
      </c>
    </row>
    <row r="19" spans="1:6" x14ac:dyDescent="0.2">
      <c r="A19" s="488">
        <v>15</v>
      </c>
      <c r="B19" s="488" t="s">
        <v>766</v>
      </c>
      <c r="C19" s="488" t="s">
        <v>756</v>
      </c>
      <c r="D19" s="488">
        <v>2</v>
      </c>
      <c r="E19" s="505">
        <v>750000</v>
      </c>
      <c r="F19" s="505">
        <f t="shared" si="1"/>
        <v>1500000</v>
      </c>
    </row>
    <row r="20" spans="1:6" x14ac:dyDescent="0.2">
      <c r="A20" s="488">
        <v>16</v>
      </c>
      <c r="B20" s="488" t="s">
        <v>767</v>
      </c>
      <c r="C20" s="488" t="s">
        <v>756</v>
      </c>
      <c r="D20" s="488">
        <v>1</v>
      </c>
      <c r="E20" s="505">
        <v>114800</v>
      </c>
      <c r="F20" s="505">
        <f t="shared" si="1"/>
        <v>114800</v>
      </c>
    </row>
    <row r="21" spans="1:6" x14ac:dyDescent="0.2">
      <c r="A21" s="488">
        <v>17</v>
      </c>
      <c r="B21" s="488" t="s">
        <v>768</v>
      </c>
      <c r="C21" s="488" t="s">
        <v>756</v>
      </c>
      <c r="D21" s="488">
        <v>1</v>
      </c>
      <c r="E21" s="505">
        <v>224000</v>
      </c>
      <c r="F21" s="505">
        <f t="shared" si="1"/>
        <v>224000</v>
      </c>
    </row>
    <row r="22" spans="1:6" x14ac:dyDescent="0.2">
      <c r="A22" s="488">
        <v>18</v>
      </c>
      <c r="B22" s="488" t="s">
        <v>769</v>
      </c>
      <c r="C22" s="488" t="s">
        <v>756</v>
      </c>
      <c r="D22" s="488">
        <v>8</v>
      </c>
      <c r="E22" s="505">
        <v>4200</v>
      </c>
      <c r="F22" s="505">
        <f t="shared" si="1"/>
        <v>33600</v>
      </c>
    </row>
    <row r="23" spans="1:6" x14ac:dyDescent="0.2">
      <c r="A23" s="488">
        <v>19</v>
      </c>
      <c r="B23" s="488" t="s">
        <v>770</v>
      </c>
      <c r="C23" s="488" t="s">
        <v>756</v>
      </c>
      <c r="D23" s="488">
        <v>1</v>
      </c>
      <c r="E23" s="505">
        <v>25000</v>
      </c>
      <c r="F23" s="505">
        <f t="shared" si="1"/>
        <v>25000</v>
      </c>
    </row>
    <row r="24" spans="1:6" x14ac:dyDescent="0.2">
      <c r="A24" s="488">
        <v>20</v>
      </c>
      <c r="B24" s="488" t="s">
        <v>771</v>
      </c>
      <c r="C24" s="488" t="s">
        <v>756</v>
      </c>
      <c r="D24" s="488">
        <v>2</v>
      </c>
      <c r="E24" s="505">
        <v>91000</v>
      </c>
      <c r="F24" s="505">
        <f t="shared" si="1"/>
        <v>182000</v>
      </c>
    </row>
    <row r="25" spans="1:6" x14ac:dyDescent="0.2">
      <c r="A25" s="488">
        <v>21</v>
      </c>
      <c r="B25" s="488" t="s">
        <v>772</v>
      </c>
      <c r="C25" s="488" t="s">
        <v>756</v>
      </c>
      <c r="D25" s="488">
        <v>3</v>
      </c>
      <c r="E25" s="505">
        <v>24500</v>
      </c>
      <c r="F25" s="505">
        <f t="shared" si="1"/>
        <v>73500</v>
      </c>
    </row>
    <row r="26" spans="1:6" x14ac:dyDescent="0.2">
      <c r="A26" s="488">
        <v>22</v>
      </c>
      <c r="B26" s="488" t="s">
        <v>773</v>
      </c>
      <c r="C26" s="488" t="s">
        <v>756</v>
      </c>
      <c r="D26" s="488">
        <v>1</v>
      </c>
      <c r="E26" s="505">
        <v>34500</v>
      </c>
      <c r="F26" s="505">
        <f t="shared" si="1"/>
        <v>34500</v>
      </c>
    </row>
    <row r="27" spans="1:6" x14ac:dyDescent="0.2">
      <c r="A27" s="488">
        <v>23</v>
      </c>
      <c r="B27" s="488" t="s">
        <v>774</v>
      </c>
      <c r="C27" s="488" t="s">
        <v>756</v>
      </c>
      <c r="D27" s="488">
        <v>4</v>
      </c>
      <c r="E27" s="505">
        <v>36500</v>
      </c>
      <c r="F27" s="505">
        <f t="shared" si="1"/>
        <v>146000</v>
      </c>
    </row>
    <row r="28" spans="1:6" x14ac:dyDescent="0.2">
      <c r="A28" s="488">
        <v>24</v>
      </c>
      <c r="B28" s="488" t="s">
        <v>775</v>
      </c>
      <c r="C28" s="488" t="s">
        <v>756</v>
      </c>
      <c r="D28" s="488">
        <v>1</v>
      </c>
      <c r="E28" s="505">
        <v>22500</v>
      </c>
      <c r="F28" s="505">
        <f t="shared" si="1"/>
        <v>22500</v>
      </c>
    </row>
    <row r="29" spans="1:6" x14ac:dyDescent="0.2">
      <c r="A29" s="488">
        <v>25</v>
      </c>
      <c r="B29" s="488" t="s">
        <v>775</v>
      </c>
      <c r="C29" s="488" t="s">
        <v>756</v>
      </c>
      <c r="D29" s="488">
        <v>2</v>
      </c>
      <c r="E29" s="505">
        <v>32000</v>
      </c>
      <c r="F29" s="505">
        <f t="shared" si="1"/>
        <v>64000</v>
      </c>
    </row>
    <row r="30" spans="1:6" x14ac:dyDescent="0.2">
      <c r="A30" s="488">
        <v>26</v>
      </c>
      <c r="B30" s="488" t="s">
        <v>776</v>
      </c>
      <c r="C30" s="488" t="s">
        <v>756</v>
      </c>
      <c r="D30" s="488">
        <v>3</v>
      </c>
      <c r="E30" s="505">
        <v>7500</v>
      </c>
      <c r="F30" s="505">
        <f t="shared" si="1"/>
        <v>22500</v>
      </c>
    </row>
    <row r="31" spans="1:6" x14ac:dyDescent="0.2">
      <c r="A31" s="488">
        <v>27</v>
      </c>
      <c r="B31" s="488" t="s">
        <v>777</v>
      </c>
      <c r="C31" s="488" t="s">
        <v>756</v>
      </c>
      <c r="D31" s="488">
        <v>1</v>
      </c>
      <c r="E31" s="505">
        <v>14300</v>
      </c>
      <c r="F31" s="505">
        <f t="shared" si="1"/>
        <v>14300</v>
      </c>
    </row>
    <row r="32" spans="1:6" x14ac:dyDescent="0.2">
      <c r="A32" s="488">
        <v>28</v>
      </c>
      <c r="B32" s="488" t="s">
        <v>778</v>
      </c>
      <c r="C32" s="488" t="s">
        <v>756</v>
      </c>
      <c r="D32" s="488">
        <v>3</v>
      </c>
      <c r="E32" s="505">
        <v>10500</v>
      </c>
      <c r="F32" s="505">
        <f t="shared" si="1"/>
        <v>31500</v>
      </c>
    </row>
    <row r="33" spans="1:6" x14ac:dyDescent="0.2">
      <c r="A33" s="488">
        <v>29</v>
      </c>
      <c r="B33" s="488" t="s">
        <v>779</v>
      </c>
      <c r="C33" s="488" t="s">
        <v>756</v>
      </c>
      <c r="D33" s="488">
        <v>1</v>
      </c>
      <c r="E33" s="505">
        <v>45000</v>
      </c>
      <c r="F33" s="505">
        <f t="shared" si="1"/>
        <v>45000</v>
      </c>
    </row>
    <row r="34" spans="1:6" x14ac:dyDescent="0.2">
      <c r="A34" s="488">
        <v>30</v>
      </c>
      <c r="B34" s="488" t="s">
        <v>780</v>
      </c>
      <c r="C34" s="488" t="s">
        <v>756</v>
      </c>
      <c r="D34" s="488">
        <v>18</v>
      </c>
      <c r="E34" s="505">
        <v>11500</v>
      </c>
      <c r="F34" s="505">
        <f t="shared" si="1"/>
        <v>207000</v>
      </c>
    </row>
    <row r="35" spans="1:6" x14ac:dyDescent="0.2">
      <c r="A35" s="488">
        <v>31</v>
      </c>
      <c r="B35" s="488" t="s">
        <v>780</v>
      </c>
      <c r="C35" s="488" t="s">
        <v>756</v>
      </c>
      <c r="D35" s="488">
        <v>3</v>
      </c>
      <c r="E35" s="505">
        <v>8200</v>
      </c>
      <c r="F35" s="505">
        <f>SUM(D35*E35)</f>
        <v>24600</v>
      </c>
    </row>
    <row r="36" spans="1:6" x14ac:dyDescent="0.2">
      <c r="A36" s="488">
        <v>32</v>
      </c>
      <c r="B36" s="488" t="s">
        <v>781</v>
      </c>
      <c r="C36" s="488" t="s">
        <v>756</v>
      </c>
      <c r="D36" s="488">
        <v>2</v>
      </c>
      <c r="E36" s="505">
        <v>1583.33</v>
      </c>
      <c r="F36" s="505">
        <f>SUM(D36*E36)</f>
        <v>3166.66</v>
      </c>
    </row>
    <row r="37" spans="1:6" x14ac:dyDescent="0.2">
      <c r="A37" s="488">
        <v>33</v>
      </c>
      <c r="B37" s="488" t="s">
        <v>782</v>
      </c>
      <c r="C37" s="488" t="s">
        <v>756</v>
      </c>
      <c r="D37" s="488">
        <v>1</v>
      </c>
      <c r="E37" s="505">
        <v>67666</v>
      </c>
      <c r="F37" s="505">
        <f t="shared" ref="F37:F48" si="2">SUM(D37*E37)</f>
        <v>67666</v>
      </c>
    </row>
    <row r="38" spans="1:6" x14ac:dyDescent="0.2">
      <c r="A38" s="488">
        <v>34</v>
      </c>
      <c r="B38" s="488" t="s">
        <v>783</v>
      </c>
      <c r="C38" s="488" t="s">
        <v>756</v>
      </c>
      <c r="D38" s="488">
        <v>1</v>
      </c>
      <c r="E38" s="505">
        <v>23333</v>
      </c>
      <c r="F38" s="505">
        <f t="shared" si="2"/>
        <v>23333</v>
      </c>
    </row>
    <row r="39" spans="1:6" x14ac:dyDescent="0.2">
      <c r="A39" s="488">
        <v>35</v>
      </c>
      <c r="B39" s="488" t="s">
        <v>784</v>
      </c>
      <c r="C39" s="488" t="s">
        <v>756</v>
      </c>
      <c r="D39" s="488">
        <v>1</v>
      </c>
      <c r="E39" s="505">
        <v>375</v>
      </c>
      <c r="F39" s="505">
        <f t="shared" si="2"/>
        <v>375</v>
      </c>
    </row>
    <row r="40" spans="1:6" x14ac:dyDescent="0.2">
      <c r="A40" s="488">
        <v>36</v>
      </c>
      <c r="B40" s="488" t="s">
        <v>785</v>
      </c>
      <c r="C40" s="488" t="s">
        <v>756</v>
      </c>
      <c r="D40" s="488">
        <v>4</v>
      </c>
      <c r="E40" s="505">
        <v>250</v>
      </c>
      <c r="F40" s="505">
        <f t="shared" si="2"/>
        <v>1000</v>
      </c>
    </row>
    <row r="41" spans="1:6" x14ac:dyDescent="0.2">
      <c r="A41" s="488">
        <v>37</v>
      </c>
      <c r="B41" s="488" t="s">
        <v>786</v>
      </c>
      <c r="C41" s="488" t="s">
        <v>756</v>
      </c>
      <c r="D41" s="488">
        <v>2</v>
      </c>
      <c r="E41" s="505">
        <v>135700</v>
      </c>
      <c r="F41" s="505">
        <f t="shared" si="2"/>
        <v>271400</v>
      </c>
    </row>
    <row r="42" spans="1:6" x14ac:dyDescent="0.2">
      <c r="A42" s="488">
        <v>38</v>
      </c>
      <c r="B42" s="488" t="s">
        <v>787</v>
      </c>
      <c r="C42" s="488" t="s">
        <v>756</v>
      </c>
      <c r="D42" s="488">
        <v>1</v>
      </c>
      <c r="E42" s="505">
        <v>195500</v>
      </c>
      <c r="F42" s="505">
        <f t="shared" si="2"/>
        <v>195500</v>
      </c>
    </row>
    <row r="43" spans="1:6" x14ac:dyDescent="0.2">
      <c r="A43" s="488">
        <v>39</v>
      </c>
      <c r="B43" s="488" t="s">
        <v>788</v>
      </c>
      <c r="C43" s="488" t="s">
        <v>756</v>
      </c>
      <c r="D43" s="488">
        <v>1</v>
      </c>
      <c r="E43" s="505">
        <v>5750</v>
      </c>
      <c r="F43" s="505">
        <f t="shared" si="2"/>
        <v>5750</v>
      </c>
    </row>
    <row r="44" spans="1:6" x14ac:dyDescent="0.2">
      <c r="A44" s="488">
        <v>40</v>
      </c>
      <c r="B44" s="488" t="s">
        <v>786</v>
      </c>
      <c r="C44" s="488" t="s">
        <v>756</v>
      </c>
      <c r="D44" s="488">
        <v>1</v>
      </c>
      <c r="E44" s="505">
        <v>120175</v>
      </c>
      <c r="F44" s="505">
        <f t="shared" si="2"/>
        <v>120175</v>
      </c>
    </row>
    <row r="45" spans="1:6" x14ac:dyDescent="0.2">
      <c r="A45" s="488">
        <v>41</v>
      </c>
      <c r="B45" s="488" t="s">
        <v>783</v>
      </c>
      <c r="C45" s="488" t="s">
        <v>756</v>
      </c>
      <c r="D45" s="488">
        <v>1</v>
      </c>
      <c r="E45" s="505">
        <v>23000</v>
      </c>
      <c r="F45" s="505">
        <f t="shared" si="2"/>
        <v>23000</v>
      </c>
    </row>
    <row r="46" spans="1:6" x14ac:dyDescent="0.2">
      <c r="A46" s="488">
        <v>42</v>
      </c>
      <c r="B46" s="488" t="s">
        <v>783</v>
      </c>
      <c r="C46" s="488" t="s">
        <v>756</v>
      </c>
      <c r="D46" s="488">
        <v>1</v>
      </c>
      <c r="E46" s="505">
        <v>20400</v>
      </c>
      <c r="F46" s="505">
        <f t="shared" si="2"/>
        <v>20400</v>
      </c>
    </row>
    <row r="47" spans="1:6" x14ac:dyDescent="0.2">
      <c r="A47" s="488">
        <v>43</v>
      </c>
      <c r="B47" s="488" t="s">
        <v>789</v>
      </c>
      <c r="C47" s="488" t="s">
        <v>756</v>
      </c>
      <c r="D47" s="488">
        <v>1</v>
      </c>
      <c r="E47" s="505">
        <v>18700</v>
      </c>
      <c r="F47" s="505">
        <f t="shared" si="2"/>
        <v>18700</v>
      </c>
    </row>
    <row r="48" spans="1:6" x14ac:dyDescent="0.2">
      <c r="A48" s="488">
        <v>44</v>
      </c>
      <c r="B48" s="488" t="s">
        <v>790</v>
      </c>
      <c r="C48" s="488" t="s">
        <v>756</v>
      </c>
      <c r="D48" s="488">
        <v>1</v>
      </c>
      <c r="E48" s="505">
        <v>10500</v>
      </c>
      <c r="F48" s="505">
        <f t="shared" si="2"/>
        <v>10500</v>
      </c>
    </row>
    <row r="49" spans="1:6" x14ac:dyDescent="0.2">
      <c r="A49" s="488">
        <v>45</v>
      </c>
      <c r="B49" s="488" t="s">
        <v>791</v>
      </c>
      <c r="C49" s="488" t="s">
        <v>756</v>
      </c>
      <c r="D49" s="488">
        <v>8</v>
      </c>
      <c r="E49" s="505">
        <v>14833</v>
      </c>
      <c r="F49" s="505">
        <v>118667</v>
      </c>
    </row>
    <row r="50" spans="1:6" x14ac:dyDescent="0.2">
      <c r="A50" s="488">
        <v>46</v>
      </c>
      <c r="B50" s="488" t="s">
        <v>792</v>
      </c>
      <c r="C50" s="488" t="s">
        <v>756</v>
      </c>
      <c r="D50" s="488">
        <v>2</v>
      </c>
      <c r="E50" s="505">
        <v>308000</v>
      </c>
      <c r="F50" s="505">
        <f>+D50*E50</f>
        <v>616000</v>
      </c>
    </row>
    <row r="51" spans="1:6" x14ac:dyDescent="0.2">
      <c r="A51" s="488">
        <v>47</v>
      </c>
      <c r="B51" s="488" t="s">
        <v>793</v>
      </c>
      <c r="C51" s="488" t="s">
        <v>756</v>
      </c>
      <c r="D51" s="488">
        <v>4</v>
      </c>
      <c r="E51" s="505">
        <v>62000</v>
      </c>
      <c r="F51" s="505">
        <f t="shared" ref="F51:F65" si="3">+D51*E51</f>
        <v>248000</v>
      </c>
    </row>
    <row r="52" spans="1:6" x14ac:dyDescent="0.2">
      <c r="A52" s="488">
        <v>48</v>
      </c>
      <c r="B52" s="488" t="s">
        <v>794</v>
      </c>
      <c r="C52" s="488" t="s">
        <v>756</v>
      </c>
      <c r="D52" s="488">
        <v>2</v>
      </c>
      <c r="E52" s="505">
        <v>57590</v>
      </c>
      <c r="F52" s="505">
        <f t="shared" si="3"/>
        <v>115180</v>
      </c>
    </row>
    <row r="53" spans="1:6" x14ac:dyDescent="0.2">
      <c r="A53" s="488">
        <v>49</v>
      </c>
      <c r="B53" s="488" t="s">
        <v>795</v>
      </c>
      <c r="C53" s="488" t="s">
        <v>756</v>
      </c>
      <c r="D53" s="488">
        <v>2</v>
      </c>
      <c r="E53" s="505">
        <v>10880</v>
      </c>
      <c r="F53" s="505">
        <f t="shared" si="3"/>
        <v>21760</v>
      </c>
    </row>
    <row r="54" spans="1:6" x14ac:dyDescent="0.2">
      <c r="A54" s="488">
        <v>50</v>
      </c>
      <c r="B54" s="488" t="s">
        <v>796</v>
      </c>
      <c r="C54" s="488" t="s">
        <v>756</v>
      </c>
      <c r="D54" s="488">
        <v>1</v>
      </c>
      <c r="E54" s="505">
        <v>53330</v>
      </c>
      <c r="F54" s="505">
        <f t="shared" si="3"/>
        <v>53330</v>
      </c>
    </row>
    <row r="55" spans="1:6" x14ac:dyDescent="0.2">
      <c r="A55" s="488">
        <v>51</v>
      </c>
      <c r="B55" s="488" t="s">
        <v>797</v>
      </c>
      <c r="C55" s="488" t="s">
        <v>756</v>
      </c>
      <c r="D55" s="488">
        <v>2</v>
      </c>
      <c r="E55" s="505">
        <v>55000</v>
      </c>
      <c r="F55" s="505">
        <f t="shared" si="3"/>
        <v>110000</v>
      </c>
    </row>
    <row r="56" spans="1:6" x14ac:dyDescent="0.2">
      <c r="A56" s="488">
        <v>52</v>
      </c>
      <c r="B56" s="488" t="s">
        <v>787</v>
      </c>
      <c r="C56" s="488" t="s">
        <v>756</v>
      </c>
      <c r="D56" s="488">
        <v>2</v>
      </c>
      <c r="E56" s="505">
        <v>104167</v>
      </c>
      <c r="F56" s="505">
        <f t="shared" si="3"/>
        <v>208334</v>
      </c>
    </row>
    <row r="57" spans="1:6" x14ac:dyDescent="0.2">
      <c r="A57" s="488">
        <v>53</v>
      </c>
      <c r="B57" s="488" t="s">
        <v>796</v>
      </c>
      <c r="C57" s="488" t="s">
        <v>756</v>
      </c>
      <c r="D57" s="488">
        <v>1</v>
      </c>
      <c r="E57" s="505">
        <v>57117</v>
      </c>
      <c r="F57" s="505">
        <f t="shared" si="3"/>
        <v>57117</v>
      </c>
    </row>
    <row r="58" spans="1:6" x14ac:dyDescent="0.2">
      <c r="A58" s="488">
        <v>54</v>
      </c>
      <c r="B58" s="488" t="s">
        <v>781</v>
      </c>
      <c r="C58" s="488" t="s">
        <v>756</v>
      </c>
      <c r="D58" s="488">
        <v>1</v>
      </c>
      <c r="E58" s="505">
        <v>2500</v>
      </c>
      <c r="F58" s="505">
        <f t="shared" si="3"/>
        <v>2500</v>
      </c>
    </row>
    <row r="59" spans="1:6" x14ac:dyDescent="0.2">
      <c r="A59" s="488">
        <v>55</v>
      </c>
      <c r="B59" s="488" t="s">
        <v>798</v>
      </c>
      <c r="C59" s="488" t="s">
        <v>756</v>
      </c>
      <c r="D59" s="488">
        <v>1</v>
      </c>
      <c r="E59" s="505">
        <v>21667</v>
      </c>
      <c r="F59" s="505">
        <f t="shared" si="3"/>
        <v>21667</v>
      </c>
    </row>
    <row r="60" spans="1:6" x14ac:dyDescent="0.2">
      <c r="A60" s="488">
        <v>56</v>
      </c>
      <c r="B60" s="488" t="s">
        <v>799</v>
      </c>
      <c r="C60" s="488" t="s">
        <v>756</v>
      </c>
      <c r="D60" s="488">
        <v>1</v>
      </c>
      <c r="E60" s="505">
        <v>82000</v>
      </c>
      <c r="F60" s="505">
        <f t="shared" si="3"/>
        <v>82000</v>
      </c>
    </row>
    <row r="61" spans="1:6" x14ac:dyDescent="0.2">
      <c r="A61" s="488">
        <v>57</v>
      </c>
      <c r="B61" s="488" t="s">
        <v>800</v>
      </c>
      <c r="C61" s="488" t="s">
        <v>756</v>
      </c>
      <c r="D61" s="488">
        <v>1</v>
      </c>
      <c r="E61" s="505">
        <v>13325</v>
      </c>
      <c r="F61" s="505">
        <f t="shared" si="3"/>
        <v>13325</v>
      </c>
    </row>
    <row r="62" spans="1:6" x14ac:dyDescent="0.2">
      <c r="A62" s="488">
        <v>58</v>
      </c>
      <c r="B62" s="488" t="s">
        <v>801</v>
      </c>
      <c r="C62" s="488" t="s">
        <v>756</v>
      </c>
      <c r="D62" s="488">
        <v>1</v>
      </c>
      <c r="E62" s="505">
        <v>20872</v>
      </c>
      <c r="F62" s="505">
        <f t="shared" si="3"/>
        <v>20872</v>
      </c>
    </row>
    <row r="63" spans="1:6" x14ac:dyDescent="0.2">
      <c r="A63" s="488">
        <v>59</v>
      </c>
      <c r="B63" s="488" t="s">
        <v>802</v>
      </c>
      <c r="C63" s="488" t="s">
        <v>756</v>
      </c>
      <c r="D63" s="488">
        <v>1</v>
      </c>
      <c r="E63" s="505">
        <v>9375</v>
      </c>
      <c r="F63" s="505">
        <f t="shared" si="3"/>
        <v>9375</v>
      </c>
    </row>
    <row r="64" spans="1:6" x14ac:dyDescent="0.2">
      <c r="A64" s="488">
        <v>60</v>
      </c>
      <c r="B64" s="488" t="s">
        <v>787</v>
      </c>
      <c r="C64" s="488" t="s">
        <v>756</v>
      </c>
      <c r="D64" s="488">
        <v>1</v>
      </c>
      <c r="E64" s="505">
        <v>143500</v>
      </c>
      <c r="F64" s="505">
        <f t="shared" si="3"/>
        <v>143500</v>
      </c>
    </row>
    <row r="65" spans="1:6" x14ac:dyDescent="0.2">
      <c r="A65" s="488">
        <v>61</v>
      </c>
      <c r="B65" s="488" t="s">
        <v>803</v>
      </c>
      <c r="C65" s="488" t="s">
        <v>756</v>
      </c>
      <c r="D65" s="488">
        <v>1</v>
      </c>
      <c r="E65" s="505">
        <v>43733</v>
      </c>
      <c r="F65" s="505">
        <f t="shared" si="3"/>
        <v>43733</v>
      </c>
    </row>
    <row r="66" spans="1:6" x14ac:dyDescent="0.2">
      <c r="A66" s="488">
        <v>62</v>
      </c>
      <c r="B66" s="488" t="s">
        <v>799</v>
      </c>
      <c r="C66" s="488" t="s">
        <v>756</v>
      </c>
      <c r="D66" s="488">
        <v>7</v>
      </c>
      <c r="E66" s="505">
        <v>86292</v>
      </c>
      <c r="F66" s="505">
        <v>604042</v>
      </c>
    </row>
    <row r="67" spans="1:6" x14ac:dyDescent="0.2">
      <c r="A67" s="488">
        <v>63</v>
      </c>
      <c r="B67" s="488" t="s">
        <v>804</v>
      </c>
      <c r="C67" s="488" t="s">
        <v>756</v>
      </c>
      <c r="D67" s="488">
        <v>2</v>
      </c>
      <c r="E67" s="505">
        <v>51000</v>
      </c>
      <c r="F67" s="505">
        <v>102000</v>
      </c>
    </row>
    <row r="68" spans="1:6" x14ac:dyDescent="0.2">
      <c r="A68" s="488">
        <v>64</v>
      </c>
      <c r="B68" s="488" t="s">
        <v>805</v>
      </c>
      <c r="C68" s="488" t="s">
        <v>756</v>
      </c>
      <c r="D68" s="488">
        <v>5</v>
      </c>
      <c r="E68" s="505">
        <v>63667</v>
      </c>
      <c r="F68" s="505">
        <v>318335</v>
      </c>
    </row>
    <row r="69" spans="1:6" x14ac:dyDescent="0.2">
      <c r="A69" s="488">
        <v>65</v>
      </c>
      <c r="B69" s="488" t="s">
        <v>806</v>
      </c>
      <c r="C69" s="488" t="s">
        <v>756</v>
      </c>
      <c r="D69" s="488">
        <v>3</v>
      </c>
      <c r="E69" s="505">
        <v>18500</v>
      </c>
      <c r="F69" s="505">
        <v>55500</v>
      </c>
    </row>
    <row r="70" spans="1:6" x14ac:dyDescent="0.2">
      <c r="A70" s="488">
        <v>66</v>
      </c>
      <c r="B70" s="488" t="s">
        <v>807</v>
      </c>
      <c r="C70" s="488" t="s">
        <v>756</v>
      </c>
      <c r="D70" s="488">
        <v>2</v>
      </c>
      <c r="E70" s="505">
        <v>51000</v>
      </c>
      <c r="F70" s="505">
        <v>102000</v>
      </c>
    </row>
    <row r="71" spans="1:6" x14ac:dyDescent="0.2">
      <c r="A71" s="488">
        <v>67</v>
      </c>
      <c r="B71" s="488" t="s">
        <v>808</v>
      </c>
      <c r="C71" s="488" t="s">
        <v>756</v>
      </c>
      <c r="D71" s="488">
        <v>5</v>
      </c>
      <c r="E71" s="505">
        <v>7500</v>
      </c>
      <c r="F71" s="505">
        <v>37500</v>
      </c>
    </row>
    <row r="72" spans="1:6" x14ac:dyDescent="0.2">
      <c r="A72" s="488">
        <v>68</v>
      </c>
      <c r="B72" s="488" t="s">
        <v>809</v>
      </c>
      <c r="C72" s="488" t="s">
        <v>756</v>
      </c>
      <c r="D72" s="488">
        <v>2</v>
      </c>
      <c r="E72" s="505">
        <v>75000</v>
      </c>
      <c r="F72" s="505">
        <v>150000</v>
      </c>
    </row>
    <row r="73" spans="1:6" x14ac:dyDescent="0.2">
      <c r="A73" s="488">
        <v>69</v>
      </c>
      <c r="B73" s="488" t="s">
        <v>810</v>
      </c>
      <c r="C73" s="488" t="s">
        <v>756</v>
      </c>
      <c r="D73" s="488">
        <v>2</v>
      </c>
      <c r="E73" s="505">
        <v>42000</v>
      </c>
      <c r="F73" s="505">
        <v>84000</v>
      </c>
    </row>
    <row r="74" spans="1:6" x14ac:dyDescent="0.2">
      <c r="A74" s="488">
        <v>70</v>
      </c>
      <c r="B74" s="488" t="s">
        <v>783</v>
      </c>
      <c r="C74" s="488" t="s">
        <v>756</v>
      </c>
      <c r="D74" s="488">
        <v>9</v>
      </c>
      <c r="E74" s="505">
        <v>10889</v>
      </c>
      <c r="F74" s="505">
        <v>98000</v>
      </c>
    </row>
    <row r="75" spans="1:6" x14ac:dyDescent="0.2">
      <c r="A75" s="488">
        <v>71</v>
      </c>
      <c r="B75" s="488" t="s">
        <v>811</v>
      </c>
      <c r="C75" s="488" t="s">
        <v>756</v>
      </c>
      <c r="D75" s="488">
        <v>1</v>
      </c>
      <c r="E75" s="505">
        <v>11000</v>
      </c>
      <c r="F75" s="505">
        <v>11000</v>
      </c>
    </row>
    <row r="76" spans="1:6" x14ac:dyDescent="0.2">
      <c r="A76" s="488">
        <v>72</v>
      </c>
      <c r="B76" s="488" t="s">
        <v>812</v>
      </c>
      <c r="C76" s="488" t="s">
        <v>756</v>
      </c>
      <c r="D76" s="488">
        <v>4</v>
      </c>
      <c r="E76" s="505">
        <v>20000</v>
      </c>
      <c r="F76" s="505">
        <v>80000</v>
      </c>
    </row>
    <row r="77" spans="1:6" x14ac:dyDescent="0.2">
      <c r="A77" s="488">
        <v>73</v>
      </c>
      <c r="B77" s="488" t="s">
        <v>811</v>
      </c>
      <c r="C77" s="488" t="s">
        <v>756</v>
      </c>
      <c r="D77" s="488">
        <v>1</v>
      </c>
      <c r="E77" s="505">
        <v>1444</v>
      </c>
      <c r="F77" s="505">
        <v>1444</v>
      </c>
    </row>
    <row r="78" spans="1:6" x14ac:dyDescent="0.2">
      <c r="A78" s="488">
        <v>74</v>
      </c>
      <c r="B78" s="488" t="s">
        <v>813</v>
      </c>
      <c r="C78" s="488" t="s">
        <v>756</v>
      </c>
      <c r="D78" s="488">
        <v>337</v>
      </c>
      <c r="E78" s="505">
        <f>+F78/D78</f>
        <v>740</v>
      </c>
      <c r="F78" s="505">
        <v>249380</v>
      </c>
    </row>
    <row r="79" spans="1:6" x14ac:dyDescent="0.2">
      <c r="A79" s="488">
        <v>75</v>
      </c>
      <c r="B79" s="488" t="s">
        <v>814</v>
      </c>
      <c r="C79" s="488" t="s">
        <v>756</v>
      </c>
      <c r="D79" s="489">
        <v>11</v>
      </c>
      <c r="E79" s="505">
        <f>+F79/D79</f>
        <v>59272.727272727272</v>
      </c>
      <c r="F79" s="505">
        <f>200000+228000+224000</f>
        <v>652000</v>
      </c>
    </row>
    <row r="80" spans="1:6" x14ac:dyDescent="0.2">
      <c r="A80" s="488">
        <v>76</v>
      </c>
      <c r="B80" s="488" t="s">
        <v>815</v>
      </c>
      <c r="C80" s="488" t="s">
        <v>756</v>
      </c>
      <c r="D80" s="489">
        <v>3</v>
      </c>
      <c r="E80" s="505">
        <v>2000</v>
      </c>
      <c r="F80" s="505">
        <f>+D80*E80</f>
        <v>6000</v>
      </c>
    </row>
    <row r="81" spans="1:8" x14ac:dyDescent="0.2">
      <c r="A81" s="488">
        <v>77</v>
      </c>
      <c r="B81" s="488" t="s">
        <v>813</v>
      </c>
      <c r="C81" s="488" t="s">
        <v>756</v>
      </c>
      <c r="D81" s="489">
        <v>80</v>
      </c>
      <c r="E81" s="505">
        <f>+F81/D81</f>
        <v>11155.625</v>
      </c>
      <c r="F81" s="505">
        <v>892450</v>
      </c>
    </row>
    <row r="82" spans="1:8" x14ac:dyDescent="0.2">
      <c r="A82" s="488">
        <v>78</v>
      </c>
      <c r="B82" s="488" t="s">
        <v>816</v>
      </c>
      <c r="C82" s="488" t="s">
        <v>756</v>
      </c>
      <c r="D82" s="489">
        <v>2</v>
      </c>
      <c r="E82" s="505">
        <v>1227950</v>
      </c>
      <c r="F82" s="505">
        <f>+E82*D82</f>
        <v>2455900</v>
      </c>
    </row>
    <row r="83" spans="1:8" x14ac:dyDescent="0.2">
      <c r="A83" s="488">
        <v>79</v>
      </c>
      <c r="B83" s="488" t="s">
        <v>758</v>
      </c>
      <c r="C83" s="488" t="s">
        <v>756</v>
      </c>
      <c r="D83" s="489">
        <v>7</v>
      </c>
      <c r="E83" s="505">
        <f>+F83/D83</f>
        <v>16666.714285714286</v>
      </c>
      <c r="F83" s="505">
        <v>116667</v>
      </c>
    </row>
    <row r="84" spans="1:8" x14ac:dyDescent="0.2">
      <c r="A84" s="488">
        <v>80</v>
      </c>
      <c r="B84" s="488" t="s">
        <v>817</v>
      </c>
      <c r="C84" s="488" t="s">
        <v>756</v>
      </c>
      <c r="D84" s="489">
        <v>1</v>
      </c>
      <c r="E84" s="505">
        <v>66667</v>
      </c>
      <c r="F84" s="505">
        <v>66667</v>
      </c>
    </row>
    <row r="85" spans="1:8" x14ac:dyDescent="0.2">
      <c r="A85" s="488">
        <v>81</v>
      </c>
      <c r="B85" s="488" t="s">
        <v>818</v>
      </c>
      <c r="C85" s="488" t="s">
        <v>756</v>
      </c>
      <c r="D85" s="489">
        <v>1</v>
      </c>
      <c r="E85" s="505">
        <v>16667</v>
      </c>
      <c r="F85" s="505">
        <v>16667</v>
      </c>
    </row>
    <row r="86" spans="1:8" x14ac:dyDescent="0.2">
      <c r="A86" s="488">
        <v>82</v>
      </c>
      <c r="B86" s="488" t="s">
        <v>819</v>
      </c>
      <c r="C86" s="488" t="s">
        <v>756</v>
      </c>
      <c r="D86" s="489">
        <v>1</v>
      </c>
      <c r="E86" s="505">
        <v>25407</v>
      </c>
      <c r="F86" s="505">
        <f>+E86*D86</f>
        <v>25407</v>
      </c>
    </row>
    <row r="87" spans="1:8" x14ac:dyDescent="0.2">
      <c r="A87" s="488">
        <v>83</v>
      </c>
      <c r="B87" s="488" t="s">
        <v>820</v>
      </c>
      <c r="C87" s="488" t="s">
        <v>756</v>
      </c>
      <c r="D87" s="489">
        <v>2</v>
      </c>
      <c r="E87" s="505">
        <v>115167</v>
      </c>
      <c r="F87" s="505">
        <v>115167</v>
      </c>
    </row>
    <row r="88" spans="1:8" x14ac:dyDescent="0.2">
      <c r="A88" s="488">
        <v>84</v>
      </c>
      <c r="B88" s="488" t="s">
        <v>821</v>
      </c>
      <c r="C88" s="488" t="s">
        <v>756</v>
      </c>
      <c r="D88" s="489">
        <v>1</v>
      </c>
      <c r="E88" s="505">
        <v>36458</v>
      </c>
      <c r="F88" s="505">
        <v>36458</v>
      </c>
    </row>
    <row r="89" spans="1:8" x14ac:dyDescent="0.2">
      <c r="A89" s="488">
        <v>85</v>
      </c>
      <c r="B89" s="488" t="s">
        <v>822</v>
      </c>
      <c r="C89" s="488" t="s">
        <v>756</v>
      </c>
      <c r="D89" s="489">
        <v>1</v>
      </c>
      <c r="E89" s="505">
        <v>1000000</v>
      </c>
      <c r="F89" s="505">
        <f>+D89*E89</f>
        <v>1000000</v>
      </c>
    </row>
    <row r="90" spans="1:8" x14ac:dyDescent="0.2">
      <c r="A90" s="488">
        <v>86</v>
      </c>
      <c r="B90" s="488" t="s">
        <v>823</v>
      </c>
      <c r="C90" s="488" t="s">
        <v>756</v>
      </c>
      <c r="D90" s="489">
        <v>8</v>
      </c>
      <c r="E90" s="505">
        <v>106437.5</v>
      </c>
      <c r="F90" s="505">
        <f t="shared" ref="F90:F110" si="4">+D90*E90</f>
        <v>851500</v>
      </c>
      <c r="H90" s="40"/>
    </row>
    <row r="91" spans="1:8" x14ac:dyDescent="0.2">
      <c r="A91" s="488">
        <v>87</v>
      </c>
      <c r="B91" s="488" t="s">
        <v>817</v>
      </c>
      <c r="C91" s="488" t="s">
        <v>756</v>
      </c>
      <c r="D91" s="489">
        <v>1</v>
      </c>
      <c r="E91" s="505">
        <v>40000</v>
      </c>
      <c r="F91" s="505">
        <f t="shared" si="4"/>
        <v>40000</v>
      </c>
    </row>
    <row r="92" spans="1:8" x14ac:dyDescent="0.2">
      <c r="A92" s="488">
        <v>88</v>
      </c>
      <c r="B92" s="488" t="s">
        <v>824</v>
      </c>
      <c r="C92" s="488" t="s">
        <v>756</v>
      </c>
      <c r="D92" s="489">
        <v>6</v>
      </c>
      <c r="E92" s="505">
        <v>16667</v>
      </c>
      <c r="F92" s="505">
        <v>99998</v>
      </c>
      <c r="G92" s="500"/>
    </row>
    <row r="93" spans="1:8" x14ac:dyDescent="0.2">
      <c r="A93" s="488">
        <v>89</v>
      </c>
      <c r="B93" s="488" t="s">
        <v>825</v>
      </c>
      <c r="C93" s="488" t="s">
        <v>756</v>
      </c>
      <c r="D93" s="489">
        <v>1</v>
      </c>
      <c r="E93" s="505">
        <v>30000</v>
      </c>
      <c r="F93" s="505">
        <f t="shared" si="4"/>
        <v>30000</v>
      </c>
    </row>
    <row r="94" spans="1:8" x14ac:dyDescent="0.2">
      <c r="A94" s="488">
        <v>90</v>
      </c>
      <c r="B94" s="488" t="s">
        <v>825</v>
      </c>
      <c r="C94" s="488" t="s">
        <v>756</v>
      </c>
      <c r="D94" s="489">
        <v>7</v>
      </c>
      <c r="E94" s="505">
        <v>11667</v>
      </c>
      <c r="F94" s="505">
        <f t="shared" si="4"/>
        <v>81669</v>
      </c>
    </row>
    <row r="95" spans="1:8" x14ac:dyDescent="0.2">
      <c r="A95" s="488">
        <v>91</v>
      </c>
      <c r="B95" s="488" t="s">
        <v>826</v>
      </c>
      <c r="C95" s="488" t="s">
        <v>756</v>
      </c>
      <c r="D95" s="489">
        <v>4</v>
      </c>
      <c r="E95" s="505">
        <v>48591</v>
      </c>
      <c r="F95" s="505">
        <f t="shared" si="4"/>
        <v>194364</v>
      </c>
    </row>
    <row r="96" spans="1:8" x14ac:dyDescent="0.2">
      <c r="A96" s="488">
        <v>92</v>
      </c>
      <c r="B96" s="488" t="s">
        <v>827</v>
      </c>
      <c r="C96" s="488" t="s">
        <v>756</v>
      </c>
      <c r="D96" s="489">
        <v>5</v>
      </c>
      <c r="E96" s="505">
        <v>67250</v>
      </c>
      <c r="F96" s="505">
        <f t="shared" si="4"/>
        <v>336250</v>
      </c>
    </row>
    <row r="97" spans="1:6" x14ac:dyDescent="0.2">
      <c r="A97" s="488">
        <v>93</v>
      </c>
      <c r="B97" s="488" t="s">
        <v>828</v>
      </c>
      <c r="C97" s="488" t="s">
        <v>756</v>
      </c>
      <c r="D97" s="489">
        <v>1</v>
      </c>
      <c r="E97" s="505">
        <v>17826</v>
      </c>
      <c r="F97" s="505">
        <f t="shared" si="4"/>
        <v>17826</v>
      </c>
    </row>
    <row r="98" spans="1:6" x14ac:dyDescent="0.2">
      <c r="A98" s="488">
        <v>94</v>
      </c>
      <c r="B98" s="488" t="s">
        <v>757</v>
      </c>
      <c r="C98" s="488" t="s">
        <v>756</v>
      </c>
      <c r="D98" s="489">
        <v>1</v>
      </c>
      <c r="E98" s="505">
        <v>30500</v>
      </c>
      <c r="F98" s="505">
        <f t="shared" si="4"/>
        <v>30500</v>
      </c>
    </row>
    <row r="99" spans="1:6" x14ac:dyDescent="0.2">
      <c r="A99" s="488">
        <v>95</v>
      </c>
      <c r="B99" s="488" t="s">
        <v>757</v>
      </c>
      <c r="C99" s="488" t="s">
        <v>756</v>
      </c>
      <c r="D99" s="489">
        <v>2</v>
      </c>
      <c r="E99" s="505">
        <v>26750</v>
      </c>
      <c r="F99" s="505">
        <f t="shared" si="4"/>
        <v>53500</v>
      </c>
    </row>
    <row r="100" spans="1:6" x14ac:dyDescent="0.2">
      <c r="A100" s="488">
        <v>96</v>
      </c>
      <c r="B100" s="488" t="s">
        <v>779</v>
      </c>
      <c r="C100" s="488" t="s">
        <v>756</v>
      </c>
      <c r="D100" s="489">
        <v>3</v>
      </c>
      <c r="E100" s="505">
        <v>26667</v>
      </c>
      <c r="F100" s="505">
        <f t="shared" si="4"/>
        <v>80001</v>
      </c>
    </row>
    <row r="101" spans="1:6" x14ac:dyDescent="0.2">
      <c r="A101" s="488">
        <v>97</v>
      </c>
      <c r="B101" s="488" t="s">
        <v>779</v>
      </c>
      <c r="C101" s="488" t="s">
        <v>756</v>
      </c>
      <c r="D101" s="489">
        <v>1</v>
      </c>
      <c r="E101" s="505">
        <v>27088</v>
      </c>
      <c r="F101" s="505">
        <v>27082</v>
      </c>
    </row>
    <row r="102" spans="1:6" x14ac:dyDescent="0.2">
      <c r="A102" s="488">
        <v>98</v>
      </c>
      <c r="B102" s="488" t="s">
        <v>829</v>
      </c>
      <c r="C102" s="488" t="s">
        <v>756</v>
      </c>
      <c r="D102" s="489">
        <v>3</v>
      </c>
      <c r="E102" s="505">
        <v>121625</v>
      </c>
      <c r="F102" s="505">
        <f t="shared" si="4"/>
        <v>364875</v>
      </c>
    </row>
    <row r="103" spans="1:6" x14ac:dyDescent="0.2">
      <c r="A103" s="488">
        <v>99</v>
      </c>
      <c r="B103" s="488" t="s">
        <v>829</v>
      </c>
      <c r="C103" s="488" t="s">
        <v>756</v>
      </c>
      <c r="D103" s="489">
        <v>1</v>
      </c>
      <c r="E103" s="505">
        <v>92667</v>
      </c>
      <c r="F103" s="505">
        <f t="shared" si="4"/>
        <v>92667</v>
      </c>
    </row>
    <row r="104" spans="1:6" x14ac:dyDescent="0.2">
      <c r="A104" s="488">
        <v>100</v>
      </c>
      <c r="B104" s="488" t="s">
        <v>827</v>
      </c>
      <c r="C104" s="488" t="s">
        <v>756</v>
      </c>
      <c r="D104" s="489">
        <v>1</v>
      </c>
      <c r="E104" s="505">
        <v>143250</v>
      </c>
      <c r="F104" s="505">
        <f t="shared" si="4"/>
        <v>143250</v>
      </c>
    </row>
    <row r="105" spans="1:6" x14ac:dyDescent="0.2">
      <c r="A105" s="488">
        <v>101</v>
      </c>
      <c r="B105" s="488" t="s">
        <v>827</v>
      </c>
      <c r="C105" s="488" t="s">
        <v>756</v>
      </c>
      <c r="D105" s="489">
        <v>1</v>
      </c>
      <c r="E105" s="505">
        <v>137417</v>
      </c>
      <c r="F105" s="505">
        <f t="shared" si="4"/>
        <v>137417</v>
      </c>
    </row>
    <row r="106" spans="1:6" x14ac:dyDescent="0.2">
      <c r="A106" s="488">
        <v>102</v>
      </c>
      <c r="B106" s="488" t="s">
        <v>787</v>
      </c>
      <c r="C106" s="488" t="s">
        <v>756</v>
      </c>
      <c r="D106" s="489">
        <v>1</v>
      </c>
      <c r="E106" s="505">
        <v>59917</v>
      </c>
      <c r="F106" s="505">
        <f t="shared" si="4"/>
        <v>59917</v>
      </c>
    </row>
    <row r="107" spans="1:6" x14ac:dyDescent="0.2">
      <c r="A107" s="488">
        <v>103</v>
      </c>
      <c r="B107" s="488" t="s">
        <v>787</v>
      </c>
      <c r="C107" s="488" t="s">
        <v>756</v>
      </c>
      <c r="D107" s="489">
        <v>1</v>
      </c>
      <c r="E107" s="505">
        <v>52083</v>
      </c>
      <c r="F107" s="505">
        <f t="shared" si="4"/>
        <v>52083</v>
      </c>
    </row>
    <row r="108" spans="1:6" x14ac:dyDescent="0.2">
      <c r="A108" s="488">
        <v>104</v>
      </c>
      <c r="B108" s="488" t="s">
        <v>789</v>
      </c>
      <c r="C108" s="488" t="s">
        <v>756</v>
      </c>
      <c r="D108" s="489">
        <v>1</v>
      </c>
      <c r="E108" s="505">
        <v>7333</v>
      </c>
      <c r="F108" s="505">
        <f t="shared" si="4"/>
        <v>7333</v>
      </c>
    </row>
    <row r="109" spans="1:6" x14ac:dyDescent="0.2">
      <c r="A109" s="488">
        <v>105</v>
      </c>
      <c r="B109" s="488" t="s">
        <v>830</v>
      </c>
      <c r="C109" s="488" t="s">
        <v>756</v>
      </c>
      <c r="D109" s="489">
        <v>1</v>
      </c>
      <c r="E109" s="505">
        <v>43750</v>
      </c>
      <c r="F109" s="505">
        <f t="shared" si="4"/>
        <v>43750</v>
      </c>
    </row>
    <row r="110" spans="1:6" x14ac:dyDescent="0.2">
      <c r="A110" s="488">
        <v>106</v>
      </c>
      <c r="B110" s="488" t="s">
        <v>757</v>
      </c>
      <c r="C110" s="488" t="s">
        <v>756</v>
      </c>
      <c r="D110" s="489">
        <v>1</v>
      </c>
      <c r="E110" s="505">
        <v>62417</v>
      </c>
      <c r="F110" s="505">
        <f t="shared" si="4"/>
        <v>62417</v>
      </c>
    </row>
    <row r="111" spans="1:6" x14ac:dyDescent="0.2">
      <c r="A111" s="488">
        <v>107</v>
      </c>
      <c r="B111" s="488" t="s">
        <v>787</v>
      </c>
      <c r="C111" s="488" t="s">
        <v>756</v>
      </c>
      <c r="D111" s="489">
        <v>1</v>
      </c>
      <c r="E111" s="505">
        <v>149317</v>
      </c>
      <c r="F111" s="505">
        <f>+E111*D111</f>
        <v>149317</v>
      </c>
    </row>
    <row r="112" spans="1:6" x14ac:dyDescent="0.2">
      <c r="A112" s="488">
        <v>108</v>
      </c>
      <c r="B112" s="488" t="s">
        <v>831</v>
      </c>
      <c r="C112" s="488" t="s">
        <v>756</v>
      </c>
      <c r="D112" s="489">
        <v>1</v>
      </c>
      <c r="E112" s="505">
        <v>20077</v>
      </c>
      <c r="F112" s="505">
        <v>20077</v>
      </c>
    </row>
    <row r="113" spans="1:6" x14ac:dyDescent="0.2">
      <c r="A113" s="488">
        <v>109</v>
      </c>
      <c r="B113" s="488" t="s">
        <v>832</v>
      </c>
      <c r="C113" s="488" t="s">
        <v>756</v>
      </c>
      <c r="D113" s="489">
        <v>1</v>
      </c>
      <c r="E113" s="505">
        <v>12591</v>
      </c>
      <c r="F113" s="505">
        <v>12591</v>
      </c>
    </row>
    <row r="114" spans="1:6" x14ac:dyDescent="0.2">
      <c r="A114" s="488">
        <v>110</v>
      </c>
      <c r="B114" s="488" t="s">
        <v>833</v>
      </c>
      <c r="C114" s="488" t="s">
        <v>756</v>
      </c>
      <c r="D114" s="489">
        <v>2</v>
      </c>
      <c r="E114" s="505">
        <v>120000</v>
      </c>
      <c r="F114" s="505">
        <f>+E114*D114</f>
        <v>240000</v>
      </c>
    </row>
    <row r="115" spans="1:6" x14ac:dyDescent="0.2">
      <c r="A115" s="488">
        <v>111</v>
      </c>
      <c r="B115" s="488" t="s">
        <v>834</v>
      </c>
      <c r="C115" s="488" t="s">
        <v>756</v>
      </c>
      <c r="D115" s="489">
        <v>6</v>
      </c>
      <c r="E115" s="505">
        <f>+F115/D115</f>
        <v>13700</v>
      </c>
      <c r="F115" s="505">
        <v>82200</v>
      </c>
    </row>
    <row r="116" spans="1:6" x14ac:dyDescent="0.2">
      <c r="A116" s="488">
        <v>112</v>
      </c>
      <c r="B116" s="488" t="s">
        <v>835</v>
      </c>
      <c r="C116" s="488" t="s">
        <v>756</v>
      </c>
      <c r="D116" s="489">
        <v>6</v>
      </c>
      <c r="E116" s="505">
        <f>+F116/D116</f>
        <v>12820</v>
      </c>
      <c r="F116" s="505">
        <v>76920</v>
      </c>
    </row>
    <row r="117" spans="1:6" x14ac:dyDescent="0.2">
      <c r="A117" s="488">
        <v>113</v>
      </c>
      <c r="B117" s="488" t="s">
        <v>757</v>
      </c>
      <c r="C117" s="488" t="s">
        <v>756</v>
      </c>
      <c r="D117" s="489">
        <v>1</v>
      </c>
      <c r="E117" s="505">
        <v>46500</v>
      </c>
      <c r="F117" s="505">
        <f>+E117*D117</f>
        <v>46500</v>
      </c>
    </row>
    <row r="118" spans="1:6" x14ac:dyDescent="0.2">
      <c r="A118" s="488">
        <v>114</v>
      </c>
      <c r="B118" s="488" t="s">
        <v>836</v>
      </c>
      <c r="C118" s="488" t="s">
        <v>756</v>
      </c>
      <c r="D118" s="489">
        <v>1</v>
      </c>
      <c r="E118" s="505">
        <v>14000</v>
      </c>
      <c r="F118" s="505">
        <v>14000</v>
      </c>
    </row>
    <row r="119" spans="1:6" x14ac:dyDescent="0.2">
      <c r="A119" s="488">
        <v>115</v>
      </c>
      <c r="B119" s="488" t="s">
        <v>837</v>
      </c>
      <c r="C119" s="488" t="s">
        <v>756</v>
      </c>
      <c r="D119" s="489">
        <v>2</v>
      </c>
      <c r="E119" s="505">
        <v>36000</v>
      </c>
      <c r="F119" s="505">
        <f>+E119*D119</f>
        <v>72000</v>
      </c>
    </row>
    <row r="120" spans="1:6" x14ac:dyDescent="0.2">
      <c r="A120" s="488">
        <v>116</v>
      </c>
      <c r="B120" s="488" t="s">
        <v>838</v>
      </c>
      <c r="C120" s="488" t="s">
        <v>756</v>
      </c>
      <c r="D120" s="489">
        <v>1</v>
      </c>
      <c r="E120" s="505">
        <v>39900</v>
      </c>
      <c r="F120" s="505">
        <f>+D120*E120</f>
        <v>39900</v>
      </c>
    </row>
    <row r="121" spans="1:6" x14ac:dyDescent="0.2">
      <c r="A121" s="488">
        <v>117</v>
      </c>
      <c r="B121" s="488" t="s">
        <v>839</v>
      </c>
      <c r="C121" s="488" t="s">
        <v>756</v>
      </c>
      <c r="D121" s="489">
        <v>1</v>
      </c>
      <c r="E121" s="505">
        <v>48800</v>
      </c>
      <c r="F121" s="505">
        <f>+E121*D121</f>
        <v>48800</v>
      </c>
    </row>
    <row r="122" spans="1:6" x14ac:dyDescent="0.2">
      <c r="A122" s="488">
        <v>118</v>
      </c>
      <c r="B122" s="488" t="s">
        <v>840</v>
      </c>
      <c r="C122" s="488" t="s">
        <v>756</v>
      </c>
      <c r="D122" s="489">
        <v>1</v>
      </c>
      <c r="E122" s="505">
        <v>19475</v>
      </c>
      <c r="F122" s="505">
        <f>+E122*D122</f>
        <v>19475</v>
      </c>
    </row>
    <row r="123" spans="1:6" x14ac:dyDescent="0.2">
      <c r="A123" s="488">
        <v>119</v>
      </c>
      <c r="B123" s="488" t="s">
        <v>841</v>
      </c>
      <c r="C123" s="488" t="s">
        <v>756</v>
      </c>
      <c r="D123" s="489">
        <v>1</v>
      </c>
      <c r="E123" s="505">
        <v>12000</v>
      </c>
      <c r="F123" s="505">
        <v>12000</v>
      </c>
    </row>
    <row r="124" spans="1:6" x14ac:dyDescent="0.2">
      <c r="A124" s="488">
        <v>120</v>
      </c>
      <c r="B124" s="488" t="s">
        <v>842</v>
      </c>
      <c r="C124" s="488" t="s">
        <v>756</v>
      </c>
      <c r="D124" s="489">
        <v>1</v>
      </c>
      <c r="E124" s="505">
        <v>32533</v>
      </c>
      <c r="F124" s="505">
        <f>+E124*D124</f>
        <v>32533</v>
      </c>
    </row>
    <row r="125" spans="1:6" x14ac:dyDescent="0.2">
      <c r="A125" s="488">
        <v>121</v>
      </c>
      <c r="B125" s="488" t="s">
        <v>843</v>
      </c>
      <c r="C125" s="488" t="s">
        <v>756</v>
      </c>
      <c r="D125" s="489">
        <v>1</v>
      </c>
      <c r="E125" s="505">
        <v>19317</v>
      </c>
      <c r="F125" s="505">
        <f>+E125*D125</f>
        <v>19317</v>
      </c>
    </row>
    <row r="126" spans="1:6" x14ac:dyDescent="0.2">
      <c r="A126" s="488">
        <v>122</v>
      </c>
      <c r="B126" s="488" t="s">
        <v>844</v>
      </c>
      <c r="C126" s="488" t="s">
        <v>756</v>
      </c>
      <c r="D126" s="489">
        <v>1</v>
      </c>
      <c r="E126" s="505">
        <v>6667</v>
      </c>
      <c r="F126" s="505">
        <v>6667</v>
      </c>
    </row>
    <row r="127" spans="1:6" x14ac:dyDescent="0.2">
      <c r="A127" s="488">
        <v>123</v>
      </c>
      <c r="B127" s="488" t="s">
        <v>845</v>
      </c>
      <c r="C127" s="488" t="s">
        <v>756</v>
      </c>
      <c r="D127" s="489">
        <v>1</v>
      </c>
      <c r="E127" s="505">
        <v>14000</v>
      </c>
      <c r="F127" s="505">
        <v>14000</v>
      </c>
    </row>
    <row r="128" spans="1:6" x14ac:dyDescent="0.2">
      <c r="A128" s="488">
        <v>124</v>
      </c>
      <c r="B128" s="488" t="s">
        <v>846</v>
      </c>
      <c r="C128" s="488" t="s">
        <v>756</v>
      </c>
      <c r="D128" s="489">
        <v>1</v>
      </c>
      <c r="E128" s="505">
        <v>2500</v>
      </c>
      <c r="F128" s="505">
        <v>2500</v>
      </c>
    </row>
    <row r="129" spans="1:6" x14ac:dyDescent="0.2">
      <c r="A129" s="488">
        <v>125</v>
      </c>
      <c r="B129" s="488" t="s">
        <v>847</v>
      </c>
      <c r="C129" s="488" t="s">
        <v>756</v>
      </c>
      <c r="D129" s="489">
        <v>1</v>
      </c>
      <c r="E129" s="505">
        <v>14242</v>
      </c>
      <c r="F129" s="505">
        <f>+E129*D129</f>
        <v>14242</v>
      </c>
    </row>
    <row r="130" spans="1:6" x14ac:dyDescent="0.2">
      <c r="A130" s="488">
        <v>126</v>
      </c>
      <c r="B130" s="488" t="s">
        <v>813</v>
      </c>
      <c r="C130" s="488" t="s">
        <v>756</v>
      </c>
      <c r="D130" s="489">
        <v>120</v>
      </c>
      <c r="E130" s="505">
        <v>25000</v>
      </c>
      <c r="F130" s="505">
        <f>+D130*E130</f>
        <v>3000000</v>
      </c>
    </row>
    <row r="131" spans="1:6" x14ac:dyDescent="0.2">
      <c r="A131" s="488">
        <v>127</v>
      </c>
      <c r="B131" s="488" t="s">
        <v>848</v>
      </c>
      <c r="C131" s="488" t="s">
        <v>756</v>
      </c>
      <c r="D131" s="488">
        <v>1</v>
      </c>
      <c r="E131" s="505">
        <v>44000</v>
      </c>
      <c r="F131" s="505">
        <f t="shared" ref="F131:F187" si="5">SUM(D131*E131)</f>
        <v>44000</v>
      </c>
    </row>
    <row r="132" spans="1:6" x14ac:dyDescent="0.2">
      <c r="A132" s="488">
        <v>128</v>
      </c>
      <c r="B132" s="488" t="s">
        <v>849</v>
      </c>
      <c r="C132" s="488" t="s">
        <v>756</v>
      </c>
      <c r="D132" s="488">
        <v>1</v>
      </c>
      <c r="E132" s="505">
        <v>42000</v>
      </c>
      <c r="F132" s="505">
        <f t="shared" si="5"/>
        <v>42000</v>
      </c>
    </row>
    <row r="133" spans="1:6" x14ac:dyDescent="0.2">
      <c r="A133" s="488">
        <v>129</v>
      </c>
      <c r="B133" s="488" t="s">
        <v>850</v>
      </c>
      <c r="C133" s="488" t="s">
        <v>756</v>
      </c>
      <c r="D133" s="488">
        <v>1</v>
      </c>
      <c r="E133" s="505">
        <v>150000</v>
      </c>
      <c r="F133" s="505">
        <f t="shared" si="5"/>
        <v>150000</v>
      </c>
    </row>
    <row r="134" spans="1:6" x14ac:dyDescent="0.2">
      <c r="A134" s="488">
        <v>130</v>
      </c>
      <c r="B134" s="488" t="s">
        <v>851</v>
      </c>
      <c r="C134" s="488" t="s">
        <v>756</v>
      </c>
      <c r="D134" s="488">
        <v>23</v>
      </c>
      <c r="E134" s="505">
        <v>16800</v>
      </c>
      <c r="F134" s="505">
        <f t="shared" si="5"/>
        <v>386400</v>
      </c>
    </row>
    <row r="135" spans="1:6" x14ac:dyDescent="0.2">
      <c r="A135" s="488">
        <v>131</v>
      </c>
      <c r="B135" s="488" t="s">
        <v>852</v>
      </c>
      <c r="C135" s="488" t="s">
        <v>756</v>
      </c>
      <c r="D135" s="488">
        <v>1</v>
      </c>
      <c r="E135" s="505">
        <v>210000</v>
      </c>
      <c r="F135" s="505">
        <f t="shared" si="5"/>
        <v>210000</v>
      </c>
    </row>
    <row r="136" spans="1:6" x14ac:dyDescent="0.2">
      <c r="A136" s="488">
        <v>132</v>
      </c>
      <c r="B136" s="488" t="s">
        <v>852</v>
      </c>
      <c r="C136" s="488" t="s">
        <v>756</v>
      </c>
      <c r="D136" s="488">
        <v>4</v>
      </c>
      <c r="E136" s="505">
        <v>25000</v>
      </c>
      <c r="F136" s="505">
        <f t="shared" si="5"/>
        <v>100000</v>
      </c>
    </row>
    <row r="137" spans="1:6" x14ac:dyDescent="0.2">
      <c r="A137" s="488">
        <v>133</v>
      </c>
      <c r="B137" s="488" t="s">
        <v>853</v>
      </c>
      <c r="C137" s="488" t="s">
        <v>756</v>
      </c>
      <c r="D137" s="488">
        <v>1</v>
      </c>
      <c r="E137" s="505">
        <v>25000</v>
      </c>
      <c r="F137" s="505">
        <f t="shared" si="5"/>
        <v>25000</v>
      </c>
    </row>
    <row r="138" spans="1:6" x14ac:dyDescent="0.2">
      <c r="A138" s="488">
        <v>134</v>
      </c>
      <c r="B138" s="488" t="s">
        <v>853</v>
      </c>
      <c r="C138" s="488" t="s">
        <v>756</v>
      </c>
      <c r="D138" s="488">
        <v>1</v>
      </c>
      <c r="E138" s="505">
        <v>2503</v>
      </c>
      <c r="F138" s="505">
        <f t="shared" si="5"/>
        <v>2503</v>
      </c>
    </row>
    <row r="139" spans="1:6" x14ac:dyDescent="0.2">
      <c r="A139" s="488">
        <v>135</v>
      </c>
      <c r="B139" s="488" t="s">
        <v>854</v>
      </c>
      <c r="C139" s="488" t="s">
        <v>756</v>
      </c>
      <c r="D139" s="488">
        <v>1</v>
      </c>
      <c r="E139" s="505">
        <v>7500</v>
      </c>
      <c r="F139" s="505">
        <f t="shared" si="5"/>
        <v>7500</v>
      </c>
    </row>
    <row r="140" spans="1:6" x14ac:dyDescent="0.2">
      <c r="A140" s="488">
        <v>136</v>
      </c>
      <c r="B140" s="488" t="s">
        <v>855</v>
      </c>
      <c r="C140" s="488" t="s">
        <v>756</v>
      </c>
      <c r="D140" s="488">
        <v>6</v>
      </c>
      <c r="E140" s="505">
        <v>2500</v>
      </c>
      <c r="F140" s="505">
        <f t="shared" si="5"/>
        <v>15000</v>
      </c>
    </row>
    <row r="141" spans="1:6" x14ac:dyDescent="0.2">
      <c r="A141" s="488">
        <v>137</v>
      </c>
      <c r="B141" s="488" t="s">
        <v>855</v>
      </c>
      <c r="C141" s="488" t="s">
        <v>756</v>
      </c>
      <c r="D141" s="488">
        <v>1</v>
      </c>
      <c r="E141" s="505">
        <v>1331</v>
      </c>
      <c r="F141" s="505">
        <f t="shared" si="5"/>
        <v>1331</v>
      </c>
    </row>
    <row r="142" spans="1:6" x14ac:dyDescent="0.2">
      <c r="A142" s="488">
        <v>138</v>
      </c>
      <c r="B142" s="488" t="s">
        <v>856</v>
      </c>
      <c r="C142" s="488" t="s">
        <v>756</v>
      </c>
      <c r="D142" s="488">
        <v>1</v>
      </c>
      <c r="E142" s="505">
        <v>800000</v>
      </c>
      <c r="F142" s="505">
        <f t="shared" si="5"/>
        <v>800000</v>
      </c>
    </row>
    <row r="143" spans="1:6" x14ac:dyDescent="0.2">
      <c r="A143" s="488">
        <v>139</v>
      </c>
      <c r="B143" s="488" t="s">
        <v>857</v>
      </c>
      <c r="C143" s="488" t="s">
        <v>756</v>
      </c>
      <c r="D143" s="488">
        <v>2</v>
      </c>
      <c r="E143" s="505">
        <v>70000</v>
      </c>
      <c r="F143" s="505">
        <f t="shared" si="5"/>
        <v>140000</v>
      </c>
    </row>
    <row r="144" spans="1:6" x14ac:dyDescent="0.2">
      <c r="A144" s="488">
        <v>140</v>
      </c>
      <c r="B144" s="488" t="s">
        <v>858</v>
      </c>
      <c r="C144" s="488" t="s">
        <v>756</v>
      </c>
      <c r="D144" s="488">
        <v>1</v>
      </c>
      <c r="E144" s="505">
        <v>44100</v>
      </c>
      <c r="F144" s="505">
        <f t="shared" si="5"/>
        <v>44100</v>
      </c>
    </row>
    <row r="145" spans="1:6" x14ac:dyDescent="0.2">
      <c r="A145" s="488">
        <v>141</v>
      </c>
      <c r="B145" s="488" t="s">
        <v>760</v>
      </c>
      <c r="C145" s="488" t="s">
        <v>756</v>
      </c>
      <c r="D145" s="488">
        <v>2</v>
      </c>
      <c r="E145" s="505">
        <v>7500</v>
      </c>
      <c r="F145" s="505">
        <f t="shared" si="5"/>
        <v>15000</v>
      </c>
    </row>
    <row r="146" spans="1:6" x14ac:dyDescent="0.2">
      <c r="A146" s="488">
        <v>142</v>
      </c>
      <c r="B146" s="488" t="s">
        <v>762</v>
      </c>
      <c r="C146" s="488" t="s">
        <v>756</v>
      </c>
      <c r="D146" s="488">
        <v>2</v>
      </c>
      <c r="E146" s="505">
        <v>16800</v>
      </c>
      <c r="F146" s="505">
        <f t="shared" si="5"/>
        <v>33600</v>
      </c>
    </row>
    <row r="147" spans="1:6" x14ac:dyDescent="0.2">
      <c r="A147" s="488">
        <v>143</v>
      </c>
      <c r="B147" s="488" t="s">
        <v>859</v>
      </c>
      <c r="C147" s="488" t="s">
        <v>756</v>
      </c>
      <c r="D147" s="488">
        <v>1</v>
      </c>
      <c r="E147" s="505">
        <v>60375</v>
      </c>
      <c r="F147" s="505">
        <f t="shared" si="5"/>
        <v>60375</v>
      </c>
    </row>
    <row r="148" spans="1:6" x14ac:dyDescent="0.2">
      <c r="A148" s="488">
        <v>144</v>
      </c>
      <c r="B148" s="488" t="s">
        <v>860</v>
      </c>
      <c r="C148" s="488" t="s">
        <v>756</v>
      </c>
      <c r="D148" s="488">
        <v>4</v>
      </c>
      <c r="E148" s="505">
        <v>3932.25</v>
      </c>
      <c r="F148" s="505">
        <f t="shared" si="5"/>
        <v>15729</v>
      </c>
    </row>
    <row r="149" spans="1:6" x14ac:dyDescent="0.2">
      <c r="A149" s="488">
        <v>145</v>
      </c>
      <c r="B149" s="488" t="s">
        <v>861</v>
      </c>
      <c r="C149" s="488" t="s">
        <v>756</v>
      </c>
      <c r="D149" s="488">
        <v>4</v>
      </c>
      <c r="E149" s="505">
        <v>50000</v>
      </c>
      <c r="F149" s="505">
        <f t="shared" si="5"/>
        <v>200000</v>
      </c>
    </row>
    <row r="150" spans="1:6" x14ac:dyDescent="0.2">
      <c r="A150" s="488">
        <v>146</v>
      </c>
      <c r="B150" s="488" t="s">
        <v>862</v>
      </c>
      <c r="C150" s="488" t="s">
        <v>756</v>
      </c>
      <c r="D150" s="488">
        <v>10</v>
      </c>
      <c r="E150" s="505">
        <v>70000</v>
      </c>
      <c r="F150" s="505">
        <f t="shared" si="5"/>
        <v>700000</v>
      </c>
    </row>
    <row r="151" spans="1:6" x14ac:dyDescent="0.2">
      <c r="A151" s="488">
        <v>147</v>
      </c>
      <c r="B151" s="488" t="s">
        <v>827</v>
      </c>
      <c r="C151" s="488" t="s">
        <v>756</v>
      </c>
      <c r="D151" s="488">
        <v>10</v>
      </c>
      <c r="E151" s="505">
        <v>25000</v>
      </c>
      <c r="F151" s="505">
        <f t="shared" si="5"/>
        <v>250000</v>
      </c>
    </row>
    <row r="152" spans="1:6" x14ac:dyDescent="0.2">
      <c r="A152" s="488">
        <v>148</v>
      </c>
      <c r="B152" s="488" t="s">
        <v>862</v>
      </c>
      <c r="C152" s="488" t="s">
        <v>756</v>
      </c>
      <c r="D152" s="488">
        <v>2</v>
      </c>
      <c r="E152" s="505">
        <v>120000</v>
      </c>
      <c r="F152" s="505">
        <f t="shared" si="5"/>
        <v>240000</v>
      </c>
    </row>
    <row r="153" spans="1:6" x14ac:dyDescent="0.2">
      <c r="A153" s="488">
        <v>149</v>
      </c>
      <c r="B153" s="488" t="s">
        <v>863</v>
      </c>
      <c r="C153" s="488" t="s">
        <v>756</v>
      </c>
      <c r="D153" s="488">
        <v>1</v>
      </c>
      <c r="E153" s="505">
        <v>144463</v>
      </c>
      <c r="F153" s="505">
        <f t="shared" si="5"/>
        <v>144463</v>
      </c>
    </row>
    <row r="154" spans="1:6" x14ac:dyDescent="0.2">
      <c r="A154" s="488">
        <v>150</v>
      </c>
      <c r="B154" s="488" t="s">
        <v>864</v>
      </c>
      <c r="C154" s="488" t="s">
        <v>756</v>
      </c>
      <c r="D154" s="488">
        <v>1</v>
      </c>
      <c r="E154" s="505">
        <v>10583</v>
      </c>
      <c r="F154" s="505">
        <f t="shared" si="5"/>
        <v>10583</v>
      </c>
    </row>
    <row r="155" spans="1:6" x14ac:dyDescent="0.2">
      <c r="A155" s="488">
        <v>151</v>
      </c>
      <c r="B155" s="488" t="s">
        <v>865</v>
      </c>
      <c r="C155" s="488" t="s">
        <v>756</v>
      </c>
      <c r="D155" s="488">
        <v>1</v>
      </c>
      <c r="E155" s="505">
        <v>3134</v>
      </c>
      <c r="F155" s="505">
        <f t="shared" si="5"/>
        <v>3134</v>
      </c>
    </row>
    <row r="156" spans="1:6" x14ac:dyDescent="0.2">
      <c r="A156" s="488">
        <v>152</v>
      </c>
      <c r="B156" s="488" t="s">
        <v>863</v>
      </c>
      <c r="C156" s="488" t="s">
        <v>756</v>
      </c>
      <c r="D156" s="488">
        <v>4</v>
      </c>
      <c r="E156" s="505">
        <v>100375</v>
      </c>
      <c r="F156" s="505">
        <f t="shared" si="5"/>
        <v>401500</v>
      </c>
    </row>
    <row r="157" spans="1:6" x14ac:dyDescent="0.2">
      <c r="A157" s="488">
        <v>153</v>
      </c>
      <c r="B157" s="488" t="s">
        <v>866</v>
      </c>
      <c r="C157" s="488" t="s">
        <v>756</v>
      </c>
      <c r="D157" s="488">
        <v>8</v>
      </c>
      <c r="E157" s="505">
        <v>8375</v>
      </c>
      <c r="F157" s="505">
        <f t="shared" si="5"/>
        <v>67000</v>
      </c>
    </row>
    <row r="158" spans="1:6" x14ac:dyDescent="0.2">
      <c r="A158" s="488">
        <v>154</v>
      </c>
      <c r="B158" s="488" t="s">
        <v>867</v>
      </c>
      <c r="C158" s="488" t="s">
        <v>756</v>
      </c>
      <c r="D158" s="488">
        <v>4</v>
      </c>
      <c r="E158" s="505">
        <v>54290</v>
      </c>
      <c r="F158" s="505">
        <f t="shared" si="5"/>
        <v>217160</v>
      </c>
    </row>
    <row r="159" spans="1:6" x14ac:dyDescent="0.2">
      <c r="A159" s="488">
        <v>155</v>
      </c>
      <c r="B159" s="488" t="s">
        <v>868</v>
      </c>
      <c r="C159" s="488" t="s">
        <v>756</v>
      </c>
      <c r="D159" s="488">
        <v>1</v>
      </c>
      <c r="E159" s="505">
        <v>1250</v>
      </c>
      <c r="F159" s="505">
        <f t="shared" si="5"/>
        <v>1250</v>
      </c>
    </row>
    <row r="160" spans="1:6" x14ac:dyDescent="0.2">
      <c r="A160" s="488">
        <v>156</v>
      </c>
      <c r="B160" s="488" t="s">
        <v>869</v>
      </c>
      <c r="C160" s="488" t="s">
        <v>756</v>
      </c>
      <c r="D160" s="488">
        <v>2</v>
      </c>
      <c r="E160" s="505">
        <v>1920000</v>
      </c>
      <c r="F160" s="505">
        <f t="shared" si="5"/>
        <v>3840000</v>
      </c>
    </row>
    <row r="161" spans="1:6" x14ac:dyDescent="0.2">
      <c r="A161" s="488">
        <v>157</v>
      </c>
      <c r="B161" s="488" t="s">
        <v>758</v>
      </c>
      <c r="C161" s="488" t="s">
        <v>756</v>
      </c>
      <c r="D161" s="488">
        <v>6</v>
      </c>
      <c r="E161" s="505">
        <v>65000</v>
      </c>
      <c r="F161" s="505">
        <f t="shared" si="5"/>
        <v>390000</v>
      </c>
    </row>
    <row r="162" spans="1:6" x14ac:dyDescent="0.2">
      <c r="A162" s="488">
        <v>158</v>
      </c>
      <c r="B162" s="488" t="s">
        <v>759</v>
      </c>
      <c r="C162" s="488" t="s">
        <v>756</v>
      </c>
      <c r="D162" s="488">
        <v>6</v>
      </c>
      <c r="E162" s="505">
        <v>14166</v>
      </c>
      <c r="F162" s="505">
        <f t="shared" si="5"/>
        <v>84996</v>
      </c>
    </row>
    <row r="163" spans="1:6" x14ac:dyDescent="0.2">
      <c r="A163" s="488">
        <v>159</v>
      </c>
      <c r="B163" s="488" t="s">
        <v>761</v>
      </c>
      <c r="C163" s="488" t="s">
        <v>756</v>
      </c>
      <c r="D163" s="488">
        <v>2</v>
      </c>
      <c r="E163" s="505">
        <v>97500</v>
      </c>
      <c r="F163" s="505">
        <f t="shared" si="5"/>
        <v>195000</v>
      </c>
    </row>
    <row r="164" spans="1:6" x14ac:dyDescent="0.2">
      <c r="A164" s="488">
        <v>160</v>
      </c>
      <c r="B164" s="488" t="s">
        <v>760</v>
      </c>
      <c r="C164" s="488" t="s">
        <v>756</v>
      </c>
      <c r="D164" s="488">
        <v>6</v>
      </c>
      <c r="E164" s="505">
        <v>29167</v>
      </c>
      <c r="F164" s="505">
        <f t="shared" si="5"/>
        <v>175002</v>
      </c>
    </row>
    <row r="165" spans="1:6" x14ac:dyDescent="0.2">
      <c r="A165" s="488">
        <v>161</v>
      </c>
      <c r="B165" s="488" t="s">
        <v>760</v>
      </c>
      <c r="C165" s="488" t="s">
        <v>756</v>
      </c>
      <c r="D165" s="488">
        <v>4</v>
      </c>
      <c r="E165" s="505">
        <v>13200</v>
      </c>
      <c r="F165" s="505">
        <f t="shared" si="5"/>
        <v>52800</v>
      </c>
    </row>
    <row r="166" spans="1:6" x14ac:dyDescent="0.2">
      <c r="A166" s="488">
        <v>162</v>
      </c>
      <c r="B166" s="488" t="s">
        <v>774</v>
      </c>
      <c r="C166" s="488" t="s">
        <v>756</v>
      </c>
      <c r="D166" s="488">
        <v>2</v>
      </c>
      <c r="E166" s="505">
        <v>6750</v>
      </c>
      <c r="F166" s="505">
        <f t="shared" si="5"/>
        <v>13500</v>
      </c>
    </row>
    <row r="167" spans="1:6" x14ac:dyDescent="0.2">
      <c r="A167" s="488">
        <v>163</v>
      </c>
      <c r="B167" s="488" t="s">
        <v>757</v>
      </c>
      <c r="C167" s="488" t="s">
        <v>756</v>
      </c>
      <c r="D167" s="488">
        <v>2</v>
      </c>
      <c r="E167" s="505">
        <v>213000</v>
      </c>
      <c r="F167" s="505">
        <f t="shared" si="5"/>
        <v>426000</v>
      </c>
    </row>
    <row r="168" spans="1:6" x14ac:dyDescent="0.2">
      <c r="A168" s="488">
        <v>164</v>
      </c>
      <c r="B168" s="488" t="s">
        <v>870</v>
      </c>
      <c r="C168" s="488" t="s">
        <v>756</v>
      </c>
      <c r="D168" s="488">
        <v>6</v>
      </c>
      <c r="E168" s="505">
        <v>18200</v>
      </c>
      <c r="F168" s="505">
        <f t="shared" si="5"/>
        <v>109200</v>
      </c>
    </row>
    <row r="169" spans="1:6" x14ac:dyDescent="0.2">
      <c r="A169" s="488">
        <v>165</v>
      </c>
      <c r="B169" s="488" t="s">
        <v>767</v>
      </c>
      <c r="C169" s="488" t="s">
        <v>756</v>
      </c>
      <c r="D169" s="488">
        <v>1</v>
      </c>
      <c r="E169" s="505">
        <v>35000</v>
      </c>
      <c r="F169" s="505">
        <f t="shared" si="5"/>
        <v>35000</v>
      </c>
    </row>
    <row r="170" spans="1:6" x14ac:dyDescent="0.2">
      <c r="A170" s="488">
        <v>166</v>
      </c>
      <c r="B170" s="488" t="s">
        <v>871</v>
      </c>
      <c r="C170" s="488" t="s">
        <v>756</v>
      </c>
      <c r="D170" s="488">
        <v>1</v>
      </c>
      <c r="E170" s="505">
        <v>4500</v>
      </c>
      <c r="F170" s="505">
        <f t="shared" si="5"/>
        <v>4500</v>
      </c>
    </row>
    <row r="171" spans="1:6" x14ac:dyDescent="0.2">
      <c r="A171" s="488">
        <v>167</v>
      </c>
      <c r="B171" s="488" t="s">
        <v>829</v>
      </c>
      <c r="C171" s="488" t="s">
        <v>756</v>
      </c>
      <c r="D171" s="488">
        <v>1</v>
      </c>
      <c r="E171" s="505">
        <v>213000</v>
      </c>
      <c r="F171" s="505">
        <f t="shared" si="5"/>
        <v>213000</v>
      </c>
    </row>
    <row r="172" spans="1:6" x14ac:dyDescent="0.2">
      <c r="A172" s="488">
        <v>168</v>
      </c>
      <c r="B172" s="488" t="s">
        <v>872</v>
      </c>
      <c r="C172" s="488" t="s">
        <v>756</v>
      </c>
      <c r="D172" s="488">
        <v>1</v>
      </c>
      <c r="E172" s="505">
        <v>686919</v>
      </c>
      <c r="F172" s="505">
        <f t="shared" si="5"/>
        <v>686919</v>
      </c>
    </row>
    <row r="173" spans="1:6" x14ac:dyDescent="0.2">
      <c r="A173" s="488">
        <v>169</v>
      </c>
      <c r="B173" s="488" t="s">
        <v>873</v>
      </c>
      <c r="C173" s="488" t="s">
        <v>756</v>
      </c>
      <c r="D173" s="488">
        <v>2</v>
      </c>
      <c r="E173" s="505">
        <v>333</v>
      </c>
      <c r="F173" s="505">
        <f t="shared" si="5"/>
        <v>666</v>
      </c>
    </row>
    <row r="174" spans="1:6" x14ac:dyDescent="0.2">
      <c r="A174" s="488">
        <v>170</v>
      </c>
      <c r="B174" s="488" t="s">
        <v>874</v>
      </c>
      <c r="C174" s="488" t="s">
        <v>756</v>
      </c>
      <c r="D174" s="488">
        <v>2</v>
      </c>
      <c r="E174" s="505">
        <v>1332.5</v>
      </c>
      <c r="F174" s="505">
        <f t="shared" si="5"/>
        <v>2665</v>
      </c>
    </row>
    <row r="175" spans="1:6" x14ac:dyDescent="0.2">
      <c r="A175" s="488">
        <v>171</v>
      </c>
      <c r="B175" s="488" t="s">
        <v>875</v>
      </c>
      <c r="C175" s="488" t="s">
        <v>756</v>
      </c>
      <c r="D175" s="488">
        <v>3</v>
      </c>
      <c r="E175" s="505">
        <v>1250</v>
      </c>
      <c r="F175" s="505">
        <f t="shared" si="5"/>
        <v>3750</v>
      </c>
    </row>
    <row r="176" spans="1:6" x14ac:dyDescent="0.2">
      <c r="A176" s="488">
        <v>172</v>
      </c>
      <c r="B176" s="488" t="s">
        <v>876</v>
      </c>
      <c r="C176" s="488" t="s">
        <v>756</v>
      </c>
      <c r="D176" s="488">
        <v>1</v>
      </c>
      <c r="E176" s="505">
        <v>625</v>
      </c>
      <c r="F176" s="505">
        <f t="shared" si="5"/>
        <v>625</v>
      </c>
    </row>
    <row r="177" spans="1:6" x14ac:dyDescent="0.2">
      <c r="A177" s="488">
        <v>173</v>
      </c>
      <c r="B177" s="488" t="s">
        <v>877</v>
      </c>
      <c r="C177" s="488" t="s">
        <v>756</v>
      </c>
      <c r="D177" s="488">
        <v>1</v>
      </c>
      <c r="E177" s="505">
        <v>8400</v>
      </c>
      <c r="F177" s="505">
        <f t="shared" si="5"/>
        <v>8400</v>
      </c>
    </row>
    <row r="178" spans="1:6" x14ac:dyDescent="0.2">
      <c r="A178" s="488">
        <v>174</v>
      </c>
      <c r="B178" s="488" t="s">
        <v>878</v>
      </c>
      <c r="C178" s="488" t="s">
        <v>756</v>
      </c>
      <c r="D178" s="488">
        <v>3</v>
      </c>
      <c r="E178" s="505">
        <v>9000</v>
      </c>
      <c r="F178" s="505">
        <f t="shared" si="5"/>
        <v>27000</v>
      </c>
    </row>
    <row r="179" spans="1:6" x14ac:dyDescent="0.2">
      <c r="A179" s="488">
        <v>175</v>
      </c>
      <c r="B179" s="488" t="s">
        <v>807</v>
      </c>
      <c r="C179" s="488" t="s">
        <v>756</v>
      </c>
      <c r="D179" s="488">
        <v>4</v>
      </c>
      <c r="E179" s="505">
        <v>54050</v>
      </c>
      <c r="F179" s="505">
        <f t="shared" si="5"/>
        <v>216200</v>
      </c>
    </row>
    <row r="180" spans="1:6" x14ac:dyDescent="0.2">
      <c r="A180" s="488">
        <v>176</v>
      </c>
      <c r="B180" s="488" t="s">
        <v>879</v>
      </c>
      <c r="C180" s="488" t="s">
        <v>756</v>
      </c>
      <c r="D180" s="488">
        <v>1</v>
      </c>
      <c r="E180" s="505">
        <v>88400</v>
      </c>
      <c r="F180" s="505">
        <f t="shared" si="5"/>
        <v>88400</v>
      </c>
    </row>
    <row r="181" spans="1:6" x14ac:dyDescent="0.2">
      <c r="A181" s="488">
        <v>177</v>
      </c>
      <c r="B181" s="488" t="s">
        <v>880</v>
      </c>
      <c r="C181" s="488" t="s">
        <v>756</v>
      </c>
      <c r="D181" s="488">
        <v>1</v>
      </c>
      <c r="E181" s="505">
        <v>56252</v>
      </c>
      <c r="F181" s="505">
        <f t="shared" si="5"/>
        <v>56252</v>
      </c>
    </row>
    <row r="182" spans="1:6" x14ac:dyDescent="0.2">
      <c r="A182" s="488">
        <v>178</v>
      </c>
      <c r="B182" s="488" t="s">
        <v>807</v>
      </c>
      <c r="C182" s="488" t="s">
        <v>756</v>
      </c>
      <c r="D182" s="488">
        <v>4</v>
      </c>
      <c r="E182" s="505">
        <v>53266.75</v>
      </c>
      <c r="F182" s="505">
        <f t="shared" si="5"/>
        <v>213067</v>
      </c>
    </row>
    <row r="183" spans="1:6" x14ac:dyDescent="0.2">
      <c r="A183" s="488">
        <v>179</v>
      </c>
      <c r="B183" s="488" t="s">
        <v>881</v>
      </c>
      <c r="C183" s="488" t="s">
        <v>756</v>
      </c>
      <c r="D183" s="488">
        <v>6</v>
      </c>
      <c r="E183" s="505">
        <v>124780</v>
      </c>
      <c r="F183" s="505">
        <f t="shared" si="5"/>
        <v>748680</v>
      </c>
    </row>
    <row r="184" spans="1:6" x14ac:dyDescent="0.2">
      <c r="A184" s="488">
        <v>180</v>
      </c>
      <c r="B184" s="488" t="s">
        <v>878</v>
      </c>
      <c r="C184" s="488" t="s">
        <v>756</v>
      </c>
      <c r="D184" s="488">
        <v>6</v>
      </c>
      <c r="E184" s="505">
        <v>6188</v>
      </c>
      <c r="F184" s="505">
        <f t="shared" si="5"/>
        <v>37128</v>
      </c>
    </row>
    <row r="185" spans="1:6" ht="11.25" customHeight="1" x14ac:dyDescent="0.2">
      <c r="A185" s="488">
        <v>181</v>
      </c>
      <c r="B185" s="488" t="s">
        <v>882</v>
      </c>
      <c r="C185" s="488" t="s">
        <v>756</v>
      </c>
      <c r="D185" s="488">
        <v>1</v>
      </c>
      <c r="E185" s="505">
        <v>20000</v>
      </c>
      <c r="F185" s="505">
        <f t="shared" si="5"/>
        <v>20000</v>
      </c>
    </row>
    <row r="186" spans="1:6" x14ac:dyDescent="0.2">
      <c r="A186" s="488">
        <v>182</v>
      </c>
      <c r="B186" s="488" t="s">
        <v>869</v>
      </c>
      <c r="C186" s="488" t="s">
        <v>756</v>
      </c>
      <c r="D186" s="488">
        <v>1</v>
      </c>
      <c r="E186" s="505">
        <v>650000</v>
      </c>
      <c r="F186" s="505">
        <f t="shared" si="5"/>
        <v>650000</v>
      </c>
    </row>
    <row r="187" spans="1:6" x14ac:dyDescent="0.2">
      <c r="A187" s="488">
        <v>183</v>
      </c>
      <c r="B187" s="488" t="s">
        <v>758</v>
      </c>
      <c r="C187" s="488" t="s">
        <v>756</v>
      </c>
      <c r="D187" s="488">
        <v>4</v>
      </c>
      <c r="E187" s="505">
        <v>41300</v>
      </c>
      <c r="F187" s="505">
        <f t="shared" si="5"/>
        <v>165200</v>
      </c>
    </row>
    <row r="188" spans="1:6" x14ac:dyDescent="0.2">
      <c r="A188" s="488">
        <v>184</v>
      </c>
      <c r="B188" s="488" t="s">
        <v>760</v>
      </c>
      <c r="C188" s="488" t="s">
        <v>756</v>
      </c>
      <c r="D188" s="488">
        <v>6</v>
      </c>
      <c r="E188" s="505">
        <v>10700</v>
      </c>
      <c r="F188" s="505">
        <f>SUM(D188*E188)</f>
        <v>64200</v>
      </c>
    </row>
    <row r="189" spans="1:6" x14ac:dyDescent="0.2">
      <c r="A189" s="488">
        <v>185</v>
      </c>
      <c r="B189" s="488" t="s">
        <v>759</v>
      </c>
      <c r="C189" s="488" t="s">
        <v>756</v>
      </c>
      <c r="D189" s="488">
        <v>1</v>
      </c>
      <c r="E189" s="505">
        <v>12200</v>
      </c>
      <c r="F189" s="505">
        <f>SUM(D189*E189)</f>
        <v>12200</v>
      </c>
    </row>
    <row r="190" spans="1:6" x14ac:dyDescent="0.2">
      <c r="A190" s="488">
        <v>186</v>
      </c>
      <c r="B190" s="488" t="s">
        <v>883</v>
      </c>
      <c r="C190" s="488" t="s">
        <v>756</v>
      </c>
      <c r="D190" s="488">
        <v>1</v>
      </c>
      <c r="E190" s="505">
        <v>18200</v>
      </c>
      <c r="F190" s="505">
        <f>SUM(D190*E190)</f>
        <v>18200</v>
      </c>
    </row>
    <row r="191" spans="1:6" x14ac:dyDescent="0.2">
      <c r="A191" s="488">
        <v>187</v>
      </c>
      <c r="B191" s="488" t="s">
        <v>884</v>
      </c>
      <c r="C191" s="488" t="s">
        <v>756</v>
      </c>
      <c r="D191" s="488">
        <v>1</v>
      </c>
      <c r="E191" s="505">
        <v>4200</v>
      </c>
      <c r="F191" s="505">
        <f>SUM(D191*E191)</f>
        <v>4200</v>
      </c>
    </row>
    <row r="192" spans="1:6" x14ac:dyDescent="0.2">
      <c r="A192" s="488">
        <v>188</v>
      </c>
      <c r="B192" s="488" t="s">
        <v>869</v>
      </c>
      <c r="C192" s="488" t="s">
        <v>756</v>
      </c>
      <c r="D192" s="488">
        <v>1</v>
      </c>
      <c r="E192" s="505">
        <v>990000</v>
      </c>
      <c r="F192" s="505">
        <f t="shared" ref="F192:F218" si="6">SUM(D192*E192)</f>
        <v>990000</v>
      </c>
    </row>
    <row r="193" spans="1:6" x14ac:dyDescent="0.2">
      <c r="A193" s="488">
        <v>189</v>
      </c>
      <c r="B193" s="488" t="s">
        <v>758</v>
      </c>
      <c r="C193" s="488" t="s">
        <v>756</v>
      </c>
      <c r="D193" s="488">
        <v>13</v>
      </c>
      <c r="E193" s="505">
        <v>59500</v>
      </c>
      <c r="F193" s="505">
        <f t="shared" si="6"/>
        <v>773500</v>
      </c>
    </row>
    <row r="194" spans="1:6" x14ac:dyDescent="0.2">
      <c r="A194" s="488">
        <v>190</v>
      </c>
      <c r="B194" s="488" t="s">
        <v>758</v>
      </c>
      <c r="C194" s="488" t="s">
        <v>756</v>
      </c>
      <c r="D194" s="488">
        <v>13</v>
      </c>
      <c r="E194" s="505">
        <v>52000</v>
      </c>
      <c r="F194" s="505">
        <f t="shared" si="6"/>
        <v>676000</v>
      </c>
    </row>
    <row r="195" spans="1:6" x14ac:dyDescent="0.2">
      <c r="A195" s="488">
        <v>191</v>
      </c>
      <c r="B195" s="488" t="s">
        <v>759</v>
      </c>
      <c r="C195" s="488" t="s">
        <v>756</v>
      </c>
      <c r="D195" s="488">
        <v>13</v>
      </c>
      <c r="E195" s="505">
        <v>13575</v>
      </c>
      <c r="F195" s="505">
        <f t="shared" si="6"/>
        <v>176475</v>
      </c>
    </row>
    <row r="196" spans="1:6" x14ac:dyDescent="0.2">
      <c r="A196" s="488">
        <v>192</v>
      </c>
      <c r="B196" s="488" t="s">
        <v>761</v>
      </c>
      <c r="C196" s="488" t="s">
        <v>756</v>
      </c>
      <c r="D196" s="488">
        <v>2</v>
      </c>
      <c r="E196" s="505">
        <v>99000</v>
      </c>
      <c r="F196" s="505">
        <f t="shared" si="6"/>
        <v>198000</v>
      </c>
    </row>
    <row r="197" spans="1:6" x14ac:dyDescent="0.2">
      <c r="A197" s="488">
        <v>193</v>
      </c>
      <c r="B197" s="488" t="s">
        <v>885</v>
      </c>
      <c r="C197" s="488" t="s">
        <v>756</v>
      </c>
      <c r="D197" s="488">
        <v>6</v>
      </c>
      <c r="E197" s="505">
        <v>17500</v>
      </c>
      <c r="F197" s="505">
        <f t="shared" si="6"/>
        <v>105000</v>
      </c>
    </row>
    <row r="198" spans="1:6" x14ac:dyDescent="0.2">
      <c r="A198" s="488">
        <v>194</v>
      </c>
      <c r="B198" s="488" t="s">
        <v>760</v>
      </c>
      <c r="C198" s="488" t="s">
        <v>756</v>
      </c>
      <c r="D198" s="488">
        <v>3</v>
      </c>
      <c r="E198" s="505">
        <v>10900</v>
      </c>
      <c r="F198" s="505">
        <f t="shared" si="6"/>
        <v>32700</v>
      </c>
    </row>
    <row r="199" spans="1:6" x14ac:dyDescent="0.2">
      <c r="A199" s="488">
        <v>195</v>
      </c>
      <c r="B199" s="488" t="s">
        <v>774</v>
      </c>
      <c r="C199" s="488" t="s">
        <v>756</v>
      </c>
      <c r="D199" s="488">
        <v>2</v>
      </c>
      <c r="E199" s="505">
        <v>4250</v>
      </c>
      <c r="F199" s="505">
        <f t="shared" si="6"/>
        <v>8500</v>
      </c>
    </row>
    <row r="200" spans="1:6" x14ac:dyDescent="0.2">
      <c r="A200" s="488">
        <v>196</v>
      </c>
      <c r="B200" s="488" t="s">
        <v>757</v>
      </c>
      <c r="C200" s="488" t="s">
        <v>756</v>
      </c>
      <c r="D200" s="488">
        <v>2</v>
      </c>
      <c r="E200" s="505">
        <v>213000</v>
      </c>
      <c r="F200" s="505">
        <f t="shared" si="6"/>
        <v>426000</v>
      </c>
    </row>
    <row r="201" spans="1:6" x14ac:dyDescent="0.2">
      <c r="A201" s="488">
        <v>197</v>
      </c>
      <c r="B201" s="488" t="s">
        <v>886</v>
      </c>
      <c r="C201" s="488" t="s">
        <v>756</v>
      </c>
      <c r="D201" s="488">
        <v>6</v>
      </c>
      <c r="E201" s="505">
        <v>18200</v>
      </c>
      <c r="F201" s="505">
        <f t="shared" si="6"/>
        <v>109200</v>
      </c>
    </row>
    <row r="202" spans="1:6" x14ac:dyDescent="0.2">
      <c r="A202" s="488">
        <v>198</v>
      </c>
      <c r="B202" s="488" t="s">
        <v>767</v>
      </c>
      <c r="C202" s="488" t="s">
        <v>756</v>
      </c>
      <c r="D202" s="488">
        <v>1</v>
      </c>
      <c r="E202" s="505">
        <v>42500</v>
      </c>
      <c r="F202" s="505">
        <f t="shared" si="6"/>
        <v>42500</v>
      </c>
    </row>
    <row r="203" spans="1:6" x14ac:dyDescent="0.2">
      <c r="A203" s="488">
        <v>199</v>
      </c>
      <c r="B203" s="488" t="s">
        <v>871</v>
      </c>
      <c r="C203" s="488" t="s">
        <v>756</v>
      </c>
      <c r="D203" s="488">
        <v>1</v>
      </c>
      <c r="E203" s="505">
        <v>3700</v>
      </c>
      <c r="F203" s="505">
        <f t="shared" si="6"/>
        <v>3700</v>
      </c>
    </row>
    <row r="204" spans="1:6" x14ac:dyDescent="0.2">
      <c r="A204" s="488">
        <v>200</v>
      </c>
      <c r="B204" s="488" t="s">
        <v>871</v>
      </c>
      <c r="C204" s="488" t="s">
        <v>756</v>
      </c>
      <c r="D204" s="488">
        <v>1</v>
      </c>
      <c r="E204" s="505">
        <v>2973</v>
      </c>
      <c r="F204" s="505">
        <f>SUM(D204*E204)</f>
        <v>2973</v>
      </c>
    </row>
    <row r="205" spans="1:6" x14ac:dyDescent="0.2">
      <c r="A205" s="488">
        <v>201</v>
      </c>
      <c r="B205" s="488" t="s">
        <v>829</v>
      </c>
      <c r="C205" s="488" t="s">
        <v>756</v>
      </c>
      <c r="D205" s="488">
        <v>2</v>
      </c>
      <c r="E205" s="505">
        <v>182000</v>
      </c>
      <c r="F205" s="505">
        <f t="shared" si="6"/>
        <v>364000</v>
      </c>
    </row>
    <row r="206" spans="1:6" x14ac:dyDescent="0.2">
      <c r="A206" s="488">
        <v>202</v>
      </c>
      <c r="B206" s="488" t="s">
        <v>830</v>
      </c>
      <c r="C206" s="488" t="s">
        <v>756</v>
      </c>
      <c r="D206" s="488">
        <v>3</v>
      </c>
      <c r="E206" s="505">
        <v>175000</v>
      </c>
      <c r="F206" s="505">
        <f t="shared" si="6"/>
        <v>525000</v>
      </c>
    </row>
    <row r="207" spans="1:6" x14ac:dyDescent="0.2">
      <c r="A207" s="488">
        <v>203</v>
      </c>
      <c r="B207" s="488" t="s">
        <v>887</v>
      </c>
      <c r="C207" s="488" t="s">
        <v>756</v>
      </c>
      <c r="D207" s="488">
        <v>1</v>
      </c>
      <c r="E207" s="505">
        <v>8500</v>
      </c>
      <c r="F207" s="505">
        <f t="shared" si="6"/>
        <v>8500</v>
      </c>
    </row>
    <row r="208" spans="1:6" x14ac:dyDescent="0.2">
      <c r="A208" s="488">
        <v>204</v>
      </c>
      <c r="B208" s="488" t="s">
        <v>888</v>
      </c>
      <c r="C208" s="488" t="s">
        <v>756</v>
      </c>
      <c r="D208" s="488">
        <v>1</v>
      </c>
      <c r="E208" s="505">
        <v>24500</v>
      </c>
      <c r="F208" s="505">
        <f t="shared" si="6"/>
        <v>24500</v>
      </c>
    </row>
    <row r="209" spans="1:16" x14ac:dyDescent="0.2">
      <c r="A209" s="488">
        <v>205</v>
      </c>
      <c r="B209" s="488" t="s">
        <v>776</v>
      </c>
      <c r="C209" s="488" t="s">
        <v>756</v>
      </c>
      <c r="D209" s="488">
        <v>2</v>
      </c>
      <c r="E209" s="505">
        <v>4200</v>
      </c>
      <c r="F209" s="505">
        <f t="shared" si="6"/>
        <v>8400</v>
      </c>
    </row>
    <row r="210" spans="1:16" x14ac:dyDescent="0.2">
      <c r="A210" s="488">
        <v>206</v>
      </c>
      <c r="B210" s="488" t="s">
        <v>889</v>
      </c>
      <c r="C210" s="488" t="s">
        <v>756</v>
      </c>
      <c r="D210" s="488">
        <v>1</v>
      </c>
      <c r="E210" s="505">
        <v>93333</v>
      </c>
      <c r="F210" s="505">
        <f t="shared" si="6"/>
        <v>93333</v>
      </c>
    </row>
    <row r="211" spans="1:16" x14ac:dyDescent="0.2">
      <c r="A211" s="488">
        <v>207</v>
      </c>
      <c r="B211" s="488" t="s">
        <v>890</v>
      </c>
      <c r="C211" s="488" t="s">
        <v>756</v>
      </c>
      <c r="D211" s="488">
        <v>1</v>
      </c>
      <c r="E211" s="505">
        <v>54763</v>
      </c>
      <c r="F211" s="505">
        <f t="shared" si="6"/>
        <v>54763</v>
      </c>
    </row>
    <row r="212" spans="1:16" x14ac:dyDescent="0.2">
      <c r="A212" s="488">
        <v>208</v>
      </c>
      <c r="B212" s="488" t="s">
        <v>891</v>
      </c>
      <c r="C212" s="488" t="s">
        <v>756</v>
      </c>
      <c r="D212" s="488">
        <v>4</v>
      </c>
      <c r="E212" s="505">
        <v>6736</v>
      </c>
      <c r="F212" s="505">
        <f t="shared" si="6"/>
        <v>26944</v>
      </c>
    </row>
    <row r="213" spans="1:16" x14ac:dyDescent="0.2">
      <c r="A213" s="488">
        <v>209</v>
      </c>
      <c r="B213" s="488" t="s">
        <v>892</v>
      </c>
      <c r="C213" s="488" t="s">
        <v>756</v>
      </c>
      <c r="D213" s="488">
        <v>4</v>
      </c>
      <c r="E213" s="505">
        <v>57866.75</v>
      </c>
      <c r="F213" s="505">
        <f t="shared" si="6"/>
        <v>231467</v>
      </c>
    </row>
    <row r="214" spans="1:16" x14ac:dyDescent="0.2">
      <c r="A214" s="488">
        <v>210</v>
      </c>
      <c r="B214" s="488" t="s">
        <v>893</v>
      </c>
      <c r="C214" s="488" t="s">
        <v>756</v>
      </c>
      <c r="D214" s="488">
        <v>1</v>
      </c>
      <c r="E214" s="505">
        <v>2500</v>
      </c>
      <c r="F214" s="505">
        <f t="shared" si="6"/>
        <v>2500</v>
      </c>
    </row>
    <row r="215" spans="1:16" x14ac:dyDescent="0.2">
      <c r="A215" s="488">
        <v>211</v>
      </c>
      <c r="B215" s="488" t="s">
        <v>894</v>
      </c>
      <c r="C215" s="488" t="s">
        <v>756</v>
      </c>
      <c r="D215" s="488">
        <v>12</v>
      </c>
      <c r="E215" s="488">
        <v>30000</v>
      </c>
      <c r="F215" s="505">
        <f>SUM(D215*E215)</f>
        <v>360000</v>
      </c>
    </row>
    <row r="216" spans="1:16" x14ac:dyDescent="0.2">
      <c r="A216" s="488">
        <v>212</v>
      </c>
      <c r="B216" s="488" t="s">
        <v>895</v>
      </c>
      <c r="C216" s="488" t="s">
        <v>756</v>
      </c>
      <c r="D216" s="488">
        <v>12</v>
      </c>
      <c r="E216" s="488">
        <v>100000</v>
      </c>
      <c r="F216" s="505">
        <f>SUM(D216*E216)</f>
        <v>1200000</v>
      </c>
    </row>
    <row r="217" spans="1:16" x14ac:dyDescent="0.2">
      <c r="A217" s="488">
        <v>213</v>
      </c>
      <c r="B217" s="488" t="s">
        <v>616</v>
      </c>
      <c r="C217" s="488" t="s">
        <v>756</v>
      </c>
      <c r="D217" s="488">
        <v>1</v>
      </c>
      <c r="E217" s="505">
        <v>870000</v>
      </c>
      <c r="F217" s="505">
        <f t="shared" si="6"/>
        <v>870000</v>
      </c>
      <c r="G217" s="501"/>
    </row>
    <row r="218" spans="1:16" x14ac:dyDescent="0.2">
      <c r="A218" s="488">
        <v>214</v>
      </c>
      <c r="B218" s="488" t="s">
        <v>896</v>
      </c>
      <c r="C218" s="488" t="s">
        <v>756</v>
      </c>
      <c r="D218" s="488">
        <v>3</v>
      </c>
      <c r="E218" s="505">
        <v>955000</v>
      </c>
      <c r="F218" s="505">
        <f t="shared" si="6"/>
        <v>2865000</v>
      </c>
      <c r="G218" s="501"/>
    </row>
    <row r="219" spans="1:16" x14ac:dyDescent="0.2">
      <c r="A219" s="488">
        <v>215</v>
      </c>
      <c r="B219" s="488" t="s">
        <v>896</v>
      </c>
      <c r="C219" s="488" t="s">
        <v>756</v>
      </c>
      <c r="D219" s="488">
        <v>1</v>
      </c>
      <c r="E219" s="505">
        <v>1150000</v>
      </c>
      <c r="F219" s="505">
        <v>1150000</v>
      </c>
      <c r="G219" s="501"/>
    </row>
    <row r="220" spans="1:16" x14ac:dyDescent="0.2">
      <c r="A220" s="488">
        <v>216</v>
      </c>
      <c r="B220" s="488" t="s">
        <v>897</v>
      </c>
      <c r="C220" s="488" t="s">
        <v>756</v>
      </c>
      <c r="D220" s="488">
        <v>1</v>
      </c>
      <c r="E220" s="505">
        <v>86875</v>
      </c>
      <c r="F220" s="505">
        <f>SUM(D220*E220)</f>
        <v>86875</v>
      </c>
      <c r="K220" s="502"/>
      <c r="L220" s="24"/>
      <c r="M220" s="24"/>
      <c r="N220" s="24"/>
      <c r="O220" s="24"/>
      <c r="P220" s="24"/>
    </row>
    <row r="221" spans="1:16" x14ac:dyDescent="0.2">
      <c r="A221" s="488">
        <v>217</v>
      </c>
      <c r="B221" s="488" t="s">
        <v>898</v>
      </c>
      <c r="C221" s="488" t="s">
        <v>756</v>
      </c>
      <c r="D221" s="488">
        <v>4</v>
      </c>
      <c r="E221" s="505">
        <v>46570.5</v>
      </c>
      <c r="F221" s="505">
        <f>+D221*E221</f>
        <v>186282</v>
      </c>
      <c r="K221" s="24"/>
      <c r="L221" s="24"/>
      <c r="M221" s="24"/>
      <c r="N221" s="24"/>
      <c r="O221" s="24"/>
      <c r="P221" s="24"/>
    </row>
    <row r="222" spans="1:16" x14ac:dyDescent="0.2">
      <c r="A222" s="488">
        <v>218</v>
      </c>
      <c r="B222" s="488" t="s">
        <v>899</v>
      </c>
      <c r="C222" s="488" t="s">
        <v>756</v>
      </c>
      <c r="D222" s="488">
        <v>1</v>
      </c>
      <c r="E222" s="505">
        <v>40250</v>
      </c>
      <c r="F222" s="505">
        <f>+D222*E222</f>
        <v>40250</v>
      </c>
      <c r="K222" s="24"/>
      <c r="L222" s="24"/>
      <c r="M222" s="24"/>
      <c r="N222" s="24"/>
      <c r="O222" s="503"/>
      <c r="P222" s="503"/>
    </row>
    <row r="223" spans="1:16" x14ac:dyDescent="0.2">
      <c r="A223" s="488">
        <v>219</v>
      </c>
      <c r="B223" s="488" t="s">
        <v>899</v>
      </c>
      <c r="C223" s="488" t="s">
        <v>756</v>
      </c>
      <c r="D223" s="488">
        <v>1</v>
      </c>
      <c r="E223" s="505">
        <v>128750</v>
      </c>
      <c r="F223" s="505">
        <f t="shared" ref="F223:F232" si="7">+D223*E223</f>
        <v>128750</v>
      </c>
      <c r="K223" s="24"/>
      <c r="L223" s="24"/>
      <c r="M223" s="24"/>
      <c r="N223" s="24"/>
      <c r="O223" s="503"/>
      <c r="P223" s="503"/>
    </row>
    <row r="224" spans="1:16" x14ac:dyDescent="0.2">
      <c r="A224" s="488">
        <v>220</v>
      </c>
      <c r="B224" s="488" t="s">
        <v>807</v>
      </c>
      <c r="C224" s="488" t="s">
        <v>756</v>
      </c>
      <c r="D224" s="488">
        <v>3</v>
      </c>
      <c r="E224" s="505">
        <v>33250</v>
      </c>
      <c r="F224" s="505">
        <f t="shared" si="7"/>
        <v>99750</v>
      </c>
      <c r="K224" s="24"/>
      <c r="L224" s="24"/>
      <c r="M224" s="24"/>
      <c r="N224" s="24"/>
      <c r="O224" s="503"/>
      <c r="P224" s="503"/>
    </row>
    <row r="225" spans="1:16" x14ac:dyDescent="0.2">
      <c r="A225" s="488">
        <v>221</v>
      </c>
      <c r="B225" s="488" t="s">
        <v>899</v>
      </c>
      <c r="C225" s="488" t="s">
        <v>756</v>
      </c>
      <c r="D225" s="488">
        <v>7</v>
      </c>
      <c r="E225" s="505">
        <v>27726</v>
      </c>
      <c r="F225" s="505">
        <v>194083</v>
      </c>
      <c r="K225" s="24"/>
      <c r="L225" s="24"/>
      <c r="M225" s="24"/>
      <c r="N225" s="24"/>
      <c r="O225" s="503"/>
      <c r="P225" s="503"/>
    </row>
    <row r="226" spans="1:16" x14ac:dyDescent="0.2">
      <c r="A226" s="488">
        <v>222</v>
      </c>
      <c r="B226" s="488" t="s">
        <v>807</v>
      </c>
      <c r="C226" s="488" t="s">
        <v>756</v>
      </c>
      <c r="D226" s="488">
        <v>2</v>
      </c>
      <c r="E226" s="505">
        <v>49083</v>
      </c>
      <c r="F226" s="505">
        <v>98167</v>
      </c>
      <c r="K226" s="24"/>
      <c r="L226" s="24"/>
      <c r="M226" s="24"/>
      <c r="N226" s="24"/>
      <c r="O226" s="503"/>
      <c r="P226" s="503"/>
    </row>
    <row r="227" spans="1:16" x14ac:dyDescent="0.2">
      <c r="A227" s="488">
        <v>223</v>
      </c>
      <c r="B227" s="488" t="s">
        <v>899</v>
      </c>
      <c r="C227" s="488" t="s">
        <v>756</v>
      </c>
      <c r="D227" s="488">
        <v>2</v>
      </c>
      <c r="E227" s="505">
        <v>28625</v>
      </c>
      <c r="F227" s="505">
        <f t="shared" si="7"/>
        <v>57250</v>
      </c>
      <c r="K227" s="24"/>
      <c r="L227" s="24"/>
      <c r="M227" s="24"/>
      <c r="N227" s="24"/>
      <c r="O227" s="503"/>
      <c r="P227" s="503"/>
    </row>
    <row r="228" spans="1:16" x14ac:dyDescent="0.2">
      <c r="A228" s="488">
        <v>224</v>
      </c>
      <c r="B228" s="488" t="s">
        <v>899</v>
      </c>
      <c r="C228" s="488" t="s">
        <v>756</v>
      </c>
      <c r="D228" s="488">
        <v>5</v>
      </c>
      <c r="E228" s="505">
        <v>34033</v>
      </c>
      <c r="F228" s="505">
        <v>170167</v>
      </c>
      <c r="K228" s="24"/>
      <c r="L228" s="24"/>
      <c r="M228" s="24"/>
      <c r="N228" s="24"/>
      <c r="O228" s="503"/>
      <c r="P228" s="503"/>
    </row>
    <row r="229" spans="1:16" x14ac:dyDescent="0.2">
      <c r="A229" s="488">
        <v>225</v>
      </c>
      <c r="B229" s="488" t="s">
        <v>900</v>
      </c>
      <c r="C229" s="488" t="s">
        <v>756</v>
      </c>
      <c r="D229" s="488">
        <v>2</v>
      </c>
      <c r="E229" s="505">
        <v>104583</v>
      </c>
      <c r="F229" s="505">
        <v>209167</v>
      </c>
      <c r="K229" s="24"/>
      <c r="L229" s="24"/>
      <c r="M229" s="24"/>
      <c r="N229" s="24"/>
      <c r="O229" s="503"/>
      <c r="P229" s="503"/>
    </row>
    <row r="230" spans="1:16" x14ac:dyDescent="0.2">
      <c r="A230" s="488">
        <v>226</v>
      </c>
      <c r="B230" s="488" t="s">
        <v>899</v>
      </c>
      <c r="C230" s="488" t="s">
        <v>756</v>
      </c>
      <c r="D230" s="488">
        <v>1</v>
      </c>
      <c r="E230" s="505">
        <v>124167</v>
      </c>
      <c r="F230" s="505">
        <f t="shared" si="7"/>
        <v>124167</v>
      </c>
      <c r="K230" s="24"/>
      <c r="L230" s="24"/>
      <c r="M230" s="24"/>
      <c r="N230" s="24"/>
      <c r="O230" s="503"/>
      <c r="P230" s="503"/>
    </row>
    <row r="231" spans="1:16" x14ac:dyDescent="0.2">
      <c r="A231" s="488">
        <v>227</v>
      </c>
      <c r="B231" s="488" t="s">
        <v>807</v>
      </c>
      <c r="C231" s="488" t="s">
        <v>756</v>
      </c>
      <c r="D231" s="488">
        <v>4</v>
      </c>
      <c r="E231" s="505">
        <v>36458.5</v>
      </c>
      <c r="F231" s="505">
        <f t="shared" si="7"/>
        <v>145834</v>
      </c>
      <c r="K231" s="24"/>
      <c r="L231" s="24"/>
      <c r="M231" s="24"/>
      <c r="N231" s="24"/>
      <c r="O231" s="503"/>
      <c r="P231" s="503"/>
    </row>
    <row r="232" spans="1:16" x14ac:dyDescent="0.2">
      <c r="A232" s="488">
        <v>228</v>
      </c>
      <c r="B232" s="488" t="s">
        <v>899</v>
      </c>
      <c r="C232" s="488" t="s">
        <v>756</v>
      </c>
      <c r="D232" s="488">
        <v>1</v>
      </c>
      <c r="E232" s="505">
        <v>103333</v>
      </c>
      <c r="F232" s="505">
        <f t="shared" si="7"/>
        <v>103333</v>
      </c>
      <c r="K232" s="24"/>
      <c r="L232" s="24"/>
      <c r="M232" s="24"/>
      <c r="N232" s="24"/>
      <c r="O232" s="503"/>
      <c r="P232" s="503"/>
    </row>
    <row r="233" spans="1:16" x14ac:dyDescent="0.2">
      <c r="A233" s="488">
        <v>229</v>
      </c>
      <c r="B233" s="488" t="s">
        <v>901</v>
      </c>
      <c r="C233" s="488" t="s">
        <v>756</v>
      </c>
      <c r="D233" s="488">
        <v>1</v>
      </c>
      <c r="E233" s="505">
        <v>81083</v>
      </c>
      <c r="F233" s="505">
        <f>SUM(D233*E233)</f>
        <v>81083</v>
      </c>
    </row>
    <row r="234" spans="1:16" x14ac:dyDescent="0.2">
      <c r="A234" s="488">
        <v>230</v>
      </c>
      <c r="B234" s="488" t="s">
        <v>902</v>
      </c>
      <c r="C234" s="488" t="s">
        <v>756</v>
      </c>
      <c r="D234" s="488">
        <v>1</v>
      </c>
      <c r="E234" s="505">
        <v>1855400</v>
      </c>
      <c r="F234" s="505">
        <f>+D234*E234</f>
        <v>1855400</v>
      </c>
    </row>
    <row r="235" spans="1:16" x14ac:dyDescent="0.2">
      <c r="A235" s="488">
        <v>231</v>
      </c>
      <c r="B235" s="488" t="s">
        <v>903</v>
      </c>
      <c r="C235" s="488" t="s">
        <v>756</v>
      </c>
      <c r="D235" s="488">
        <v>1</v>
      </c>
      <c r="E235" s="505">
        <v>229417</v>
      </c>
      <c r="F235" s="505">
        <f t="shared" ref="F235:F242" si="8">+D235*E235</f>
        <v>229417</v>
      </c>
    </row>
    <row r="236" spans="1:16" x14ac:dyDescent="0.2">
      <c r="A236" s="488">
        <v>232</v>
      </c>
      <c r="B236" s="488" t="s">
        <v>901</v>
      </c>
      <c r="C236" s="488" t="s">
        <v>756</v>
      </c>
      <c r="D236" s="488">
        <v>1</v>
      </c>
      <c r="E236" s="505">
        <v>137750</v>
      </c>
      <c r="F236" s="505">
        <f t="shared" si="8"/>
        <v>137750</v>
      </c>
    </row>
    <row r="237" spans="1:16" x14ac:dyDescent="0.2">
      <c r="A237" s="488">
        <v>233</v>
      </c>
      <c r="B237" s="488" t="s">
        <v>904</v>
      </c>
      <c r="C237" s="488" t="s">
        <v>756</v>
      </c>
      <c r="D237" s="488">
        <v>1</v>
      </c>
      <c r="E237" s="505">
        <v>1424349.5</v>
      </c>
      <c r="F237" s="505">
        <f t="shared" si="8"/>
        <v>1424349.5</v>
      </c>
    </row>
    <row r="238" spans="1:16" x14ac:dyDescent="0.2">
      <c r="A238" s="488">
        <v>234</v>
      </c>
      <c r="B238" s="488" t="s">
        <v>901</v>
      </c>
      <c r="C238" s="488" t="s">
        <v>756</v>
      </c>
      <c r="D238" s="488">
        <v>1</v>
      </c>
      <c r="E238" s="505">
        <v>145833</v>
      </c>
      <c r="F238" s="505">
        <f t="shared" si="8"/>
        <v>145833</v>
      </c>
    </row>
    <row r="239" spans="1:16" x14ac:dyDescent="0.2">
      <c r="A239" s="488">
        <v>235</v>
      </c>
      <c r="B239" s="488" t="s">
        <v>901</v>
      </c>
      <c r="C239" s="488" t="s">
        <v>756</v>
      </c>
      <c r="D239" s="488">
        <v>1</v>
      </c>
      <c r="E239" s="505">
        <v>122500</v>
      </c>
      <c r="F239" s="505">
        <f t="shared" si="8"/>
        <v>122500</v>
      </c>
    </row>
    <row r="240" spans="1:16" x14ac:dyDescent="0.2">
      <c r="A240" s="488">
        <v>236</v>
      </c>
      <c r="B240" s="488" t="s">
        <v>871</v>
      </c>
      <c r="C240" s="488" t="s">
        <v>756</v>
      </c>
      <c r="D240" s="488">
        <v>1</v>
      </c>
      <c r="E240" s="505">
        <v>69167</v>
      </c>
      <c r="F240" s="505">
        <f t="shared" si="8"/>
        <v>69167</v>
      </c>
    </row>
    <row r="241" spans="1:6" x14ac:dyDescent="0.2">
      <c r="A241" s="488">
        <v>237</v>
      </c>
      <c r="B241" s="488" t="s">
        <v>871</v>
      </c>
      <c r="C241" s="488" t="s">
        <v>756</v>
      </c>
      <c r="D241" s="488">
        <v>1</v>
      </c>
      <c r="E241" s="505">
        <v>16630</v>
      </c>
      <c r="F241" s="505">
        <f t="shared" si="8"/>
        <v>16630</v>
      </c>
    </row>
    <row r="242" spans="1:6" x14ac:dyDescent="0.2">
      <c r="A242" s="488">
        <v>238</v>
      </c>
      <c r="B242" s="488" t="s">
        <v>871</v>
      </c>
      <c r="C242" s="488" t="s">
        <v>756</v>
      </c>
      <c r="D242" s="488">
        <v>1</v>
      </c>
      <c r="E242" s="505">
        <v>19583</v>
      </c>
      <c r="F242" s="505">
        <f t="shared" si="8"/>
        <v>19583</v>
      </c>
    </row>
    <row r="243" spans="1:6" x14ac:dyDescent="0.2">
      <c r="A243" s="488">
        <v>239</v>
      </c>
      <c r="B243" s="488" t="s">
        <v>905</v>
      </c>
      <c r="C243" s="488" t="s">
        <v>756</v>
      </c>
      <c r="D243" s="488">
        <v>2</v>
      </c>
      <c r="E243" s="505">
        <v>8333.3333000000002</v>
      </c>
      <c r="F243" s="505">
        <f>SUM(D243*E243)</f>
        <v>16666.6666</v>
      </c>
    </row>
    <row r="244" spans="1:6" x14ac:dyDescent="0.2">
      <c r="A244" s="488">
        <v>240</v>
      </c>
      <c r="B244" s="488" t="s">
        <v>905</v>
      </c>
      <c r="C244" s="488" t="s">
        <v>756</v>
      </c>
      <c r="D244" s="488">
        <v>1</v>
      </c>
      <c r="E244" s="505">
        <v>12500</v>
      </c>
      <c r="F244" s="505">
        <f>+D244*E244</f>
        <v>12500</v>
      </c>
    </row>
    <row r="245" spans="1:6" x14ac:dyDescent="0.2">
      <c r="A245" s="488">
        <v>241</v>
      </c>
      <c r="B245" s="488" t="s">
        <v>905</v>
      </c>
      <c r="C245" s="488" t="s">
        <v>756</v>
      </c>
      <c r="D245" s="488">
        <v>2</v>
      </c>
      <c r="E245" s="505">
        <v>8750</v>
      </c>
      <c r="F245" s="505">
        <f t="shared" ref="F245:F282" si="9">+D245*E245</f>
        <v>17500</v>
      </c>
    </row>
    <row r="246" spans="1:6" x14ac:dyDescent="0.2">
      <c r="A246" s="488">
        <v>242</v>
      </c>
      <c r="B246" s="488" t="s">
        <v>905</v>
      </c>
      <c r="C246" s="488" t="s">
        <v>756</v>
      </c>
      <c r="D246" s="488">
        <v>1</v>
      </c>
      <c r="E246" s="505">
        <v>29167</v>
      </c>
      <c r="F246" s="505">
        <f t="shared" si="9"/>
        <v>29167</v>
      </c>
    </row>
    <row r="247" spans="1:6" x14ac:dyDescent="0.2">
      <c r="A247" s="488">
        <v>243</v>
      </c>
      <c r="B247" s="488" t="s">
        <v>905</v>
      </c>
      <c r="C247" s="488" t="s">
        <v>756</v>
      </c>
      <c r="D247" s="488">
        <v>1</v>
      </c>
      <c r="E247" s="505">
        <v>65833</v>
      </c>
      <c r="F247" s="505">
        <f t="shared" si="9"/>
        <v>65833</v>
      </c>
    </row>
    <row r="248" spans="1:6" x14ac:dyDescent="0.2">
      <c r="A248" s="488">
        <v>244</v>
      </c>
      <c r="B248" s="488" t="s">
        <v>779</v>
      </c>
      <c r="C248" s="488" t="s">
        <v>756</v>
      </c>
      <c r="D248" s="488">
        <v>1</v>
      </c>
      <c r="E248" s="505">
        <v>111200</v>
      </c>
      <c r="F248" s="505">
        <f t="shared" si="9"/>
        <v>111200</v>
      </c>
    </row>
    <row r="249" spans="1:6" x14ac:dyDescent="0.2">
      <c r="A249" s="488">
        <v>245</v>
      </c>
      <c r="B249" s="488" t="s">
        <v>572</v>
      </c>
      <c r="C249" s="488" t="s">
        <v>756</v>
      </c>
      <c r="D249" s="488">
        <v>1</v>
      </c>
      <c r="E249" s="505">
        <v>67100</v>
      </c>
      <c r="F249" s="505">
        <f t="shared" si="9"/>
        <v>67100</v>
      </c>
    </row>
    <row r="250" spans="1:6" x14ac:dyDescent="0.2">
      <c r="A250" s="488">
        <v>246</v>
      </c>
      <c r="B250" s="488" t="s">
        <v>572</v>
      </c>
      <c r="C250" s="488" t="s">
        <v>756</v>
      </c>
      <c r="D250" s="488">
        <v>2</v>
      </c>
      <c r="E250" s="505">
        <v>4200</v>
      </c>
      <c r="F250" s="505">
        <f t="shared" si="9"/>
        <v>8400</v>
      </c>
    </row>
    <row r="251" spans="1:6" x14ac:dyDescent="0.2">
      <c r="A251" s="488">
        <v>247</v>
      </c>
      <c r="B251" s="488" t="s">
        <v>572</v>
      </c>
      <c r="C251" s="488" t="s">
        <v>756</v>
      </c>
      <c r="D251" s="488">
        <v>1</v>
      </c>
      <c r="E251" s="505">
        <v>45800</v>
      </c>
      <c r="F251" s="505">
        <f t="shared" si="9"/>
        <v>45800</v>
      </c>
    </row>
    <row r="252" spans="1:6" x14ac:dyDescent="0.2">
      <c r="A252" s="488">
        <v>248</v>
      </c>
      <c r="B252" s="488" t="s">
        <v>905</v>
      </c>
      <c r="C252" s="488" t="s">
        <v>756</v>
      </c>
      <c r="D252" s="488">
        <v>2</v>
      </c>
      <c r="E252" s="505">
        <v>79167.67</v>
      </c>
      <c r="F252" s="505">
        <f t="shared" si="9"/>
        <v>158335.34</v>
      </c>
    </row>
    <row r="253" spans="1:6" x14ac:dyDescent="0.2">
      <c r="A253" s="488">
        <v>249</v>
      </c>
      <c r="B253" s="488" t="s">
        <v>906</v>
      </c>
      <c r="C253" s="488" t="s">
        <v>756</v>
      </c>
      <c r="D253" s="488">
        <v>1</v>
      </c>
      <c r="E253" s="505">
        <v>48386</v>
      </c>
      <c r="F253" s="505">
        <f t="shared" si="9"/>
        <v>48386</v>
      </c>
    </row>
    <row r="254" spans="1:6" x14ac:dyDescent="0.2">
      <c r="A254" s="488">
        <v>250</v>
      </c>
      <c r="B254" s="488" t="s">
        <v>905</v>
      </c>
      <c r="C254" s="488" t="s">
        <v>756</v>
      </c>
      <c r="D254" s="488">
        <v>1</v>
      </c>
      <c r="E254" s="505">
        <v>19583</v>
      </c>
      <c r="F254" s="505">
        <f t="shared" si="9"/>
        <v>19583</v>
      </c>
    </row>
    <row r="255" spans="1:6" x14ac:dyDescent="0.2">
      <c r="A255" s="488">
        <v>251</v>
      </c>
      <c r="B255" s="488" t="s">
        <v>907</v>
      </c>
      <c r="C255" s="488" t="s">
        <v>756</v>
      </c>
      <c r="D255" s="488">
        <v>9</v>
      </c>
      <c r="E255" s="505">
        <f>125.93*141</f>
        <v>17756.13</v>
      </c>
      <c r="F255" s="505">
        <f t="shared" si="9"/>
        <v>159805.17000000001</v>
      </c>
    </row>
    <row r="256" spans="1:6" x14ac:dyDescent="0.2">
      <c r="A256" s="488">
        <v>252</v>
      </c>
      <c r="B256" s="488" t="s">
        <v>908</v>
      </c>
      <c r="C256" s="488" t="s">
        <v>756</v>
      </c>
      <c r="D256" s="488">
        <v>9</v>
      </c>
      <c r="E256" s="505">
        <f>82.41*141</f>
        <v>11619.81</v>
      </c>
      <c r="F256" s="505">
        <f t="shared" si="9"/>
        <v>104578.29</v>
      </c>
    </row>
    <row r="257" spans="1:6" x14ac:dyDescent="0.2">
      <c r="A257" s="488">
        <v>253</v>
      </c>
      <c r="B257" s="488" t="s">
        <v>824</v>
      </c>
      <c r="C257" s="488" t="s">
        <v>756</v>
      </c>
      <c r="D257" s="488">
        <v>6</v>
      </c>
      <c r="E257" s="505">
        <v>10416</v>
      </c>
      <c r="F257" s="505">
        <f t="shared" si="9"/>
        <v>62496</v>
      </c>
    </row>
    <row r="258" spans="1:6" x14ac:dyDescent="0.2">
      <c r="A258" s="488">
        <v>254</v>
      </c>
      <c r="B258" s="488" t="s">
        <v>909</v>
      </c>
      <c r="C258" s="488" t="s">
        <v>756</v>
      </c>
      <c r="D258" s="488">
        <v>6</v>
      </c>
      <c r="E258" s="505">
        <v>7083</v>
      </c>
      <c r="F258" s="505">
        <f t="shared" si="9"/>
        <v>42498</v>
      </c>
    </row>
    <row r="259" spans="1:6" x14ac:dyDescent="0.2">
      <c r="A259" s="488">
        <v>255</v>
      </c>
      <c r="B259" s="488" t="s">
        <v>910</v>
      </c>
      <c r="C259" s="488" t="s">
        <v>756</v>
      </c>
      <c r="D259" s="488">
        <v>2</v>
      </c>
      <c r="E259" s="505">
        <v>9583.33</v>
      </c>
      <c r="F259" s="505">
        <f t="shared" si="9"/>
        <v>19166.66</v>
      </c>
    </row>
    <row r="260" spans="1:6" x14ac:dyDescent="0.2">
      <c r="A260" s="488">
        <v>256</v>
      </c>
      <c r="B260" s="488" t="s">
        <v>911</v>
      </c>
      <c r="C260" s="488" t="s">
        <v>756</v>
      </c>
      <c r="D260" s="488">
        <v>1</v>
      </c>
      <c r="E260" s="505">
        <v>20833</v>
      </c>
      <c r="F260" s="505">
        <f t="shared" si="9"/>
        <v>20833</v>
      </c>
    </row>
    <row r="261" spans="1:6" x14ac:dyDescent="0.2">
      <c r="A261" s="488">
        <v>257</v>
      </c>
      <c r="B261" s="488" t="s">
        <v>912</v>
      </c>
      <c r="C261" s="488" t="s">
        <v>756</v>
      </c>
      <c r="D261" s="488">
        <v>10</v>
      </c>
      <c r="E261" s="505">
        <v>12500</v>
      </c>
      <c r="F261" s="505">
        <f t="shared" si="9"/>
        <v>125000</v>
      </c>
    </row>
    <row r="262" spans="1:6" x14ac:dyDescent="0.2">
      <c r="A262" s="488">
        <v>258</v>
      </c>
      <c r="B262" s="488" t="s">
        <v>913</v>
      </c>
      <c r="C262" s="488" t="s">
        <v>756</v>
      </c>
      <c r="D262" s="488">
        <v>5</v>
      </c>
      <c r="E262" s="505">
        <v>1833</v>
      </c>
      <c r="F262" s="505">
        <f t="shared" si="9"/>
        <v>9165</v>
      </c>
    </row>
    <row r="263" spans="1:6" x14ac:dyDescent="0.2">
      <c r="A263" s="488">
        <v>259</v>
      </c>
      <c r="B263" s="488" t="s">
        <v>899</v>
      </c>
      <c r="C263" s="488" t="s">
        <v>756</v>
      </c>
      <c r="D263" s="488">
        <v>1</v>
      </c>
      <c r="E263" s="505">
        <v>43500</v>
      </c>
      <c r="F263" s="505">
        <f t="shared" si="9"/>
        <v>43500</v>
      </c>
    </row>
    <row r="264" spans="1:6" x14ac:dyDescent="0.2">
      <c r="A264" s="488">
        <v>260</v>
      </c>
      <c r="B264" s="488" t="s">
        <v>899</v>
      </c>
      <c r="C264" s="488" t="s">
        <v>756</v>
      </c>
      <c r="D264" s="488">
        <v>1</v>
      </c>
      <c r="E264" s="505">
        <v>44250</v>
      </c>
      <c r="F264" s="505">
        <f t="shared" si="9"/>
        <v>44250</v>
      </c>
    </row>
    <row r="265" spans="1:6" x14ac:dyDescent="0.2">
      <c r="A265" s="488">
        <v>261</v>
      </c>
      <c r="B265" s="488" t="s">
        <v>899</v>
      </c>
      <c r="C265" s="488" t="s">
        <v>756</v>
      </c>
      <c r="D265" s="488">
        <v>5</v>
      </c>
      <c r="E265" s="505">
        <v>14000</v>
      </c>
      <c r="F265" s="505">
        <f t="shared" si="9"/>
        <v>70000</v>
      </c>
    </row>
    <row r="266" spans="1:6" x14ac:dyDescent="0.2">
      <c r="A266" s="488">
        <v>262</v>
      </c>
      <c r="B266" s="488" t="s">
        <v>899</v>
      </c>
      <c r="C266" s="488" t="s">
        <v>756</v>
      </c>
      <c r="D266" s="488">
        <v>3</v>
      </c>
      <c r="E266" s="505">
        <v>20900</v>
      </c>
      <c r="F266" s="505">
        <f t="shared" si="9"/>
        <v>62700</v>
      </c>
    </row>
    <row r="267" spans="1:6" x14ac:dyDescent="0.2">
      <c r="A267" s="488">
        <v>263</v>
      </c>
      <c r="B267" s="488" t="s">
        <v>914</v>
      </c>
      <c r="C267" s="488" t="s">
        <v>756</v>
      </c>
      <c r="D267" s="488">
        <v>1</v>
      </c>
      <c r="E267" s="505">
        <v>26700</v>
      </c>
      <c r="F267" s="505">
        <f t="shared" si="9"/>
        <v>26700</v>
      </c>
    </row>
    <row r="268" spans="1:6" x14ac:dyDescent="0.2">
      <c r="A268" s="488">
        <v>264</v>
      </c>
      <c r="B268" s="488" t="s">
        <v>914</v>
      </c>
      <c r="C268" s="488" t="s">
        <v>756</v>
      </c>
      <c r="D268" s="488">
        <v>3</v>
      </c>
      <c r="E268" s="505">
        <v>32500</v>
      </c>
      <c r="F268" s="505">
        <f t="shared" si="9"/>
        <v>97500</v>
      </c>
    </row>
    <row r="269" spans="1:6" x14ac:dyDescent="0.2">
      <c r="A269" s="488">
        <v>265</v>
      </c>
      <c r="B269" s="488" t="s">
        <v>914</v>
      </c>
      <c r="C269" s="488" t="s">
        <v>756</v>
      </c>
      <c r="D269" s="488">
        <v>3</v>
      </c>
      <c r="E269" s="505">
        <v>29900</v>
      </c>
      <c r="F269" s="505">
        <f t="shared" si="9"/>
        <v>89700</v>
      </c>
    </row>
    <row r="270" spans="1:6" x14ac:dyDescent="0.2">
      <c r="A270" s="488">
        <v>266</v>
      </c>
      <c r="B270" s="488" t="s">
        <v>899</v>
      </c>
      <c r="C270" s="488" t="s">
        <v>756</v>
      </c>
      <c r="D270" s="488">
        <v>1</v>
      </c>
      <c r="E270" s="505">
        <v>26700</v>
      </c>
      <c r="F270" s="505">
        <f t="shared" si="9"/>
        <v>26700</v>
      </c>
    </row>
    <row r="271" spans="1:6" x14ac:dyDescent="0.2">
      <c r="A271" s="488">
        <v>267</v>
      </c>
      <c r="B271" s="488" t="s">
        <v>899</v>
      </c>
      <c r="C271" s="488" t="s">
        <v>756</v>
      </c>
      <c r="D271" s="488">
        <v>1</v>
      </c>
      <c r="E271" s="505">
        <v>19200</v>
      </c>
      <c r="F271" s="505">
        <f t="shared" si="9"/>
        <v>19200</v>
      </c>
    </row>
    <row r="272" spans="1:6" x14ac:dyDescent="0.2">
      <c r="A272" s="488">
        <v>268</v>
      </c>
      <c r="B272" s="488" t="s">
        <v>914</v>
      </c>
      <c r="C272" s="488" t="s">
        <v>756</v>
      </c>
      <c r="D272" s="488">
        <v>4</v>
      </c>
      <c r="E272" s="505">
        <v>33000</v>
      </c>
      <c r="F272" s="505">
        <f t="shared" si="9"/>
        <v>132000</v>
      </c>
    </row>
    <row r="273" spans="1:6" x14ac:dyDescent="0.2">
      <c r="A273" s="488">
        <v>269</v>
      </c>
      <c r="B273" s="488" t="s">
        <v>914</v>
      </c>
      <c r="C273" s="488" t="s">
        <v>756</v>
      </c>
      <c r="D273" s="488">
        <v>3</v>
      </c>
      <c r="E273" s="505">
        <v>29900</v>
      </c>
      <c r="F273" s="505">
        <f t="shared" si="9"/>
        <v>89700</v>
      </c>
    </row>
    <row r="274" spans="1:6" x14ac:dyDescent="0.2">
      <c r="A274" s="488">
        <v>270</v>
      </c>
      <c r="B274" s="488" t="s">
        <v>914</v>
      </c>
      <c r="C274" s="488" t="s">
        <v>756</v>
      </c>
      <c r="D274" s="488">
        <v>4</v>
      </c>
      <c r="E274" s="505">
        <v>43500</v>
      </c>
      <c r="F274" s="505">
        <f t="shared" si="9"/>
        <v>174000</v>
      </c>
    </row>
    <row r="275" spans="1:6" x14ac:dyDescent="0.2">
      <c r="A275" s="488">
        <v>271</v>
      </c>
      <c r="B275" s="488" t="s">
        <v>914</v>
      </c>
      <c r="C275" s="488" t="s">
        <v>756</v>
      </c>
      <c r="D275" s="488">
        <v>1</v>
      </c>
      <c r="E275" s="505">
        <v>70800</v>
      </c>
      <c r="F275" s="505">
        <f t="shared" si="9"/>
        <v>70800</v>
      </c>
    </row>
    <row r="276" spans="1:6" x14ac:dyDescent="0.2">
      <c r="A276" s="488">
        <v>272</v>
      </c>
      <c r="B276" s="488" t="s">
        <v>905</v>
      </c>
      <c r="C276" s="488" t="s">
        <v>756</v>
      </c>
      <c r="D276" s="488">
        <v>1</v>
      </c>
      <c r="E276" s="505">
        <v>42083</v>
      </c>
      <c r="F276" s="505">
        <f t="shared" si="9"/>
        <v>42083</v>
      </c>
    </row>
    <row r="277" spans="1:6" x14ac:dyDescent="0.2">
      <c r="A277" s="488">
        <v>273</v>
      </c>
      <c r="B277" s="488" t="s">
        <v>906</v>
      </c>
      <c r="C277" s="488" t="s">
        <v>756</v>
      </c>
      <c r="D277" s="488">
        <v>1</v>
      </c>
      <c r="E277" s="505">
        <v>46750</v>
      </c>
      <c r="F277" s="505">
        <f t="shared" si="9"/>
        <v>46750</v>
      </c>
    </row>
    <row r="278" spans="1:6" x14ac:dyDescent="0.2">
      <c r="A278" s="488">
        <v>274</v>
      </c>
      <c r="B278" s="488" t="s">
        <v>813</v>
      </c>
      <c r="C278" s="488" t="s">
        <v>756</v>
      </c>
      <c r="D278" s="488">
        <v>42</v>
      </c>
      <c r="E278" s="505">
        <v>25000</v>
      </c>
      <c r="F278" s="505">
        <f t="shared" si="9"/>
        <v>1050000</v>
      </c>
    </row>
    <row r="279" spans="1:6" x14ac:dyDescent="0.2">
      <c r="A279" s="488">
        <v>275</v>
      </c>
      <c r="B279" s="488" t="s">
        <v>915</v>
      </c>
      <c r="C279" s="488" t="s">
        <v>756</v>
      </c>
      <c r="D279" s="488">
        <v>1</v>
      </c>
      <c r="E279" s="505">
        <v>64167</v>
      </c>
      <c r="F279" s="505">
        <f t="shared" si="9"/>
        <v>64167</v>
      </c>
    </row>
    <row r="280" spans="1:6" x14ac:dyDescent="0.2">
      <c r="A280" s="488">
        <v>276</v>
      </c>
      <c r="B280" s="488" t="s">
        <v>916</v>
      </c>
      <c r="C280" s="488" t="s">
        <v>756</v>
      </c>
      <c r="D280" s="488">
        <v>3</v>
      </c>
      <c r="E280" s="505">
        <v>11666</v>
      </c>
      <c r="F280" s="505">
        <f t="shared" si="9"/>
        <v>34998</v>
      </c>
    </row>
    <row r="281" spans="1:6" x14ac:dyDescent="0.2">
      <c r="A281" s="488">
        <v>277</v>
      </c>
      <c r="B281" s="488" t="s">
        <v>915</v>
      </c>
      <c r="C281" s="488" t="s">
        <v>756</v>
      </c>
      <c r="D281" s="488">
        <v>1</v>
      </c>
      <c r="E281" s="505">
        <v>64167</v>
      </c>
      <c r="F281" s="505">
        <f t="shared" si="9"/>
        <v>64167</v>
      </c>
    </row>
    <row r="282" spans="1:6" x14ac:dyDescent="0.2">
      <c r="A282" s="488">
        <v>278</v>
      </c>
      <c r="B282" s="488" t="s">
        <v>917</v>
      </c>
      <c r="C282" s="488" t="s">
        <v>756</v>
      </c>
      <c r="D282" s="488">
        <v>2</v>
      </c>
      <c r="E282" s="505">
        <v>48879</v>
      </c>
      <c r="F282" s="505">
        <f t="shared" si="9"/>
        <v>97758</v>
      </c>
    </row>
    <row r="283" spans="1:6" x14ac:dyDescent="0.2">
      <c r="A283" s="488">
        <v>279</v>
      </c>
      <c r="B283" s="488" t="s">
        <v>908</v>
      </c>
      <c r="C283" s="488" t="s">
        <v>756</v>
      </c>
      <c r="D283" s="488">
        <v>1</v>
      </c>
      <c r="E283" s="505">
        <v>22400</v>
      </c>
      <c r="F283" s="505">
        <f>+D283*E283</f>
        <v>22400</v>
      </c>
    </row>
    <row r="284" spans="1:6" ht="11.25" customHeight="1" x14ac:dyDescent="0.2">
      <c r="A284" s="488">
        <v>280</v>
      </c>
      <c r="B284" s="488" t="s">
        <v>918</v>
      </c>
      <c r="C284" s="488" t="s">
        <v>756</v>
      </c>
      <c r="D284" s="488">
        <v>1</v>
      </c>
      <c r="E284" s="505">
        <v>68500</v>
      </c>
      <c r="F284" s="505">
        <f>SUM(D284*E284)</f>
        <v>68500</v>
      </c>
    </row>
    <row r="285" spans="1:6" ht="11.25" customHeight="1" x14ac:dyDescent="0.2">
      <c r="A285" s="488">
        <v>281</v>
      </c>
      <c r="B285" s="488" t="s">
        <v>919</v>
      </c>
      <c r="C285" s="488" t="s">
        <v>756</v>
      </c>
      <c r="D285" s="488">
        <v>2</v>
      </c>
      <c r="E285" s="505">
        <f>148333/D285</f>
        <v>74166.5</v>
      </c>
      <c r="F285" s="505">
        <f t="shared" ref="F285:F291" si="10">+D285*E285</f>
        <v>148333</v>
      </c>
    </row>
    <row r="286" spans="1:6" ht="11.25" customHeight="1" x14ac:dyDescent="0.2">
      <c r="A286" s="488">
        <v>282</v>
      </c>
      <c r="B286" s="488" t="s">
        <v>920</v>
      </c>
      <c r="C286" s="488" t="s">
        <v>756</v>
      </c>
      <c r="D286" s="488">
        <v>1</v>
      </c>
      <c r="E286" s="505">
        <v>3491325</v>
      </c>
      <c r="F286" s="505">
        <f t="shared" si="10"/>
        <v>3491325</v>
      </c>
    </row>
    <row r="287" spans="1:6" ht="11.25" customHeight="1" x14ac:dyDescent="0.2">
      <c r="A287" s="488">
        <v>283</v>
      </c>
      <c r="B287" s="488" t="s">
        <v>920</v>
      </c>
      <c r="C287" s="488" t="s">
        <v>756</v>
      </c>
      <c r="D287" s="488">
        <v>1</v>
      </c>
      <c r="E287" s="505">
        <f>750000+1100000+1505560+650000+1672000</f>
        <v>5677560</v>
      </c>
      <c r="F287" s="505">
        <f t="shared" si="10"/>
        <v>5677560</v>
      </c>
    </row>
    <row r="288" spans="1:6" ht="11.25" customHeight="1" x14ac:dyDescent="0.2">
      <c r="A288" s="488">
        <v>284</v>
      </c>
      <c r="B288" s="488" t="s">
        <v>921</v>
      </c>
      <c r="C288" s="488" t="s">
        <v>756</v>
      </c>
      <c r="D288" s="488">
        <v>1</v>
      </c>
      <c r="E288" s="505">
        <v>33250</v>
      </c>
      <c r="F288" s="505">
        <f t="shared" si="10"/>
        <v>33250</v>
      </c>
    </row>
    <row r="289" spans="1:6" ht="11.25" customHeight="1" x14ac:dyDescent="0.2">
      <c r="A289" s="488">
        <v>285</v>
      </c>
      <c r="B289" s="488" t="s">
        <v>922</v>
      </c>
      <c r="C289" s="488" t="s">
        <v>756</v>
      </c>
      <c r="D289" s="488">
        <v>1</v>
      </c>
      <c r="E289" s="505">
        <v>64167</v>
      </c>
      <c r="F289" s="505">
        <f t="shared" si="10"/>
        <v>64167</v>
      </c>
    </row>
    <row r="290" spans="1:6" ht="11.25" customHeight="1" x14ac:dyDescent="0.2">
      <c r="A290" s="488">
        <v>286</v>
      </c>
      <c r="B290" s="488" t="s">
        <v>934</v>
      </c>
      <c r="C290" s="488" t="s">
        <v>756</v>
      </c>
      <c r="D290" s="488">
        <v>1</v>
      </c>
      <c r="E290" s="505">
        <v>426000</v>
      </c>
      <c r="F290" s="505">
        <f t="shared" si="10"/>
        <v>426000</v>
      </c>
    </row>
    <row r="291" spans="1:6" ht="11.25" customHeight="1" x14ac:dyDescent="0.2">
      <c r="A291" s="488">
        <v>287</v>
      </c>
      <c r="B291" s="488" t="s">
        <v>934</v>
      </c>
      <c r="C291" s="488" t="s">
        <v>756</v>
      </c>
      <c r="D291" s="488">
        <v>1</v>
      </c>
      <c r="E291" s="505">
        <v>502500</v>
      </c>
      <c r="F291" s="505">
        <f t="shared" si="10"/>
        <v>502500</v>
      </c>
    </row>
    <row r="292" spans="1:6" ht="11.25" customHeight="1" x14ac:dyDescent="0.2">
      <c r="A292" s="488">
        <v>288</v>
      </c>
      <c r="B292" s="488" t="s">
        <v>935</v>
      </c>
      <c r="C292" s="488" t="s">
        <v>756</v>
      </c>
      <c r="D292" s="488">
        <v>10</v>
      </c>
      <c r="E292" s="505">
        <f>+F292/D292</f>
        <v>73590.600000000006</v>
      </c>
      <c r="F292" s="505">
        <f>453406+180000+79167+23333</f>
        <v>735906</v>
      </c>
    </row>
    <row r="293" spans="1:6" ht="11.25" customHeight="1" x14ac:dyDescent="0.2">
      <c r="A293" s="488">
        <v>289</v>
      </c>
      <c r="B293" s="488" t="s">
        <v>789</v>
      </c>
      <c r="C293" s="488" t="s">
        <v>756</v>
      </c>
      <c r="D293" s="488">
        <v>1</v>
      </c>
      <c r="E293" s="505">
        <v>58871</v>
      </c>
      <c r="F293" s="505">
        <f t="shared" ref="F293:F309" si="11">+D293*E293</f>
        <v>58871</v>
      </c>
    </row>
    <row r="294" spans="1:6" ht="11.25" customHeight="1" x14ac:dyDescent="0.2">
      <c r="A294" s="488">
        <v>290</v>
      </c>
      <c r="B294" s="488" t="s">
        <v>936</v>
      </c>
      <c r="C294" s="488" t="s">
        <v>756</v>
      </c>
      <c r="D294" s="488">
        <v>1</v>
      </c>
      <c r="E294" s="505">
        <v>36667</v>
      </c>
      <c r="F294" s="505">
        <f t="shared" si="11"/>
        <v>36667</v>
      </c>
    </row>
    <row r="295" spans="1:6" ht="11.25" customHeight="1" x14ac:dyDescent="0.2">
      <c r="A295" s="488">
        <v>291</v>
      </c>
      <c r="B295" s="488" t="s">
        <v>936</v>
      </c>
      <c r="C295" s="488" t="s">
        <v>756</v>
      </c>
      <c r="D295" s="488">
        <v>1</v>
      </c>
      <c r="E295" s="505">
        <v>36400</v>
      </c>
      <c r="F295" s="505">
        <f t="shared" si="11"/>
        <v>36400</v>
      </c>
    </row>
    <row r="296" spans="1:6" ht="11.25" customHeight="1" x14ac:dyDescent="0.2">
      <c r="A296" s="488">
        <v>292</v>
      </c>
      <c r="B296" s="303" t="s">
        <v>1020</v>
      </c>
      <c r="C296" s="488" t="s">
        <v>756</v>
      </c>
      <c r="D296" s="488">
        <v>1</v>
      </c>
      <c r="E296" s="303">
        <v>14205</v>
      </c>
      <c r="F296" s="505">
        <f t="shared" si="11"/>
        <v>14205</v>
      </c>
    </row>
    <row r="297" spans="1:6" ht="11.25" customHeight="1" x14ac:dyDescent="0.2">
      <c r="A297" s="488">
        <v>293</v>
      </c>
      <c r="B297" s="303" t="s">
        <v>1021</v>
      </c>
      <c r="C297" s="488" t="s">
        <v>756</v>
      </c>
      <c r="D297" s="488">
        <v>1</v>
      </c>
      <c r="E297" s="303">
        <v>612000</v>
      </c>
      <c r="F297" s="505">
        <f t="shared" si="11"/>
        <v>612000</v>
      </c>
    </row>
    <row r="298" spans="1:6" ht="11.25" customHeight="1" x14ac:dyDescent="0.2">
      <c r="A298" s="488">
        <v>294</v>
      </c>
      <c r="B298" s="303" t="s">
        <v>1022</v>
      </c>
      <c r="C298" s="488" t="s">
        <v>756</v>
      </c>
      <c r="D298" s="488">
        <v>1</v>
      </c>
      <c r="E298" s="303">
        <v>628300</v>
      </c>
      <c r="F298" s="505">
        <f t="shared" si="11"/>
        <v>628300</v>
      </c>
    </row>
    <row r="299" spans="1:6" ht="11.25" customHeight="1" x14ac:dyDescent="0.2">
      <c r="A299" s="488">
        <v>295</v>
      </c>
      <c r="B299" s="303" t="s">
        <v>1023</v>
      </c>
      <c r="C299" s="488" t="s">
        <v>756</v>
      </c>
      <c r="D299" s="488">
        <v>1</v>
      </c>
      <c r="E299" s="303">
        <v>378000</v>
      </c>
      <c r="F299" s="505">
        <f t="shared" si="11"/>
        <v>378000</v>
      </c>
    </row>
    <row r="300" spans="1:6" ht="11.25" customHeight="1" x14ac:dyDescent="0.2">
      <c r="A300" s="488">
        <v>296</v>
      </c>
      <c r="B300" s="303" t="s">
        <v>1024</v>
      </c>
      <c r="C300" s="488" t="s">
        <v>756</v>
      </c>
      <c r="D300" s="488">
        <v>1</v>
      </c>
      <c r="E300" s="303">
        <v>390000</v>
      </c>
      <c r="F300" s="505">
        <f t="shared" si="11"/>
        <v>390000</v>
      </c>
    </row>
    <row r="301" spans="1:6" ht="11.25" customHeight="1" x14ac:dyDescent="0.2">
      <c r="A301" s="488">
        <v>297</v>
      </c>
      <c r="B301" s="303" t="s">
        <v>1025</v>
      </c>
      <c r="C301" s="488" t="s">
        <v>756</v>
      </c>
      <c r="D301" s="488">
        <v>1</v>
      </c>
      <c r="E301" s="303">
        <v>575000</v>
      </c>
      <c r="F301" s="505">
        <f t="shared" si="11"/>
        <v>575000</v>
      </c>
    </row>
    <row r="302" spans="1:6" ht="11.25" customHeight="1" x14ac:dyDescent="0.2">
      <c r="A302" s="488">
        <v>298</v>
      </c>
      <c r="B302" s="303" t="s">
        <v>1026</v>
      </c>
      <c r="C302" s="488" t="s">
        <v>756</v>
      </c>
      <c r="D302" s="488">
        <v>1</v>
      </c>
      <c r="E302" s="303">
        <v>765000</v>
      </c>
      <c r="F302" s="505">
        <f t="shared" si="11"/>
        <v>765000</v>
      </c>
    </row>
    <row r="303" spans="1:6" ht="11.25" customHeight="1" x14ac:dyDescent="0.2">
      <c r="A303" s="488">
        <v>299</v>
      </c>
      <c r="B303" s="303" t="s">
        <v>1027</v>
      </c>
      <c r="C303" s="488" t="s">
        <v>756</v>
      </c>
      <c r="D303" s="488">
        <v>1</v>
      </c>
      <c r="E303" s="303">
        <v>32250</v>
      </c>
      <c r="F303" s="505">
        <f t="shared" si="11"/>
        <v>32250</v>
      </c>
    </row>
    <row r="304" spans="1:6" ht="11.25" customHeight="1" x14ac:dyDescent="0.2">
      <c r="A304" s="488">
        <v>300</v>
      </c>
      <c r="B304" s="303" t="s">
        <v>1028</v>
      </c>
      <c r="C304" s="488" t="s">
        <v>756</v>
      </c>
      <c r="D304" s="488">
        <v>1</v>
      </c>
      <c r="E304" s="303">
        <v>64255</v>
      </c>
      <c r="F304" s="505">
        <f t="shared" si="11"/>
        <v>64255</v>
      </c>
    </row>
    <row r="305" spans="1:6" ht="11.25" customHeight="1" x14ac:dyDescent="0.2">
      <c r="A305" s="488">
        <v>301</v>
      </c>
      <c r="B305" s="303" t="s">
        <v>1029</v>
      </c>
      <c r="C305" s="488" t="s">
        <v>756</v>
      </c>
      <c r="D305" s="488">
        <v>1</v>
      </c>
      <c r="E305" s="303">
        <v>1015165</v>
      </c>
      <c r="F305" s="505">
        <f t="shared" si="11"/>
        <v>1015165</v>
      </c>
    </row>
    <row r="306" spans="1:6" ht="11.25" customHeight="1" x14ac:dyDescent="0.2">
      <c r="A306" s="488">
        <v>302</v>
      </c>
      <c r="B306" s="303" t="s">
        <v>1030</v>
      </c>
      <c r="C306" s="488" t="s">
        <v>756</v>
      </c>
      <c r="D306" s="488">
        <v>1</v>
      </c>
      <c r="E306" s="303">
        <v>252580</v>
      </c>
      <c r="F306" s="505">
        <f t="shared" si="11"/>
        <v>252580</v>
      </c>
    </row>
    <row r="307" spans="1:6" ht="11.25" customHeight="1" x14ac:dyDescent="0.2">
      <c r="A307" s="488">
        <v>303</v>
      </c>
      <c r="B307" s="488" t="s">
        <v>936</v>
      </c>
      <c r="C307" s="488" t="s">
        <v>756</v>
      </c>
      <c r="D307" s="488">
        <v>1</v>
      </c>
      <c r="E307" s="505">
        <v>38500</v>
      </c>
      <c r="F307" s="505">
        <f t="shared" si="11"/>
        <v>38500</v>
      </c>
    </row>
    <row r="308" spans="1:6" ht="11.25" customHeight="1" x14ac:dyDescent="0.2">
      <c r="A308" s="488">
        <v>304</v>
      </c>
      <c r="B308" s="488" t="s">
        <v>789</v>
      </c>
      <c r="C308" s="488" t="s">
        <v>756</v>
      </c>
      <c r="D308" s="488">
        <v>1</v>
      </c>
      <c r="E308" s="505">
        <v>19167</v>
      </c>
      <c r="F308" s="505">
        <f t="shared" si="11"/>
        <v>19167</v>
      </c>
    </row>
    <row r="309" spans="1:6" ht="11.25" customHeight="1" x14ac:dyDescent="0.2">
      <c r="A309" s="488">
        <v>305</v>
      </c>
      <c r="B309" s="488" t="s">
        <v>789</v>
      </c>
      <c r="C309" s="488" t="s">
        <v>756</v>
      </c>
      <c r="D309" s="488">
        <v>1</v>
      </c>
      <c r="E309" s="505">
        <v>15000</v>
      </c>
      <c r="F309" s="505">
        <f t="shared" si="11"/>
        <v>15000</v>
      </c>
    </row>
    <row r="310" spans="1:6" ht="11.25" customHeight="1" x14ac:dyDescent="0.2">
      <c r="A310" s="488">
        <v>306</v>
      </c>
      <c r="B310" s="488" t="s">
        <v>937</v>
      </c>
      <c r="C310" s="488" t="s">
        <v>756</v>
      </c>
      <c r="D310" s="488">
        <v>7</v>
      </c>
      <c r="E310" s="505">
        <f>+F310/D310</f>
        <v>48821.428571428572</v>
      </c>
      <c r="F310" s="505">
        <v>341750</v>
      </c>
    </row>
    <row r="311" spans="1:6" ht="11.25" customHeight="1" x14ac:dyDescent="0.2">
      <c r="A311" s="488">
        <v>307</v>
      </c>
      <c r="B311" s="488" t="s">
        <v>923</v>
      </c>
      <c r="C311" s="488" t="s">
        <v>756</v>
      </c>
      <c r="D311" s="488">
        <v>1</v>
      </c>
      <c r="E311" s="505">
        <v>36667</v>
      </c>
      <c r="F311" s="505">
        <f t="shared" ref="F311:F324" si="12">+D311*E311</f>
        <v>36667</v>
      </c>
    </row>
    <row r="312" spans="1:6" ht="11.25" customHeight="1" x14ac:dyDescent="0.2">
      <c r="A312" s="488">
        <v>308</v>
      </c>
      <c r="B312" s="488" t="s">
        <v>945</v>
      </c>
      <c r="C312" s="488" t="s">
        <v>756</v>
      </c>
      <c r="D312" s="488">
        <v>1</v>
      </c>
      <c r="E312" s="505">
        <v>44160</v>
      </c>
      <c r="F312" s="505">
        <f t="shared" si="12"/>
        <v>44160</v>
      </c>
    </row>
    <row r="313" spans="1:6" ht="11.25" customHeight="1" x14ac:dyDescent="0.2">
      <c r="A313" s="488">
        <v>309</v>
      </c>
      <c r="B313" s="488" t="s">
        <v>946</v>
      </c>
      <c r="C313" s="488" t="s">
        <v>756</v>
      </c>
      <c r="D313" s="488">
        <v>1</v>
      </c>
      <c r="E313" s="505">
        <v>95833</v>
      </c>
      <c r="F313" s="505">
        <f t="shared" si="12"/>
        <v>95833</v>
      </c>
    </row>
    <row r="314" spans="1:6" ht="11.25" customHeight="1" x14ac:dyDescent="0.2">
      <c r="A314" s="488">
        <v>310</v>
      </c>
      <c r="B314" s="488" t="s">
        <v>947</v>
      </c>
      <c r="C314" s="488" t="s">
        <v>756</v>
      </c>
      <c r="D314" s="488">
        <v>1</v>
      </c>
      <c r="E314" s="505">
        <v>94083</v>
      </c>
      <c r="F314" s="505">
        <f t="shared" si="12"/>
        <v>94083</v>
      </c>
    </row>
    <row r="315" spans="1:6" ht="11.25" customHeight="1" x14ac:dyDescent="0.2">
      <c r="A315" s="488">
        <v>311</v>
      </c>
      <c r="B315" s="488" t="s">
        <v>946</v>
      </c>
      <c r="C315" s="488" t="s">
        <v>756</v>
      </c>
      <c r="D315" s="488">
        <v>3</v>
      </c>
      <c r="E315" s="505">
        <v>83250</v>
      </c>
      <c r="F315" s="505">
        <f t="shared" si="12"/>
        <v>249750</v>
      </c>
    </row>
    <row r="316" spans="1:6" ht="11.25" customHeight="1" x14ac:dyDescent="0.2">
      <c r="A316" s="488">
        <v>312</v>
      </c>
      <c r="B316" s="488" t="s">
        <v>891</v>
      </c>
      <c r="C316" s="488" t="s">
        <v>756</v>
      </c>
      <c r="D316" s="488">
        <v>1</v>
      </c>
      <c r="E316" s="505">
        <v>8027</v>
      </c>
      <c r="F316" s="505">
        <f t="shared" si="12"/>
        <v>8027</v>
      </c>
    </row>
    <row r="317" spans="1:6" ht="11.25" customHeight="1" x14ac:dyDescent="0.2">
      <c r="A317" s="488">
        <v>313</v>
      </c>
      <c r="B317" s="488" t="s">
        <v>891</v>
      </c>
      <c r="C317" s="488" t="s">
        <v>756</v>
      </c>
      <c r="D317" s="488">
        <v>2</v>
      </c>
      <c r="E317" s="505">
        <v>4167</v>
      </c>
      <c r="F317" s="505">
        <f t="shared" si="12"/>
        <v>8334</v>
      </c>
    </row>
    <row r="318" spans="1:6" ht="11.25" customHeight="1" x14ac:dyDescent="0.2">
      <c r="A318" s="488">
        <v>314</v>
      </c>
      <c r="B318" s="488" t="s">
        <v>948</v>
      </c>
      <c r="C318" s="488" t="s">
        <v>756</v>
      </c>
      <c r="D318" s="488">
        <v>2</v>
      </c>
      <c r="E318" s="505">
        <v>23958.5</v>
      </c>
      <c r="F318" s="505">
        <f t="shared" si="12"/>
        <v>47917</v>
      </c>
    </row>
    <row r="319" spans="1:6" ht="11.25" customHeight="1" x14ac:dyDescent="0.2">
      <c r="A319" s="488">
        <v>315</v>
      </c>
      <c r="B319" s="488" t="s">
        <v>789</v>
      </c>
      <c r="C319" s="488" t="s">
        <v>756</v>
      </c>
      <c r="D319" s="488">
        <v>1</v>
      </c>
      <c r="E319" s="505">
        <v>19250</v>
      </c>
      <c r="F319" s="505">
        <f t="shared" si="12"/>
        <v>19250</v>
      </c>
    </row>
    <row r="320" spans="1:6" ht="11.25" customHeight="1" x14ac:dyDescent="0.2">
      <c r="A320" s="488">
        <v>316</v>
      </c>
      <c r="B320" s="488" t="s">
        <v>1009</v>
      </c>
      <c r="C320" s="488" t="s">
        <v>756</v>
      </c>
      <c r="D320" s="488">
        <v>1</v>
      </c>
      <c r="E320" s="505">
        <v>91667</v>
      </c>
      <c r="F320" s="505">
        <f t="shared" si="12"/>
        <v>91667</v>
      </c>
    </row>
    <row r="321" spans="1:6" ht="11.25" customHeight="1" x14ac:dyDescent="0.2">
      <c r="A321" s="488">
        <v>317</v>
      </c>
      <c r="B321" s="488" t="s">
        <v>934</v>
      </c>
      <c r="C321" s="488" t="s">
        <v>756</v>
      </c>
      <c r="D321" s="488">
        <v>1</v>
      </c>
      <c r="E321" s="505">
        <v>1070000</v>
      </c>
      <c r="F321" s="505">
        <f t="shared" si="12"/>
        <v>1070000</v>
      </c>
    </row>
    <row r="322" spans="1:6" ht="11.25" customHeight="1" x14ac:dyDescent="0.2">
      <c r="A322" s="488">
        <v>318</v>
      </c>
      <c r="B322" s="488" t="s">
        <v>1040</v>
      </c>
      <c r="C322" s="488" t="s">
        <v>756</v>
      </c>
      <c r="D322" s="488">
        <v>6</v>
      </c>
      <c r="E322" s="505">
        <f>+F322/D322</f>
        <v>49192.333333333336</v>
      </c>
      <c r="F322" s="505">
        <v>295154</v>
      </c>
    </row>
    <row r="323" spans="1:6" ht="11.25" customHeight="1" x14ac:dyDescent="0.2">
      <c r="A323" s="488">
        <v>319</v>
      </c>
      <c r="B323" s="488" t="s">
        <v>1040</v>
      </c>
      <c r="C323" s="488" t="s">
        <v>756</v>
      </c>
      <c r="D323" s="488" t="s">
        <v>151</v>
      </c>
      <c r="E323" s="505">
        <v>32500</v>
      </c>
      <c r="F323" s="505">
        <v>32500</v>
      </c>
    </row>
    <row r="324" spans="1:6" ht="11.25" customHeight="1" x14ac:dyDescent="0.2">
      <c r="A324" s="488">
        <v>320</v>
      </c>
      <c r="B324" s="488" t="s">
        <v>1010</v>
      </c>
      <c r="C324" s="488" t="s">
        <v>756</v>
      </c>
      <c r="D324" s="488">
        <v>1</v>
      </c>
      <c r="E324" s="505">
        <v>8475</v>
      </c>
      <c r="F324" s="505">
        <f t="shared" si="12"/>
        <v>8475</v>
      </c>
    </row>
    <row r="325" spans="1:6" ht="11.25" customHeight="1" x14ac:dyDescent="0.2">
      <c r="A325" s="488">
        <v>321</v>
      </c>
      <c r="B325" s="488" t="s">
        <v>1010</v>
      </c>
      <c r="C325" s="488" t="s">
        <v>756</v>
      </c>
      <c r="D325" s="488">
        <v>2</v>
      </c>
      <c r="E325" s="505">
        <f>33900/2</f>
        <v>16950</v>
      </c>
      <c r="F325" s="505">
        <f>+D325*E325</f>
        <v>33900</v>
      </c>
    </row>
    <row r="326" spans="1:6" ht="11.25" customHeight="1" x14ac:dyDescent="0.2">
      <c r="A326" s="488">
        <v>322</v>
      </c>
      <c r="B326" s="488" t="s">
        <v>1010</v>
      </c>
      <c r="C326" s="488" t="s">
        <v>756</v>
      </c>
      <c r="D326" s="488">
        <v>1</v>
      </c>
      <c r="E326" s="505">
        <v>15825</v>
      </c>
      <c r="F326" s="505">
        <f t="shared" ref="F326:F339" si="13">+D326*E326</f>
        <v>15825</v>
      </c>
    </row>
    <row r="327" spans="1:6" ht="11.25" customHeight="1" x14ac:dyDescent="0.2">
      <c r="A327" s="488">
        <v>323</v>
      </c>
      <c r="B327" s="488" t="s">
        <v>1011</v>
      </c>
      <c r="C327" s="488" t="s">
        <v>756</v>
      </c>
      <c r="D327" s="488">
        <v>1</v>
      </c>
      <c r="E327" s="505">
        <v>41667</v>
      </c>
      <c r="F327" s="505">
        <f t="shared" si="13"/>
        <v>41667</v>
      </c>
    </row>
    <row r="328" spans="1:6" ht="11.25" customHeight="1" x14ac:dyDescent="0.2">
      <c r="A328" s="488">
        <v>324</v>
      </c>
      <c r="B328" s="488" t="s">
        <v>1010</v>
      </c>
      <c r="C328" s="488" t="s">
        <v>756</v>
      </c>
      <c r="D328" s="488">
        <v>1</v>
      </c>
      <c r="E328" s="505">
        <v>30917</v>
      </c>
      <c r="F328" s="505">
        <f t="shared" si="13"/>
        <v>30917</v>
      </c>
    </row>
    <row r="329" spans="1:6" ht="11.25" customHeight="1" x14ac:dyDescent="0.2">
      <c r="A329" s="488">
        <v>325</v>
      </c>
      <c r="B329" s="488" t="s">
        <v>1010</v>
      </c>
      <c r="C329" s="488" t="s">
        <v>756</v>
      </c>
      <c r="D329" s="488">
        <v>1</v>
      </c>
      <c r="E329" s="505">
        <v>52833</v>
      </c>
      <c r="F329" s="505">
        <f t="shared" si="13"/>
        <v>52833</v>
      </c>
    </row>
    <row r="330" spans="1:6" ht="11.25" customHeight="1" x14ac:dyDescent="0.2">
      <c r="A330" s="488">
        <v>326</v>
      </c>
      <c r="B330" s="488" t="s">
        <v>1011</v>
      </c>
      <c r="C330" s="488" t="s">
        <v>756</v>
      </c>
      <c r="D330" s="488">
        <v>1</v>
      </c>
      <c r="E330" s="505">
        <v>12500</v>
      </c>
      <c r="F330" s="505">
        <f t="shared" si="13"/>
        <v>12500</v>
      </c>
    </row>
    <row r="331" spans="1:6" ht="11.25" customHeight="1" x14ac:dyDescent="0.2">
      <c r="A331" s="488">
        <v>327</v>
      </c>
      <c r="B331" s="488" t="s">
        <v>912</v>
      </c>
      <c r="C331" s="488" t="s">
        <v>756</v>
      </c>
      <c r="D331" s="488">
        <v>6</v>
      </c>
      <c r="E331" s="505">
        <f>102600/6</f>
        <v>17100</v>
      </c>
      <c r="F331" s="505">
        <f t="shared" si="13"/>
        <v>102600</v>
      </c>
    </row>
    <row r="332" spans="1:6" ht="11.25" customHeight="1" x14ac:dyDescent="0.2">
      <c r="A332" s="488">
        <v>328</v>
      </c>
      <c r="B332" s="488" t="s">
        <v>1010</v>
      </c>
      <c r="C332" s="488" t="s">
        <v>756</v>
      </c>
      <c r="D332" s="488">
        <v>1</v>
      </c>
      <c r="E332" s="505">
        <v>19167</v>
      </c>
      <c r="F332" s="505">
        <f t="shared" si="13"/>
        <v>19167</v>
      </c>
    </row>
    <row r="333" spans="1:6" ht="11.25" customHeight="1" x14ac:dyDescent="0.2">
      <c r="A333" s="488">
        <v>329</v>
      </c>
      <c r="B333" s="488" t="s">
        <v>834</v>
      </c>
      <c r="C333" s="488" t="s">
        <v>756</v>
      </c>
      <c r="D333" s="488">
        <v>1</v>
      </c>
      <c r="E333" s="505">
        <v>51067</v>
      </c>
      <c r="F333" s="505">
        <f t="shared" si="13"/>
        <v>51067</v>
      </c>
    </row>
    <row r="334" spans="1:6" ht="11.25" customHeight="1" x14ac:dyDescent="0.2">
      <c r="A334" s="488">
        <v>330</v>
      </c>
      <c r="B334" s="488" t="s">
        <v>1075</v>
      </c>
      <c r="C334" s="488" t="s">
        <v>756</v>
      </c>
      <c r="D334" s="488">
        <v>1</v>
      </c>
      <c r="E334" s="505">
        <v>66085</v>
      </c>
      <c r="F334" s="505">
        <f t="shared" si="13"/>
        <v>66085</v>
      </c>
    </row>
    <row r="335" spans="1:6" ht="11.25" customHeight="1" x14ac:dyDescent="0.2">
      <c r="A335" s="488">
        <v>331</v>
      </c>
      <c r="B335" s="488" t="s">
        <v>813</v>
      </c>
      <c r="C335" s="488" t="s">
        <v>756</v>
      </c>
      <c r="D335" s="488">
        <v>20</v>
      </c>
      <c r="E335" s="505">
        <v>20500</v>
      </c>
      <c r="F335" s="505">
        <f t="shared" si="13"/>
        <v>410000</v>
      </c>
    </row>
    <row r="336" spans="1:6" ht="11.25" customHeight="1" x14ac:dyDescent="0.2">
      <c r="A336" s="488">
        <v>332</v>
      </c>
      <c r="B336" s="488" t="s">
        <v>948</v>
      </c>
      <c r="C336" s="488" t="s">
        <v>756</v>
      </c>
      <c r="D336" s="488">
        <v>1</v>
      </c>
      <c r="E336" s="505">
        <v>36270</v>
      </c>
      <c r="F336" s="505">
        <f t="shared" si="13"/>
        <v>36270</v>
      </c>
    </row>
    <row r="337" spans="1:10" ht="11.25" customHeight="1" x14ac:dyDescent="0.2">
      <c r="A337" s="488">
        <v>333</v>
      </c>
      <c r="B337" s="488" t="s">
        <v>1076</v>
      </c>
      <c r="C337" s="488" t="s">
        <v>756</v>
      </c>
      <c r="D337" s="488">
        <v>20</v>
      </c>
      <c r="E337" s="505">
        <v>107500</v>
      </c>
      <c r="F337" s="505">
        <f t="shared" si="13"/>
        <v>2150000</v>
      </c>
    </row>
    <row r="338" spans="1:10" ht="11.25" customHeight="1" x14ac:dyDescent="0.2">
      <c r="A338" s="488">
        <v>334</v>
      </c>
      <c r="B338" s="488" t="s">
        <v>1075</v>
      </c>
      <c r="C338" s="488" t="s">
        <v>756</v>
      </c>
      <c r="D338" s="488">
        <v>1</v>
      </c>
      <c r="E338" s="505">
        <v>72333</v>
      </c>
      <c r="F338" s="505">
        <f t="shared" si="13"/>
        <v>72333</v>
      </c>
    </row>
    <row r="339" spans="1:10" ht="11.25" customHeight="1" thickBot="1" x14ac:dyDescent="0.25">
      <c r="A339" s="488">
        <v>335</v>
      </c>
      <c r="B339" s="504" t="s">
        <v>948</v>
      </c>
      <c r="C339" s="504" t="s">
        <v>756</v>
      </c>
      <c r="D339" s="504">
        <v>1</v>
      </c>
      <c r="E339" s="577">
        <v>79567</v>
      </c>
      <c r="F339" s="577">
        <f t="shared" si="13"/>
        <v>79567</v>
      </c>
    </row>
    <row r="340" spans="1:10" ht="11.25" customHeight="1" thickBot="1" x14ac:dyDescent="0.25">
      <c r="A340" s="518"/>
      <c r="B340" s="519" t="s">
        <v>1039</v>
      </c>
      <c r="C340" s="520"/>
      <c r="D340" s="520"/>
      <c r="E340" s="520"/>
      <c r="F340" s="524">
        <f>SUM(F5:F339)</f>
        <v>80937554.286599994</v>
      </c>
      <c r="G340" s="500"/>
    </row>
    <row r="341" spans="1:10" ht="11.25" customHeight="1" x14ac:dyDescent="0.2"/>
    <row r="342" spans="1:10" ht="11.25" customHeight="1" x14ac:dyDescent="0.2"/>
    <row r="343" spans="1:10" ht="11.25" customHeight="1" x14ac:dyDescent="0.2">
      <c r="A343" s="24"/>
      <c r="B343" s="24" t="s">
        <v>924</v>
      </c>
      <c r="C343" s="502">
        <v>2020</v>
      </c>
      <c r="D343" s="24"/>
      <c r="E343" s="24"/>
      <c r="F343" s="503"/>
    </row>
    <row r="344" spans="1:10" ht="13.5" customHeight="1" x14ac:dyDescent="0.2">
      <c r="A344" s="507">
        <v>1</v>
      </c>
      <c r="B344" s="508" t="s">
        <v>592</v>
      </c>
      <c r="C344" s="488"/>
      <c r="D344" s="488"/>
      <c r="E344" s="505"/>
      <c r="F344" s="509">
        <f>+'Aq&amp;AM'!I29</f>
        <v>4885000</v>
      </c>
      <c r="I344" s="506"/>
      <c r="J344" s="506"/>
    </row>
    <row r="345" spans="1:10" ht="15.75" customHeight="1" thickBot="1" x14ac:dyDescent="0.25">
      <c r="A345" s="510">
        <v>2</v>
      </c>
      <c r="B345" s="511" t="s">
        <v>1012</v>
      </c>
      <c r="C345" s="512"/>
      <c r="D345" s="512"/>
      <c r="E345" s="513"/>
      <c r="F345" s="514">
        <f>+'Aq&amp;AM'!J29</f>
        <v>57582605</v>
      </c>
      <c r="I345" s="506"/>
      <c r="J345" s="506"/>
    </row>
    <row r="346" spans="1:10" ht="11.25" customHeight="1" thickBot="1" x14ac:dyDescent="0.25">
      <c r="A346" s="515"/>
      <c r="B346" s="522" t="s">
        <v>2</v>
      </c>
      <c r="C346" s="516"/>
      <c r="D346" s="516"/>
      <c r="E346" s="516"/>
      <c r="F346" s="523">
        <f>SUM(F344:F345)</f>
        <v>62467605</v>
      </c>
      <c r="I346" s="506"/>
      <c r="J346" s="506"/>
    </row>
    <row r="347" spans="1:10" ht="13.5" thickBot="1" x14ac:dyDescent="0.25">
      <c r="A347" s="504"/>
      <c r="B347" s="517"/>
      <c r="C347" s="517"/>
      <c r="D347" s="517"/>
      <c r="E347" s="517"/>
      <c r="F347" s="517"/>
      <c r="I347" s="506"/>
      <c r="J347" s="506"/>
    </row>
    <row r="348" spans="1:10" ht="13.5" thickBot="1" x14ac:dyDescent="0.25">
      <c r="A348" s="518"/>
      <c r="B348" s="519" t="s">
        <v>1077</v>
      </c>
      <c r="C348" s="520"/>
      <c r="D348" s="520"/>
      <c r="E348" s="520"/>
      <c r="F348" s="524">
        <f>+F340-F346</f>
        <v>18469949.286599994</v>
      </c>
    </row>
    <row r="351" spans="1:10" x14ac:dyDescent="0.2">
      <c r="C351" s="521">
        <v>9</v>
      </c>
      <c r="F351" s="500"/>
    </row>
    <row r="352" spans="1:10" x14ac:dyDescent="0.2">
      <c r="B352" s="521" t="s">
        <v>925</v>
      </c>
      <c r="E352" s="521" t="s">
        <v>595</v>
      </c>
    </row>
    <row r="353" spans="2:5" x14ac:dyDescent="0.2">
      <c r="B353" s="521" t="s">
        <v>926</v>
      </c>
      <c r="E353" s="521" t="s">
        <v>646</v>
      </c>
    </row>
  </sheetData>
  <pageMargins left="0.7" right="0.7" top="0.4" bottom="0.75" header="0.17" footer="0.3"/>
  <pageSetup scale="6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faq1</vt:lpstr>
      <vt:lpstr>BK</vt:lpstr>
      <vt:lpstr>ardh-shpenz</vt:lpstr>
      <vt:lpstr>cash-flow</vt:lpstr>
      <vt:lpstr>kap vet</vt:lpstr>
      <vt:lpstr>Aq&amp;AM</vt:lpstr>
      <vt:lpstr>aktivet sips udhez</vt:lpstr>
      <vt:lpstr>inv auto</vt:lpstr>
      <vt:lpstr>inv asete</vt:lpstr>
      <vt:lpstr>inv mall</vt:lpstr>
      <vt:lpstr>Bilanci Alpha</vt:lpstr>
      <vt:lpstr>Ardh shpenz alpha</vt:lpstr>
      <vt:lpstr>fdp20</vt:lpstr>
      <vt:lpstr>tjera</vt:lpstr>
    </vt:vector>
  </TitlesOfParts>
  <Company>Compaq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User</cp:lastModifiedBy>
  <cp:lastPrinted>2021-03-30T07:13:11Z</cp:lastPrinted>
  <dcterms:created xsi:type="dcterms:W3CDTF">2008-12-17T10:29:05Z</dcterms:created>
  <dcterms:modified xsi:type="dcterms:W3CDTF">2021-07-26T13:25:19Z</dcterms:modified>
</cp:coreProperties>
</file>