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4220" windowHeight="8835" activeTab="3"/>
  </bookViews>
  <sheets>
    <sheet name="Fitim-Humbje" sheetId="1" r:id="rId1"/>
    <sheet name="Bilanci" sheetId="2" r:id="rId2"/>
    <sheet name="CF " sheetId="16" r:id="rId3"/>
    <sheet name="levizja kapitalit" sheetId="3" r:id="rId4"/>
    <sheet name="CF" sheetId="4" state="hidden" r:id="rId5"/>
    <sheet name="Sheet1" sheetId="5" state="hidden" r:id="rId6"/>
    <sheet name="Pasqyra 1-2-3 RFZ" sheetId="6" state="hidden" r:id="rId7"/>
    <sheet name="RFZ-AAM" sheetId="7" state="hidden" r:id="rId8"/>
    <sheet name="Sheet2" sheetId="8" state="hidden" r:id="rId9"/>
    <sheet name="Shenime" sheetId="10" state="hidden" r:id="rId10"/>
    <sheet name="Sig Shoqerore 2013" sheetId="17" r:id="rId11"/>
    <sheet name="RLP Bilanci" sheetId="18" r:id="rId12"/>
    <sheet name="RLP FH" sheetId="19" r:id="rId13"/>
    <sheet name="Pasqyra e aseteve" sheetId="20" r:id="rId14"/>
    <sheet name="A.A.M nr 1" sheetId="21" r:id="rId15"/>
    <sheet name="Amortizimi" sheetId="22" state="hidden" r:id="rId16"/>
    <sheet name="Pasqyra Nr 2" sheetId="24" r:id="rId17"/>
    <sheet name="Pasqyra Nr 3" sheetId="25" r:id="rId18"/>
    <sheet name="Shenimet " sheetId="28" r:id="rId19"/>
    <sheet name="Sheet3" sheetId="29" state="hidden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3" hidden="1">'Pasqyra e aseteve'!#REF!</definedName>
    <definedName name="_Key1" localSheetId="2" hidden="1">[1]PRODUKTE!#REF!</definedName>
    <definedName name="_Key1" localSheetId="6" hidden="1">[1]PRODUKTE!#REF!</definedName>
    <definedName name="_Key1" localSheetId="18" hidden="1">[1]PRODUKTE!#REF!</definedName>
    <definedName name="_Key1" hidden="1">[1]PRODUKTE!#REF!</definedName>
    <definedName name="_Key2" localSheetId="2" hidden="1">[1]PRODUKTE!#REF!</definedName>
    <definedName name="_Key2" localSheetId="6" hidden="1">[1]PRODUKTE!#REF!</definedName>
    <definedName name="_Key2" localSheetId="18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4">'A.A.M nr 1'!$A$1:$G$50</definedName>
    <definedName name="_xlnm.Print_Area" localSheetId="1">Bilanci!$A$1:$F$121</definedName>
    <definedName name="_xlnm.Print_Area" localSheetId="6">'Pasqyra 1-2-3 RFZ'!$A$1:$J$97</definedName>
    <definedName name="_xlnm.Print_Area" localSheetId="13">'Pasqyra e aseteve'!$A$1:$H$11</definedName>
    <definedName name="_xlnm.Print_Area" localSheetId="17">'Pasqyra Nr 3'!$A$1:$D$60</definedName>
    <definedName name="_xlnm.Print_Area" localSheetId="12">'RLP FH'!$A$1:$AD$34</definedName>
    <definedName name="_xlnm.Print_Area" localSheetId="10">'Sig Shoqerore 2013'!$A$1:$O$202</definedName>
  </definedNames>
  <calcPr calcId="125725"/>
</workbook>
</file>

<file path=xl/calcChain.xml><?xml version="1.0" encoding="utf-8"?>
<calcChain xmlns="http://schemas.openxmlformats.org/spreadsheetml/2006/main">
  <c r="E7" i="29"/>
  <c r="D7"/>
  <c r="D67" i="1"/>
  <c r="I19" i="24"/>
  <c r="G76"/>
  <c r="G54"/>
  <c r="I13"/>
  <c r="F16" i="18"/>
  <c r="D16" i="2"/>
  <c r="D68" i="1"/>
  <c r="D97" i="18"/>
  <c r="D90" i="28"/>
  <c r="D89" s="1"/>
  <c r="C90"/>
  <c r="C89" s="1"/>
  <c r="B89"/>
  <c r="D83"/>
  <c r="C83"/>
  <c r="D84"/>
  <c r="B83"/>
  <c r="G19" i="3"/>
  <c r="F13"/>
  <c r="F17" s="1"/>
  <c r="F22" s="1"/>
  <c r="F18"/>
  <c r="G18" s="1"/>
  <c r="C22"/>
  <c r="D22"/>
  <c r="E22"/>
  <c r="B22"/>
  <c r="B19"/>
  <c r="G21"/>
  <c r="G20"/>
  <c r="E12" i="2"/>
  <c r="E49" i="28"/>
  <c r="E48"/>
  <c r="C36"/>
  <c r="E17" i="1"/>
  <c r="E28"/>
  <c r="E70"/>
  <c r="D70"/>
  <c r="E67"/>
  <c r="C29" i="28"/>
  <c r="C28" s="1"/>
  <c r="D50"/>
  <c r="D43"/>
  <c r="D30"/>
  <c r="C24"/>
  <c r="C23"/>
  <c r="C22"/>
  <c r="D15" i="2"/>
  <c r="D37" i="16"/>
  <c r="E28" i="2"/>
  <c r="E43" i="16"/>
  <c r="D18" i="2"/>
  <c r="D82"/>
  <c r="D113"/>
  <c r="E113"/>
  <c r="D9" i="16"/>
  <c r="C72" i="24"/>
  <c r="D63"/>
  <c r="I32"/>
  <c r="J19"/>
  <c r="D14" i="22"/>
  <c r="P8"/>
  <c r="D85" i="18"/>
  <c r="D90" s="1"/>
  <c r="D92" s="1"/>
  <c r="D109" s="1"/>
  <c r="K74"/>
  <c r="K78" s="1"/>
  <c r="K92" s="1"/>
  <c r="K109" s="1"/>
  <c r="I12" i="19"/>
  <c r="I17"/>
  <c r="I28"/>
  <c r="I32"/>
  <c r="I21"/>
  <c r="I26"/>
  <c r="I12" i="18"/>
  <c r="I29"/>
  <c r="J12"/>
  <c r="I18"/>
  <c r="J18"/>
  <c r="I25"/>
  <c r="J25"/>
  <c r="J29"/>
  <c r="I38"/>
  <c r="I54"/>
  <c r="J38"/>
  <c r="I44"/>
  <c r="J44"/>
  <c r="I50"/>
  <c r="J50"/>
  <c r="J54"/>
  <c r="J56"/>
  <c r="I63"/>
  <c r="J63"/>
  <c r="J67"/>
  <c r="I67"/>
  <c r="I74"/>
  <c r="J74"/>
  <c r="I78"/>
  <c r="I85"/>
  <c r="J85"/>
  <c r="J90"/>
  <c r="I90"/>
  <c r="I92"/>
  <c r="I107"/>
  <c r="I109"/>
  <c r="J107"/>
  <c r="P12"/>
  <c r="P29"/>
  <c r="P18"/>
  <c r="P25"/>
  <c r="P38"/>
  <c r="P44"/>
  <c r="P50"/>
  <c r="P63"/>
  <c r="P67"/>
  <c r="P74"/>
  <c r="P85"/>
  <c r="P90"/>
  <c r="P107"/>
  <c r="AE12"/>
  <c r="AE29"/>
  <c r="AE18"/>
  <c r="AE25"/>
  <c r="AE38"/>
  <c r="AE44"/>
  <c r="AE50"/>
  <c r="AE63"/>
  <c r="AE67"/>
  <c r="AE74"/>
  <c r="AE78"/>
  <c r="AE85"/>
  <c r="AE107"/>
  <c r="D94" i="2"/>
  <c r="E152"/>
  <c r="O9" i="17"/>
  <c r="D91" i="2"/>
  <c r="E73"/>
  <c r="O22" i="17"/>
  <c r="O10"/>
  <c r="H59" i="1"/>
  <c r="G59"/>
  <c r="C79" i="28"/>
  <c r="C78" s="1"/>
  <c r="C74"/>
  <c r="C73" s="1"/>
  <c r="C69"/>
  <c r="C68"/>
  <c r="C63"/>
  <c r="C62" s="1"/>
  <c r="C58"/>
  <c r="C57"/>
  <c r="C47"/>
  <c r="C50" s="1"/>
  <c r="C39"/>
  <c r="D112" i="2"/>
  <c r="C38" i="28"/>
  <c r="C35"/>
  <c r="C37" s="1"/>
  <c r="C42" s="1"/>
  <c r="C43" s="1"/>
  <c r="E34"/>
  <c r="D37"/>
  <c r="C34"/>
  <c r="C21"/>
  <c r="C19" s="1"/>
  <c r="C25" s="1"/>
  <c r="C20"/>
  <c r="C14"/>
  <c r="C13"/>
  <c r="C12"/>
  <c r="C11" s="1"/>
  <c r="C10"/>
  <c r="C9"/>
  <c r="C8" s="1"/>
  <c r="D42"/>
  <c r="E78"/>
  <c r="D78"/>
  <c r="E73"/>
  <c r="D73"/>
  <c r="E67"/>
  <c r="D67"/>
  <c r="E62"/>
  <c r="D62"/>
  <c r="E56"/>
  <c r="D56"/>
  <c r="E39"/>
  <c r="E40" s="1"/>
  <c r="D39" s="1"/>
  <c r="D40" s="1"/>
  <c r="E37"/>
  <c r="D34"/>
  <c r="E28"/>
  <c r="D28"/>
  <c r="E19"/>
  <c r="D19"/>
  <c r="E11"/>
  <c r="D11"/>
  <c r="D8"/>
  <c r="D7"/>
  <c r="D15" s="1"/>
  <c r="E8"/>
  <c r="E7"/>
  <c r="J32" i="24"/>
  <c r="J37"/>
  <c r="J12"/>
  <c r="I12"/>
  <c r="J6"/>
  <c r="I6"/>
  <c r="J14"/>
  <c r="J13"/>
  <c r="J35"/>
  <c r="J31"/>
  <c r="J27"/>
  <c r="J25"/>
  <c r="J23"/>
  <c r="J18"/>
  <c r="I16"/>
  <c r="I37"/>
  <c r="I31"/>
  <c r="I27"/>
  <c r="I25"/>
  <c r="I14"/>
  <c r="D45" i="25"/>
  <c r="D46"/>
  <c r="L43" i="24"/>
  <c r="L42"/>
  <c r="L41"/>
  <c r="L40"/>
  <c r="L39"/>
  <c r="L38"/>
  <c r="L37"/>
  <c r="L44"/>
  <c r="L45"/>
  <c r="J16"/>
  <c r="G9" i="20"/>
  <c r="H9"/>
  <c r="F9"/>
  <c r="G14" i="22"/>
  <c r="N13"/>
  <c r="K13"/>
  <c r="M13"/>
  <c r="J13"/>
  <c r="F13"/>
  <c r="E13"/>
  <c r="N12"/>
  <c r="K12"/>
  <c r="M12"/>
  <c r="J12"/>
  <c r="F12"/>
  <c r="N11"/>
  <c r="K11"/>
  <c r="M11"/>
  <c r="P11"/>
  <c r="J11"/>
  <c r="E14"/>
  <c r="N10"/>
  <c r="J10"/>
  <c r="I10"/>
  <c r="I14"/>
  <c r="F10"/>
  <c r="C14"/>
  <c r="N9"/>
  <c r="K9"/>
  <c r="M9"/>
  <c r="J9"/>
  <c r="F9"/>
  <c r="K8"/>
  <c r="M8"/>
  <c r="H8"/>
  <c r="J8"/>
  <c r="F8"/>
  <c r="F49" i="21"/>
  <c r="G48"/>
  <c r="D47"/>
  <c r="G47"/>
  <c r="D40"/>
  <c r="G32"/>
  <c r="G31"/>
  <c r="D43"/>
  <c r="G43"/>
  <c r="F33"/>
  <c r="D42"/>
  <c r="G42"/>
  <c r="D33"/>
  <c r="F17"/>
  <c r="G16"/>
  <c r="G15"/>
  <c r="D45"/>
  <c r="G45"/>
  <c r="G11"/>
  <c r="G10"/>
  <c r="E41"/>
  <c r="E49"/>
  <c r="G9"/>
  <c r="G8"/>
  <c r="F8" i="20"/>
  <c r="M39" i="19"/>
  <c r="AD21"/>
  <c r="AD26"/>
  <c r="AC21"/>
  <c r="AC26"/>
  <c r="AB21"/>
  <c r="AB26"/>
  <c r="AA21"/>
  <c r="AA26"/>
  <c r="Z21"/>
  <c r="Z26"/>
  <c r="Y21"/>
  <c r="Y26"/>
  <c r="X21"/>
  <c r="X26"/>
  <c r="W21"/>
  <c r="W26"/>
  <c r="V21"/>
  <c r="V26"/>
  <c r="U21"/>
  <c r="U26"/>
  <c r="T21"/>
  <c r="T26"/>
  <c r="S21"/>
  <c r="S26"/>
  <c r="R21"/>
  <c r="R26"/>
  <c r="Q21"/>
  <c r="Q26"/>
  <c r="P21"/>
  <c r="P26"/>
  <c r="O21"/>
  <c r="O26"/>
  <c r="N21"/>
  <c r="N26"/>
  <c r="M21"/>
  <c r="M26"/>
  <c r="L21"/>
  <c r="L26"/>
  <c r="K21"/>
  <c r="K26"/>
  <c r="J21"/>
  <c r="J26"/>
  <c r="H21"/>
  <c r="H26"/>
  <c r="G21"/>
  <c r="G26"/>
  <c r="F21"/>
  <c r="F26"/>
  <c r="E21"/>
  <c r="E26"/>
  <c r="D21"/>
  <c r="D26"/>
  <c r="C21"/>
  <c r="C26"/>
  <c r="AD12"/>
  <c r="AD17"/>
  <c r="AD28"/>
  <c r="AD32"/>
  <c r="AC12"/>
  <c r="AC17"/>
  <c r="AB12"/>
  <c r="AB17"/>
  <c r="AA12"/>
  <c r="AA17"/>
  <c r="Z12"/>
  <c r="Z17"/>
  <c r="Y12"/>
  <c r="Y17"/>
  <c r="X12"/>
  <c r="X17"/>
  <c r="W12"/>
  <c r="W17"/>
  <c r="V12"/>
  <c r="V17"/>
  <c r="U12"/>
  <c r="U17"/>
  <c r="T12"/>
  <c r="T17"/>
  <c r="S12"/>
  <c r="S17"/>
  <c r="R12"/>
  <c r="R17"/>
  <c r="Q12"/>
  <c r="Q17"/>
  <c r="P12"/>
  <c r="P17"/>
  <c r="O12"/>
  <c r="O17"/>
  <c r="N12"/>
  <c r="N17"/>
  <c r="M12"/>
  <c r="M17"/>
  <c r="L12"/>
  <c r="L17"/>
  <c r="K12"/>
  <c r="K17"/>
  <c r="J12"/>
  <c r="J17"/>
  <c r="H12"/>
  <c r="H17"/>
  <c r="G12"/>
  <c r="G17"/>
  <c r="F12"/>
  <c r="F17"/>
  <c r="E12"/>
  <c r="E17"/>
  <c r="D12"/>
  <c r="D17"/>
  <c r="C12"/>
  <c r="C17"/>
  <c r="N9" i="17"/>
  <c r="N10"/>
  <c r="N22"/>
  <c r="N11"/>
  <c r="N12"/>
  <c r="N13"/>
  <c r="N14"/>
  <c r="N15"/>
  <c r="N16"/>
  <c r="N17"/>
  <c r="N18"/>
  <c r="N19"/>
  <c r="N20"/>
  <c r="G22"/>
  <c r="H22"/>
  <c r="I22"/>
  <c r="J22"/>
  <c r="K22"/>
  <c r="L22"/>
  <c r="M22"/>
  <c r="F22"/>
  <c r="E42" i="28"/>
  <c r="O9" i="22"/>
  <c r="P9"/>
  <c r="O12"/>
  <c r="P12"/>
  <c r="O13"/>
  <c r="P13"/>
  <c r="D17" i="21"/>
  <c r="D41"/>
  <c r="G41"/>
  <c r="O11" i="22"/>
  <c r="H14"/>
  <c r="N14"/>
  <c r="H8" i="20"/>
  <c r="G12" i="21"/>
  <c r="G13"/>
  <c r="G14"/>
  <c r="E17"/>
  <c r="D44"/>
  <c r="G44"/>
  <c r="D46"/>
  <c r="G46"/>
  <c r="N8" i="22"/>
  <c r="O8"/>
  <c r="K10"/>
  <c r="M10"/>
  <c r="O10"/>
  <c r="F11"/>
  <c r="F14"/>
  <c r="AF107" i="18"/>
  <c r="AD107"/>
  <c r="AC107"/>
  <c r="AB107"/>
  <c r="AA107"/>
  <c r="Z107"/>
  <c r="Y107"/>
  <c r="X107"/>
  <c r="W107"/>
  <c r="V107"/>
  <c r="U107"/>
  <c r="T107"/>
  <c r="S107"/>
  <c r="R107"/>
  <c r="Q107"/>
  <c r="O107"/>
  <c r="N107"/>
  <c r="M107"/>
  <c r="L107"/>
  <c r="K107"/>
  <c r="H107"/>
  <c r="G107"/>
  <c r="F107"/>
  <c r="E107"/>
  <c r="D107"/>
  <c r="C107"/>
  <c r="AF85"/>
  <c r="AF90"/>
  <c r="AD85"/>
  <c r="AD90"/>
  <c r="AC85"/>
  <c r="AC90"/>
  <c r="AB85"/>
  <c r="AB90"/>
  <c r="AA85"/>
  <c r="AA90"/>
  <c r="Z85"/>
  <c r="Z90"/>
  <c r="Y85"/>
  <c r="Y90"/>
  <c r="X85"/>
  <c r="X90"/>
  <c r="W85"/>
  <c r="W90"/>
  <c r="V85"/>
  <c r="V90"/>
  <c r="U85"/>
  <c r="U90"/>
  <c r="T85"/>
  <c r="T90"/>
  <c r="S85"/>
  <c r="S90"/>
  <c r="R85"/>
  <c r="R90"/>
  <c r="Q85"/>
  <c r="Q90"/>
  <c r="O85"/>
  <c r="O90"/>
  <c r="N85"/>
  <c r="N90"/>
  <c r="M85"/>
  <c r="M90"/>
  <c r="L85"/>
  <c r="L90"/>
  <c r="K85"/>
  <c r="K90"/>
  <c r="H85"/>
  <c r="H90"/>
  <c r="G85"/>
  <c r="G90"/>
  <c r="F85"/>
  <c r="F90"/>
  <c r="E85"/>
  <c r="E90"/>
  <c r="C85"/>
  <c r="C90"/>
  <c r="AF74"/>
  <c r="AD74"/>
  <c r="AC74"/>
  <c r="AB74"/>
  <c r="AA74"/>
  <c r="Z74"/>
  <c r="Y74"/>
  <c r="X74"/>
  <c r="W74"/>
  <c r="V74"/>
  <c r="U74"/>
  <c r="T74"/>
  <c r="S74"/>
  <c r="R74"/>
  <c r="Q74"/>
  <c r="O74"/>
  <c r="N74"/>
  <c r="M74"/>
  <c r="L74"/>
  <c r="H74"/>
  <c r="G74"/>
  <c r="E74"/>
  <c r="D74"/>
  <c r="C74"/>
  <c r="AF63"/>
  <c r="AF67"/>
  <c r="AD63"/>
  <c r="AD67"/>
  <c r="AC63"/>
  <c r="AC67"/>
  <c r="AB63"/>
  <c r="AB67"/>
  <c r="AB78"/>
  <c r="AA63"/>
  <c r="AA67"/>
  <c r="Z63"/>
  <c r="Z67"/>
  <c r="Y63"/>
  <c r="Y67"/>
  <c r="X63"/>
  <c r="X67"/>
  <c r="X78"/>
  <c r="X92"/>
  <c r="X109"/>
  <c r="W63"/>
  <c r="W67"/>
  <c r="V63"/>
  <c r="V67"/>
  <c r="U63"/>
  <c r="U67"/>
  <c r="U78"/>
  <c r="T63"/>
  <c r="T67"/>
  <c r="S63"/>
  <c r="S67"/>
  <c r="R63"/>
  <c r="R67"/>
  <c r="Q63"/>
  <c r="Q67"/>
  <c r="O63"/>
  <c r="O67"/>
  <c r="N63"/>
  <c r="N67"/>
  <c r="M63"/>
  <c r="M67"/>
  <c r="L63"/>
  <c r="L67"/>
  <c r="K63"/>
  <c r="K67"/>
  <c r="H63"/>
  <c r="H67"/>
  <c r="H78"/>
  <c r="G63"/>
  <c r="G67"/>
  <c r="F63"/>
  <c r="F67"/>
  <c r="E63"/>
  <c r="E67"/>
  <c r="D63"/>
  <c r="D67"/>
  <c r="C63"/>
  <c r="C67"/>
  <c r="C78"/>
  <c r="AF50"/>
  <c r="AD50"/>
  <c r="AC50"/>
  <c r="AB50"/>
  <c r="AA50"/>
  <c r="Z50"/>
  <c r="Y50"/>
  <c r="X50"/>
  <c r="W50"/>
  <c r="V50"/>
  <c r="U50"/>
  <c r="T50"/>
  <c r="S50"/>
  <c r="R50"/>
  <c r="Q50"/>
  <c r="O50"/>
  <c r="N50"/>
  <c r="M50"/>
  <c r="L50"/>
  <c r="K50"/>
  <c r="H50"/>
  <c r="G50"/>
  <c r="F50"/>
  <c r="E50"/>
  <c r="D50"/>
  <c r="C50"/>
  <c r="AF44"/>
  <c r="AD44"/>
  <c r="AC44"/>
  <c r="AB44"/>
  <c r="AA44"/>
  <c r="Z44"/>
  <c r="Y44"/>
  <c r="X44"/>
  <c r="W44"/>
  <c r="V44"/>
  <c r="U44"/>
  <c r="T44"/>
  <c r="S44"/>
  <c r="R44"/>
  <c r="Q44"/>
  <c r="O44"/>
  <c r="N44"/>
  <c r="M44"/>
  <c r="L44"/>
  <c r="K44"/>
  <c r="H44"/>
  <c r="G44"/>
  <c r="F44"/>
  <c r="E44"/>
  <c r="D44"/>
  <c r="C44"/>
  <c r="AF38"/>
  <c r="AD38"/>
  <c r="AC38"/>
  <c r="AB38"/>
  <c r="AA38"/>
  <c r="Z38"/>
  <c r="Y38"/>
  <c r="X38"/>
  <c r="X54"/>
  <c r="W38"/>
  <c r="V38"/>
  <c r="U38"/>
  <c r="U54"/>
  <c r="T38"/>
  <c r="S38"/>
  <c r="R38"/>
  <c r="Q38"/>
  <c r="O38"/>
  <c r="N38"/>
  <c r="M38"/>
  <c r="L38"/>
  <c r="L54"/>
  <c r="K38"/>
  <c r="H38"/>
  <c r="G38"/>
  <c r="F38"/>
  <c r="E38"/>
  <c r="D38"/>
  <c r="C38"/>
  <c r="AF25"/>
  <c r="AD25"/>
  <c r="AC25"/>
  <c r="AB25"/>
  <c r="AA25"/>
  <c r="Z25"/>
  <c r="Y25"/>
  <c r="X25"/>
  <c r="W25"/>
  <c r="V25"/>
  <c r="U25"/>
  <c r="T25"/>
  <c r="S25"/>
  <c r="R25"/>
  <c r="Q25"/>
  <c r="O25"/>
  <c r="N25"/>
  <c r="M25"/>
  <c r="L25"/>
  <c r="K25"/>
  <c r="H25"/>
  <c r="G25"/>
  <c r="G29"/>
  <c r="F25"/>
  <c r="E25"/>
  <c r="D25"/>
  <c r="C25"/>
  <c r="AF18"/>
  <c r="AD18"/>
  <c r="AC18"/>
  <c r="AC29"/>
  <c r="AB18"/>
  <c r="AA18"/>
  <c r="Z18"/>
  <c r="Y18"/>
  <c r="X18"/>
  <c r="W18"/>
  <c r="V18"/>
  <c r="U18"/>
  <c r="U29"/>
  <c r="T18"/>
  <c r="S18"/>
  <c r="R18"/>
  <c r="Q18"/>
  <c r="O18"/>
  <c r="N18"/>
  <c r="M18"/>
  <c r="L18"/>
  <c r="L29"/>
  <c r="H18"/>
  <c r="G18"/>
  <c r="F18"/>
  <c r="E18"/>
  <c r="D18"/>
  <c r="C18"/>
  <c r="K18"/>
  <c r="AF12"/>
  <c r="AF29"/>
  <c r="AD12"/>
  <c r="AC12"/>
  <c r="AB12"/>
  <c r="AA12"/>
  <c r="AA29"/>
  <c r="Z12"/>
  <c r="Y12"/>
  <c r="Y29"/>
  <c r="X12"/>
  <c r="W12"/>
  <c r="W29"/>
  <c r="V12"/>
  <c r="U12"/>
  <c r="T12"/>
  <c r="S12"/>
  <c r="S29"/>
  <c r="R12"/>
  <c r="Q12"/>
  <c r="Q29"/>
  <c r="O12"/>
  <c r="N12"/>
  <c r="N29"/>
  <c r="M12"/>
  <c r="L12"/>
  <c r="K12"/>
  <c r="H12"/>
  <c r="H29"/>
  <c r="G12"/>
  <c r="F12"/>
  <c r="F29"/>
  <c r="E12"/>
  <c r="D12"/>
  <c r="C12"/>
  <c r="C29"/>
  <c r="J194" i="17"/>
  <c r="I194"/>
  <c r="H194"/>
  <c r="G194"/>
  <c r="F194"/>
  <c r="N191"/>
  <c r="M191"/>
  <c r="L191"/>
  <c r="O191"/>
  <c r="N188"/>
  <c r="N194"/>
  <c r="M188"/>
  <c r="M194"/>
  <c r="L188"/>
  <c r="L194"/>
  <c r="L23"/>
  <c r="D22"/>
  <c r="D23"/>
  <c r="N21"/>
  <c r="L21"/>
  <c r="J21"/>
  <c r="O21"/>
  <c r="I21"/>
  <c r="H21"/>
  <c r="L20"/>
  <c r="J19"/>
  <c r="L18"/>
  <c r="J17"/>
  <c r="L17"/>
  <c r="O17"/>
  <c r="L16"/>
  <c r="J15"/>
  <c r="L15"/>
  <c r="L14"/>
  <c r="J13"/>
  <c r="L12"/>
  <c r="L11"/>
  <c r="J11"/>
  <c r="I11"/>
  <c r="H11"/>
  <c r="O11"/>
  <c r="L10"/>
  <c r="J10"/>
  <c r="I10"/>
  <c r="D32" i="16"/>
  <c r="E41"/>
  <c r="E32"/>
  <c r="E22"/>
  <c r="E45"/>
  <c r="E47" s="1"/>
  <c r="C1"/>
  <c r="J14" i="22"/>
  <c r="P10"/>
  <c r="P14"/>
  <c r="M14"/>
  <c r="G17" i="21"/>
  <c r="O14" i="22"/>
  <c r="G29" i="21"/>
  <c r="G28"/>
  <c r="G27"/>
  <c r="G26"/>
  <c r="G30"/>
  <c r="G49"/>
  <c r="D49"/>
  <c r="K14" i="22"/>
  <c r="H10" i="17"/>
  <c r="W78" i="18"/>
  <c r="O15" i="17"/>
  <c r="I9"/>
  <c r="L9"/>
  <c r="J12"/>
  <c r="O12"/>
  <c r="M12"/>
  <c r="I13"/>
  <c r="H13"/>
  <c r="L13"/>
  <c r="O13"/>
  <c r="J14"/>
  <c r="O14"/>
  <c r="M14"/>
  <c r="I15"/>
  <c r="H15"/>
  <c r="J16"/>
  <c r="O16"/>
  <c r="M16"/>
  <c r="I17"/>
  <c r="H17"/>
  <c r="J18"/>
  <c r="O18"/>
  <c r="M18"/>
  <c r="I19"/>
  <c r="H19"/>
  <c r="L19"/>
  <c r="O19"/>
  <c r="J20"/>
  <c r="O20"/>
  <c r="M20"/>
  <c r="J9"/>
  <c r="M9"/>
  <c r="M10"/>
  <c r="M11"/>
  <c r="I12"/>
  <c r="H12"/>
  <c r="M13"/>
  <c r="I14"/>
  <c r="H14"/>
  <c r="M15"/>
  <c r="I16"/>
  <c r="H16"/>
  <c r="M17"/>
  <c r="I18"/>
  <c r="H18"/>
  <c r="M19"/>
  <c r="I20"/>
  <c r="H20"/>
  <c r="O188"/>
  <c r="O194"/>
  <c r="E33" i="21"/>
  <c r="G25"/>
  <c r="G33"/>
  <c r="H9" i="17"/>
  <c r="O25"/>
  <c r="D83" i="2"/>
  <c r="D81"/>
  <c r="E112"/>
  <c r="D106"/>
  <c r="D78"/>
  <c r="D77"/>
  <c r="D73"/>
  <c r="D38"/>
  <c r="D21"/>
  <c r="D25"/>
  <c r="D8"/>
  <c r="D12"/>
  <c r="D134"/>
  <c r="D152"/>
  <c r="D153"/>
  <c r="D79"/>
  <c r="D72"/>
  <c r="D71"/>
  <c r="D75"/>
  <c r="E15"/>
  <c r="D15" i="16" s="1"/>
  <c r="E8" i="2"/>
  <c r="D24" i="1"/>
  <c r="D23"/>
  <c r="E10"/>
  <c r="E45"/>
  <c r="D45"/>
  <c r="H28" i="10"/>
  <c r="H20"/>
  <c r="C14"/>
  <c r="B134" i="2"/>
  <c r="E91"/>
  <c r="D38" i="16" s="1"/>
  <c r="D41" s="1"/>
  <c r="E81" i="2"/>
  <c r="E7" i="1"/>
  <c r="D11"/>
  <c r="D10"/>
  <c r="D115" i="2"/>
  <c r="D72" i="1"/>
  <c r="D13" i="16"/>
  <c r="D86" i="2"/>
  <c r="D44" i="16"/>
  <c r="F9" i="4"/>
  <c r="E13"/>
  <c r="E19" s="1"/>
  <c r="F13"/>
  <c r="F15"/>
  <c r="F16"/>
  <c r="F17"/>
  <c r="F19"/>
  <c r="F26"/>
  <c r="E27"/>
  <c r="E32" s="1"/>
  <c r="F27"/>
  <c r="F28"/>
  <c r="F29"/>
  <c r="F37"/>
  <c r="F41"/>
  <c r="E44"/>
  <c r="F22"/>
  <c r="F32"/>
  <c r="C19" i="5"/>
  <c r="D13" i="4"/>
  <c r="F43"/>
  <c r="F45"/>
  <c r="F47"/>
  <c r="D52" i="2"/>
  <c r="D54"/>
  <c r="B152"/>
  <c r="E94"/>
  <c r="D93"/>
  <c r="D98"/>
  <c r="D100"/>
  <c r="E79"/>
  <c r="D59" i="28" s="1"/>
  <c r="E78" i="2"/>
  <c r="E21"/>
  <c r="E15" i="4"/>
  <c r="D38"/>
  <c r="D155" i="2"/>
  <c r="E71"/>
  <c r="E75"/>
  <c r="E38" i="4"/>
  <c r="E41" s="1"/>
  <c r="D15"/>
  <c r="D13" i="1"/>
  <c r="D14"/>
  <c r="D7"/>
  <c r="E24"/>
  <c r="E23"/>
  <c r="E14"/>
  <c r="E13"/>
  <c r="E11"/>
  <c r="C24" i="10"/>
  <c r="C26"/>
  <c r="H26"/>
  <c r="I89" i="6"/>
  <c r="I88"/>
  <c r="I85" s="1"/>
  <c r="I84"/>
  <c r="I80"/>
  <c r="I78"/>
  <c r="I72"/>
  <c r="I76"/>
  <c r="I71"/>
  <c r="I67"/>
  <c r="I66"/>
  <c r="I65" s="1"/>
  <c r="I90" s="1"/>
  <c r="I19" i="10"/>
  <c r="I23"/>
  <c r="I26" s="1"/>
  <c r="I25"/>
  <c r="I24"/>
  <c r="I18"/>
  <c r="I15"/>
  <c r="I12"/>
  <c r="I13"/>
  <c r="I14"/>
  <c r="I11"/>
  <c r="I10"/>
  <c r="I9"/>
  <c r="I20" s="1"/>
  <c r="B12" i="3"/>
  <c r="B17" s="1"/>
  <c r="D12" i="1"/>
  <c r="D17"/>
  <c r="D117" i="2"/>
  <c r="E12" i="1"/>
  <c r="G16" i="3"/>
  <c r="G15"/>
  <c r="G14"/>
  <c r="E125" i="2"/>
  <c r="E77" s="1"/>
  <c r="E82" s="1"/>
  <c r="E44"/>
  <c r="E63" i="1"/>
  <c r="B1" i="8"/>
  <c r="F49" i="7"/>
  <c r="E49"/>
  <c r="D49"/>
  <c r="G48"/>
  <c r="G47"/>
  <c r="G40"/>
  <c r="G49"/>
  <c r="F33"/>
  <c r="E33"/>
  <c r="D33"/>
  <c r="G32"/>
  <c r="G31"/>
  <c r="G24"/>
  <c r="G33"/>
  <c r="C2"/>
  <c r="B2" i="8"/>
  <c r="C1" i="7"/>
  <c r="N83" i="6"/>
  <c r="J65"/>
  <c r="J69"/>
  <c r="O83"/>
  <c r="F17" i="7"/>
  <c r="E17"/>
  <c r="D17"/>
  <c r="G16"/>
  <c r="G15"/>
  <c r="G8"/>
  <c r="G17"/>
  <c r="I79" i="6"/>
  <c r="I69"/>
  <c r="B153" i="2"/>
  <c r="C33" i="5"/>
  <c r="C24"/>
  <c r="C23"/>
  <c r="G9" i="3"/>
  <c r="G10"/>
  <c r="G11"/>
  <c r="C1" i="4"/>
  <c r="C1" i="2"/>
  <c r="C63"/>
  <c r="A1" i="3"/>
  <c r="E50" i="2"/>
  <c r="E25" i="1"/>
  <c r="E21"/>
  <c r="J90" i="6"/>
  <c r="E93" i="2"/>
  <c r="E106"/>
  <c r="E115" s="1"/>
  <c r="E18"/>
  <c r="D25" i="28" s="1"/>
  <c r="D25" i="1"/>
  <c r="D21"/>
  <c r="E98" i="2"/>
  <c r="E54"/>
  <c r="D27" i="4"/>
  <c r="D32"/>
  <c r="D28" i="1"/>
  <c r="D39"/>
  <c r="E39"/>
  <c r="E32"/>
  <c r="E9" i="4"/>
  <c r="E134" i="2"/>
  <c r="C153"/>
  <c r="D9" i="4"/>
  <c r="D32" i="1"/>
  <c r="E25" i="2"/>
  <c r="D16" i="16" s="1"/>
  <c r="E29" i="2"/>
  <c r="E56"/>
  <c r="E16" i="4"/>
  <c r="D16"/>
  <c r="H29" i="10"/>
  <c r="G8" i="3"/>
  <c r="G12"/>
  <c r="F12"/>
  <c r="D19" i="4"/>
  <c r="F74" i="18"/>
  <c r="F78" s="1"/>
  <c r="F92" s="1"/>
  <c r="F109" s="1"/>
  <c r="X28" i="19"/>
  <c r="X32"/>
  <c r="P28"/>
  <c r="P32"/>
  <c r="V28"/>
  <c r="V32"/>
  <c r="C28"/>
  <c r="C32"/>
  <c r="G28"/>
  <c r="G32"/>
  <c r="R28"/>
  <c r="R32"/>
  <c r="Z28"/>
  <c r="Z32"/>
  <c r="F28"/>
  <c r="F32"/>
  <c r="T28"/>
  <c r="T32"/>
  <c r="AB28"/>
  <c r="AB32"/>
  <c r="J92" i="18"/>
  <c r="J109"/>
  <c r="J78"/>
  <c r="I56"/>
  <c r="AF54"/>
  <c r="O78"/>
  <c r="T78"/>
  <c r="AF78"/>
  <c r="Q78"/>
  <c r="Q92"/>
  <c r="Q109"/>
  <c r="K29"/>
  <c r="M29"/>
  <c r="R29"/>
  <c r="V29"/>
  <c r="V56"/>
  <c r="Z29"/>
  <c r="O29"/>
  <c r="T29"/>
  <c r="X29"/>
  <c r="X56"/>
  <c r="AB29"/>
  <c r="C54"/>
  <c r="G54"/>
  <c r="M54"/>
  <c r="M56"/>
  <c r="R54"/>
  <c r="V54"/>
  <c r="Z54"/>
  <c r="AD54"/>
  <c r="E78"/>
  <c r="S78"/>
  <c r="AD78"/>
  <c r="AE90"/>
  <c r="AE92"/>
  <c r="AE109"/>
  <c r="P92"/>
  <c r="P109"/>
  <c r="D29"/>
  <c r="M78"/>
  <c r="V78"/>
  <c r="V92"/>
  <c r="V109"/>
  <c r="G78"/>
  <c r="AE54"/>
  <c r="AE56"/>
  <c r="P78"/>
  <c r="P54"/>
  <c r="AA78"/>
  <c r="P56"/>
  <c r="N54"/>
  <c r="N56"/>
  <c r="S54"/>
  <c r="F54"/>
  <c r="F56"/>
  <c r="AC78"/>
  <c r="D54"/>
  <c r="D56"/>
  <c r="H54"/>
  <c r="H56"/>
  <c r="AC54"/>
  <c r="N78"/>
  <c r="N92"/>
  <c r="N109"/>
  <c r="AB92"/>
  <c r="AB109"/>
  <c r="G56"/>
  <c r="AF56"/>
  <c r="E29"/>
  <c r="AA54"/>
  <c r="T54"/>
  <c r="T56"/>
  <c r="AB54"/>
  <c r="AB56"/>
  <c r="T92"/>
  <c r="T109"/>
  <c r="L56"/>
  <c r="Z56"/>
  <c r="R56"/>
  <c r="Y78"/>
  <c r="U56"/>
  <c r="AC56"/>
  <c r="H92"/>
  <c r="H109"/>
  <c r="G92"/>
  <c r="G109"/>
  <c r="U92"/>
  <c r="U109"/>
  <c r="AC92"/>
  <c r="AC109"/>
  <c r="K54"/>
  <c r="K56"/>
  <c r="W54"/>
  <c r="W56"/>
  <c r="L78"/>
  <c r="L92"/>
  <c r="L109"/>
  <c r="R78"/>
  <c r="R92"/>
  <c r="R109"/>
  <c r="Z78"/>
  <c r="Z92"/>
  <c r="Z109"/>
  <c r="C92"/>
  <c r="C109"/>
  <c r="W92"/>
  <c r="W109"/>
  <c r="C56"/>
  <c r="Q54"/>
  <c r="Q56"/>
  <c r="Y54"/>
  <c r="Y56"/>
  <c r="D78"/>
  <c r="E92"/>
  <c r="E109"/>
  <c r="M92"/>
  <c r="M109"/>
  <c r="Y92"/>
  <c r="Y109"/>
  <c r="AD29"/>
  <c r="E54"/>
  <c r="E56"/>
  <c r="O54"/>
  <c r="O56"/>
  <c r="S56"/>
  <c r="AA56"/>
  <c r="AD92"/>
  <c r="AD109"/>
  <c r="O92"/>
  <c r="O109"/>
  <c r="S92"/>
  <c r="S109"/>
  <c r="AA92"/>
  <c r="AA109"/>
  <c r="AF92"/>
  <c r="AF109"/>
  <c r="M28" i="19"/>
  <c r="M32"/>
  <c r="E28"/>
  <c r="E32"/>
  <c r="L28"/>
  <c r="L32"/>
  <c r="D28"/>
  <c r="D32"/>
  <c r="K28"/>
  <c r="K32"/>
  <c r="O28"/>
  <c r="O32"/>
  <c r="Q28"/>
  <c r="Q32"/>
  <c r="S28"/>
  <c r="S32"/>
  <c r="U28"/>
  <c r="U32"/>
  <c r="W28"/>
  <c r="W32"/>
  <c r="Y28"/>
  <c r="Y32"/>
  <c r="AA28"/>
  <c r="AA32"/>
  <c r="AC28"/>
  <c r="AC32"/>
  <c r="N28"/>
  <c r="N32"/>
  <c r="H28"/>
  <c r="H32"/>
  <c r="J28"/>
  <c r="J32"/>
  <c r="AD56" i="18"/>
  <c r="D19" i="16"/>
  <c r="D29" i="2"/>
  <c r="D56"/>
  <c r="D118"/>
  <c r="C67" i="28"/>
  <c r="C56"/>
  <c r="C59" s="1"/>
  <c r="I28" i="10" l="1"/>
  <c r="G13" i="3"/>
  <c r="E50" i="28"/>
  <c r="C7"/>
  <c r="C15" s="1"/>
  <c r="C40"/>
  <c r="G17" i="3"/>
  <c r="D17" i="16"/>
  <c r="E17" i="4"/>
  <c r="E22" s="1"/>
  <c r="E43" s="1"/>
  <c r="E45" s="1"/>
  <c r="D17"/>
  <c r="D22" s="1"/>
  <c r="E86" i="2"/>
  <c r="E100" s="1"/>
  <c r="E117" s="1"/>
  <c r="E118" s="1"/>
  <c r="I17" i="3"/>
  <c r="D22" i="16"/>
  <c r="D43" s="1"/>
  <c r="D45" s="1"/>
  <c r="D47" s="1"/>
  <c r="D49" s="1"/>
  <c r="D36" i="4"/>
  <c r="D41" s="1"/>
  <c r="H17" i="3" l="1"/>
  <c r="G22"/>
  <c r="H22" s="1"/>
  <c r="D44" i="4"/>
  <c r="E47"/>
  <c r="D43"/>
  <c r="D45" s="1"/>
  <c r="D47" s="1"/>
</calcChain>
</file>

<file path=xl/sharedStrings.xml><?xml version="1.0" encoding="utf-8"?>
<sst xmlns="http://schemas.openxmlformats.org/spreadsheetml/2006/main" count="1333" uniqueCount="650">
  <si>
    <t>ne leke</t>
  </si>
  <si>
    <t>N.r.</t>
  </si>
  <si>
    <t>P Ë R SH K R I M I</t>
  </si>
  <si>
    <t>Shenime</t>
  </si>
  <si>
    <t>Viti Ushtrimor</t>
  </si>
  <si>
    <t>Viti Paraardhës</t>
  </si>
  <si>
    <t>Shitjet neto</t>
  </si>
  <si>
    <t>Të ardhura të tjera nga veprimtaritë shfrytëzimit</t>
  </si>
  <si>
    <t>Ndryshimet në inventarin e p.gatshme dhe p. proces</t>
  </si>
  <si>
    <t>Puna e kryer nga njësia ekonomike raportuese për qëllimet e veta dhe e kapitalizuar</t>
  </si>
  <si>
    <t xml:space="preserve">Mallra , lëndët e para dhe shërbimet </t>
  </si>
  <si>
    <t>Shpenzime të tjera  nga veprimtaritë e shfrytëzimit</t>
  </si>
  <si>
    <t>Shpenzime të personelit</t>
  </si>
  <si>
    <t>a)</t>
  </si>
  <si>
    <t>Pagat</t>
  </si>
  <si>
    <t>b)</t>
  </si>
  <si>
    <t>Shpenzimet e sigurimeve shoqërore</t>
  </si>
  <si>
    <t>c)</t>
  </si>
  <si>
    <t>Shpenzimet për pensionet</t>
  </si>
  <si>
    <t>Rënia në vlerë (zhvlerësimi) dhe amortizimi</t>
  </si>
  <si>
    <t>Fitimi (humbja) nga veprimtaritë e shfrytëzimit</t>
  </si>
  <si>
    <t>Të ardhurat dhe shpenzimet financiare nga njësite e kontrolluara</t>
  </si>
  <si>
    <t>Të ardhurat dhe shpenzimet financiare nga pjesmarrjet</t>
  </si>
  <si>
    <t xml:space="preserve">Të ardhurat dhe shpenzimet financiare </t>
  </si>
  <si>
    <t>3/a</t>
  </si>
  <si>
    <t>Të ardhurat dhe shpenzimet financiare nga investime të tjera financiare afatgjata</t>
  </si>
  <si>
    <t>3/b</t>
  </si>
  <si>
    <t>Të ardhurat dhe shpenzimet nga interesi</t>
  </si>
  <si>
    <t>3/c</t>
  </si>
  <si>
    <t>Fitimet (humbjet) nga kursi i këmbimit</t>
  </si>
  <si>
    <t>3/d</t>
  </si>
  <si>
    <t xml:space="preserve">Të ardhurat dhe shpenzime të tjera financiare </t>
  </si>
  <si>
    <t xml:space="preserve">Totali i të ardhurave dhe shpenzimeve  financiare </t>
  </si>
  <si>
    <t>Fitimi ( humbja) para tatimit</t>
  </si>
  <si>
    <t>Shpenzimet e tatimit mbi fitimin 10 %</t>
  </si>
  <si>
    <t>Fitimi ( humbja) neto e vitit financiar</t>
  </si>
  <si>
    <t>Pjesa e fitimit neto për aksionarët e shoqërise mëmë</t>
  </si>
  <si>
    <t>Pjesa e fitimit neto për aksionarët e pakicës</t>
  </si>
  <si>
    <t>Pasqyrat Financiare lexohen se bashku me shenimet shpjeguese 1-40</t>
  </si>
  <si>
    <t xml:space="preserve">Pasqyrat Financiare lexohen se bashku me shenimet shpjeguese </t>
  </si>
  <si>
    <t>Zëri i Bilancit</t>
  </si>
  <si>
    <t>Viti Para - ardhës</t>
  </si>
  <si>
    <t>A</t>
  </si>
  <si>
    <t>AKTIVET</t>
  </si>
  <si>
    <t>I</t>
  </si>
  <si>
    <t>Aktivet Afatshkurtra</t>
  </si>
  <si>
    <t>Mjete monetare</t>
  </si>
  <si>
    <t>Dervativë dhe aktive financiare të mbajtura për tregtim</t>
  </si>
  <si>
    <t>Derivativët</t>
  </si>
  <si>
    <t>Aktivet e mbajtura për tregtim</t>
  </si>
  <si>
    <t>Totali</t>
  </si>
  <si>
    <t>Aktive të tjera financiare afatshkurtra</t>
  </si>
  <si>
    <t>Llogari / Kërkesa te arkëtueshme</t>
  </si>
  <si>
    <t>Llogari / Kërkesa të tjera të arkëtueshme</t>
  </si>
  <si>
    <t>Instrumente të tjera borxhi</t>
  </si>
  <si>
    <t>d)</t>
  </si>
  <si>
    <t>Investime të tjera financiare</t>
  </si>
  <si>
    <t>Inventari</t>
  </si>
  <si>
    <t>Lëndët e para</t>
  </si>
  <si>
    <t>Prodhim në proces</t>
  </si>
  <si>
    <t>Produkte të gatshme</t>
  </si>
  <si>
    <t>Mallra per rishitje</t>
  </si>
  <si>
    <t>e)</t>
  </si>
  <si>
    <t>Aktivet biologjike afatshkurtra</t>
  </si>
  <si>
    <t xml:space="preserve">Aktivet afatshkurtra të mbajtura për shitje </t>
  </si>
  <si>
    <t>Parapagimet dhe shpenzimet e shtyra</t>
  </si>
  <si>
    <t>AKTIVET TOTALE  AFATSHKURTRA</t>
  </si>
  <si>
    <t>II</t>
  </si>
  <si>
    <t>Aktivet Afatgjata</t>
  </si>
  <si>
    <t>Investimet financiare afatgjata</t>
  </si>
  <si>
    <t>Aksione dhe pjesmarrje të tjera në njësi te kontrolluara    (vetëm për pasqyrat financiare të pakonsoliduara)</t>
  </si>
  <si>
    <t>Aksione dhe investime të tjera në pjesëmarrje</t>
  </si>
  <si>
    <t>Aksione dhe letra të tjera me vlerë</t>
  </si>
  <si>
    <t>Llogari / Kërkesa te arkëtueshme afatgjata</t>
  </si>
  <si>
    <t>Aktive afatgjata materiale</t>
  </si>
  <si>
    <t>Toka</t>
  </si>
  <si>
    <t>Ndertesa (minus amortizimi)</t>
  </si>
  <si>
    <t>Makineri dhe paisje (minus amortizmi)</t>
  </si>
  <si>
    <t>Aktive të tjera afatgjata materiale ( me vlere kontabel)</t>
  </si>
  <si>
    <t xml:space="preserve">Aktive biologjike afatgjata </t>
  </si>
  <si>
    <t>Aktivet afatgjata jomateriale</t>
  </si>
  <si>
    <t>Emri i mirë</t>
  </si>
  <si>
    <t>Shpenzimet e zhvillimit</t>
  </si>
  <si>
    <t>Aktive të tjera afatgjata jomateriale</t>
  </si>
  <si>
    <t>Kapitali aksionar i papaguar</t>
  </si>
  <si>
    <t>Aktive të tjera afatgjata (në proces)</t>
  </si>
  <si>
    <t>TOTALI AKTIVEVE AFATGJATA</t>
  </si>
  <si>
    <t xml:space="preserve">TOTALI AKTIVEVE </t>
  </si>
  <si>
    <t>B</t>
  </si>
  <si>
    <t>PASIVET DHE KAPITALI</t>
  </si>
  <si>
    <t>Pasivet Afatshkurtra</t>
  </si>
  <si>
    <t>Dervativët</t>
  </si>
  <si>
    <t>Huamarrjet</t>
  </si>
  <si>
    <t>Huat dhe obligacionet afatshkurtra</t>
  </si>
  <si>
    <t>Kthimet / ripagesat e huave afatgjata</t>
  </si>
  <si>
    <t>Bono të konvertueshme</t>
  </si>
  <si>
    <t>Huat dhe parapagimet</t>
  </si>
  <si>
    <t>Te pagueshme ndaj furnitorëve</t>
  </si>
  <si>
    <t>Te pagueshme ndaj punonjësve</t>
  </si>
  <si>
    <t>Detyrimet tatimore</t>
  </si>
  <si>
    <t>Hua të tjera</t>
  </si>
  <si>
    <t>Parapagimet e arkëtuara</t>
  </si>
  <si>
    <t>Grandet dhe të ardhurat e shtyra</t>
  </si>
  <si>
    <t>Provizionet afatshkurtra</t>
  </si>
  <si>
    <t>TOTALI I PASIVEVE  AFATSHKURTRA</t>
  </si>
  <si>
    <t>Pasivet Afatgjata</t>
  </si>
  <si>
    <t>Huat afatgjata</t>
  </si>
  <si>
    <t>Hua , bono dhe detyrime nga qeraja financiare</t>
  </si>
  <si>
    <t>Bonot e konvertueshme</t>
  </si>
  <si>
    <t>Huamarrje të tjera afatgjata</t>
  </si>
  <si>
    <t>Provizionet afatgjata</t>
  </si>
  <si>
    <t>Grandet dhe të ardhurat të shtyra</t>
  </si>
  <si>
    <t>TOTALI I PASIVEVE  AFATGJATA</t>
  </si>
  <si>
    <t xml:space="preserve">TOTALI I PASIVEVE </t>
  </si>
  <si>
    <t>III</t>
  </si>
  <si>
    <t>Kapitali</t>
  </si>
  <si>
    <t>Aksionet e pakicës (vetem per pasq.fin.të kosoliduara)</t>
  </si>
  <si>
    <t>Kapitali që i përket aksionerëve të shoqërise mëmë (përdoret vetem per pasq.fin.të kosoliduara)</t>
  </si>
  <si>
    <t>Kapitali aksionar</t>
  </si>
  <si>
    <t>Primi i aksionit</t>
  </si>
  <si>
    <t>Njësite ose aksionet e thesarit ( 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</si>
  <si>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</si>
  <si>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</si>
  <si>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</si>
  <si>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</si>
  <si>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</si>
  <si>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</t>
  </si>
  <si>
    <t>TOTALI I PASIVEVE DHE  KAPITALIT</t>
  </si>
  <si>
    <t>Të ardhura nga investimet</t>
  </si>
  <si>
    <t>Paratë e perftuara nga aktivitetet</t>
  </si>
  <si>
    <t>Blerja e shoqërisë së kontrolluar X minus paratë e arkëtuara</t>
  </si>
  <si>
    <t>C</t>
  </si>
  <si>
    <t>Fluksi i parave nga veprimtarite e financiare- Cash flows from financing activities</t>
  </si>
  <si>
    <t>b) ne një pasqyrë të  pakonsoliduar</t>
  </si>
  <si>
    <t xml:space="preserve"> Ne leke</t>
  </si>
  <si>
    <t xml:space="preserve">Parapagesa </t>
  </si>
  <si>
    <t xml:space="preserve">RFZ Building  sh.p.k </t>
  </si>
  <si>
    <t xml:space="preserve">Kapitali aksionar  </t>
  </si>
  <si>
    <t xml:space="preserve"> Primi i aksionit </t>
  </si>
  <si>
    <t xml:space="preserve">Aksione të thesarit </t>
  </si>
  <si>
    <t xml:space="preserve">  Rezerva  statusore dhe ligjore   </t>
  </si>
  <si>
    <t xml:space="preserve">Fitim i pashpërndarë  </t>
  </si>
  <si>
    <t xml:space="preserve"> Totali i Kapitaleve të veta</t>
  </si>
  <si>
    <t xml:space="preserve">Fitimi  neto i vitit financiar  </t>
  </si>
  <si>
    <t xml:space="preserve">Rritje e rezervës kapitalit </t>
  </si>
  <si>
    <t xml:space="preserve">Emetimi i aksioneve </t>
  </si>
  <si>
    <t xml:space="preserve">Dividendët e paguar </t>
  </si>
  <si>
    <t xml:space="preserve">Pozicioni më 31 dhjetor 2010 </t>
  </si>
  <si>
    <t>Energji Elektrike</t>
  </si>
  <si>
    <t>Shpenzime Qera</t>
  </si>
  <si>
    <t>Shpenzime per komisione bankare</t>
  </si>
  <si>
    <t>Shpenzime per taksa vendore</t>
  </si>
  <si>
    <t>Shpenzime per paga</t>
  </si>
  <si>
    <t>Shpenzime</t>
  </si>
  <si>
    <t>Vlera ne leke</t>
  </si>
  <si>
    <t xml:space="preserve">Sipas metodës indirekte </t>
  </si>
  <si>
    <t xml:space="preserve">Pozicioni më 31 dhjetor 2011 </t>
  </si>
  <si>
    <t xml:space="preserve">   Ruko Sako  </t>
  </si>
  <si>
    <t xml:space="preserve">   OSSH</t>
  </si>
  <si>
    <t xml:space="preserve">   Anabela</t>
  </si>
  <si>
    <t xml:space="preserve">   Alba Mita</t>
  </si>
  <si>
    <t xml:space="preserve">   JMC</t>
  </si>
  <si>
    <t xml:space="preserve">   Mimoza Sadushaj</t>
  </si>
  <si>
    <t xml:space="preserve">   Curona Design</t>
  </si>
  <si>
    <t>leke</t>
  </si>
  <si>
    <t xml:space="preserve">   Pelican Security               </t>
  </si>
  <si>
    <t xml:space="preserve">   Ilir Subashi                        </t>
  </si>
  <si>
    <t xml:space="preserve">   Paneli shpk                      </t>
  </si>
  <si>
    <t xml:space="preserve">   Ani shpk                              </t>
  </si>
  <si>
    <r>
      <t xml:space="preserve">   Premium</t>
    </r>
    <r>
      <rPr>
        <b/>
        <sz val="12"/>
        <color indexed="8"/>
        <rFont val="Book Antiqua"/>
        <family val="1"/>
      </rPr>
      <t xml:space="preserve"> </t>
    </r>
    <r>
      <rPr>
        <sz val="10"/>
        <color indexed="8"/>
        <rFont val="Book Antiqua"/>
        <family val="1"/>
      </rPr>
      <t xml:space="preserve">Print                 </t>
    </r>
  </si>
  <si>
    <t>Furnitori</t>
  </si>
  <si>
    <t>Shuma</t>
  </si>
  <si>
    <t xml:space="preserve">   Food Way shpk</t>
  </si>
  <si>
    <t xml:space="preserve">   Edlira Hyseni</t>
  </si>
  <si>
    <t xml:space="preserve">   Mane TCI</t>
  </si>
  <si>
    <t>Klient</t>
  </si>
  <si>
    <t>Ata Mark Ndoj</t>
  </si>
  <si>
    <t>Asllan Baraj</t>
  </si>
  <si>
    <t>Metush Saraci</t>
  </si>
  <si>
    <t>Abaz Xhanari</t>
  </si>
  <si>
    <t>Arjan Cani</t>
  </si>
  <si>
    <t>Elton Hasani</t>
  </si>
  <si>
    <t>Artur Ruci</t>
  </si>
  <si>
    <t>Zef Shtjefni</t>
  </si>
  <si>
    <t>Enklajd Malo</t>
  </si>
  <si>
    <t>Xhevahir Osmani</t>
  </si>
  <si>
    <t>Leke</t>
  </si>
  <si>
    <t>Shpenzime Publiciteti</t>
  </si>
  <si>
    <t>Te ardhurat</t>
  </si>
  <si>
    <t>SHOQERIA</t>
  </si>
  <si>
    <t>RFZ Building</t>
  </si>
  <si>
    <t xml:space="preserve">NIPT </t>
  </si>
  <si>
    <t>K82405001V</t>
  </si>
  <si>
    <t>Pasqyre Nr.1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</si>
  <si>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</si>
  <si>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</si>
  <si>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</si>
  <si>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</si>
  <si>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</si>
  <si>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</si>
  <si>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</si>
  <si>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</si>
  <si>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</si>
  <si>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</si>
  <si>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</si>
  <si>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</si>
  <si>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</si>
  <si>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</si>
  <si>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Komisione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</si>
  <si>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</si>
  <si>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</si>
  <si>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</si>
  <si>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</si>
  <si>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</si>
  <si>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</si>
  <si>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</si>
  <si>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</si>
  <si>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</si>
  <si>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</si>
  <si>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</si>
  <si>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</si>
  <si>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</si>
  <si>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</si>
  <si>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</si>
  <si>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</si>
  <si>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</si>
  <si>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</si>
  <si>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</si>
  <si>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</si>
  <si>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</si>
  <si>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</si>
  <si>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</si>
  <si>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</si>
  <si>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</si>
  <si>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</si>
  <si>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</si>
  <si>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</si>
  <si>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</si>
  <si>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</si>
  <si>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</si>
  <si>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</si>
  <si>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</si>
  <si>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</si>
  <si>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</si>
  <si>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</si>
  <si>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</si>
  <si>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</si>
  <si>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</si>
  <si>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</si>
  <si>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</si>
  <si>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</si>
  <si>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</si>
  <si>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</si>
  <si>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</si>
  <si>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</si>
  <si>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</si>
  <si>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</si>
  <si>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</si>
  <si>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</si>
  <si>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</si>
  <si>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</si>
  <si>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</si>
  <si>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</si>
  <si>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</si>
  <si>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</si>
  <si>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</si>
  <si>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</si>
  <si>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</si>
  <si>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</si>
  <si>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</si>
  <si>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</si>
  <si>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</si>
  <si>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</si>
  <si>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</si>
  <si>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</si>
  <si>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</si>
  <si>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</si>
  <si>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</si>
  <si>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</si>
  <si>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</si>
  <si>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</si>
  <si>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</si>
  <si>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</si>
  <si>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</si>
  <si>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</si>
  <si>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</si>
  <si>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</si>
  <si>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</si>
  <si>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</si>
  <si>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</si>
  <si>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</si>
  <si>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</si>
  <si>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</si>
  <si>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</si>
  <si>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</si>
  <si>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</si>
  <si>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</si>
  <si>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</si>
  <si>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</si>
  <si>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</si>
  <si>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</si>
  <si>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</si>
  <si>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</si>
  <si>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</si>
  <si>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</si>
  <si>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</si>
  <si>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</si>
  <si>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</si>
  <si>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</si>
  <si>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</si>
  <si>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</si>
  <si>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</si>
  <si>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</si>
  <si>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</si>
  <si>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</si>
  <si>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</si>
  <si>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</si>
  <si>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</si>
  <si>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</si>
  <si>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</si>
  <si>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</si>
  <si>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</si>
  <si>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</si>
  <si>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</si>
  <si>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</si>
  <si>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</si>
  <si>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</si>
  <si>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</si>
  <si>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</si>
  <si>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</si>
  <si>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</si>
  <si>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</si>
  <si>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</si>
  <si>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</si>
  <si>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</si>
  <si>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</si>
  <si>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</si>
  <si>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Nr</t>
  </si>
  <si>
    <t>Emertimi</t>
  </si>
  <si>
    <t>Sasia</t>
  </si>
  <si>
    <t>Gjendje</t>
  </si>
  <si>
    <t>Shtesa</t>
  </si>
  <si>
    <t>Pakesime</t>
  </si>
  <si>
    <t>Mjete transporti</t>
  </si>
  <si>
    <t>Ndertime</t>
  </si>
  <si>
    <t>Makineri,paisje</t>
  </si>
  <si>
    <t>kompjuterike</t>
  </si>
  <si>
    <t>Zyre</t>
  </si>
  <si>
    <t xml:space="preserve">             TOTALI</t>
  </si>
  <si>
    <t>Te punesuar mesatarisht per vitin 2011:</t>
  </si>
  <si>
    <t>Viti 2011</t>
  </si>
  <si>
    <t>Subjekti</t>
  </si>
  <si>
    <t>NIPT</t>
  </si>
  <si>
    <t>Nr.</t>
  </si>
  <si>
    <t>Lloji automjetit</t>
  </si>
  <si>
    <t>Kapaciteti</t>
  </si>
  <si>
    <t>Targa</t>
  </si>
  <si>
    <t>Vlera</t>
  </si>
  <si>
    <t>etj</t>
  </si>
  <si>
    <t>Fluksi parave nga veprimtaritë e shfrytëzimit</t>
  </si>
  <si>
    <t xml:space="preserve">Fitimi para tatimit </t>
  </si>
  <si>
    <t>Rregullimet për :</t>
  </si>
  <si>
    <t xml:space="preserve"> Amortizimin </t>
  </si>
  <si>
    <t xml:space="preserve">Të ardhura nga interesat </t>
  </si>
  <si>
    <t xml:space="preserve">Shpenzime për interesa </t>
  </si>
  <si>
    <t xml:space="preserve">(Rritje) /rënie në tepricën  e kerkesave te arketueshme nga aktiviteti, si dhe kerkesave te arketueshme te tjera </t>
  </si>
  <si>
    <t xml:space="preserve">(Rritje) /rënie ne tepricën e inventarit </t>
  </si>
  <si>
    <t xml:space="preserve">(Rritje) / rënie në tepricën detyrimeve, për t`u paguar nga aktiviteti  </t>
  </si>
  <si>
    <t>Tatim fitimi i paguar</t>
  </si>
  <si>
    <t xml:space="preserve">Blerja e  aktiveve afatgjata materiale </t>
  </si>
  <si>
    <t xml:space="preserve">Të ardhura nga shitja e paisjeve </t>
  </si>
  <si>
    <t xml:space="preserve">Interesi i arkëtuar </t>
  </si>
  <si>
    <t xml:space="preserve">Dividendët e arkëtuar </t>
  </si>
  <si>
    <t xml:space="preserve">Te ardhura nga emetimi i kapitalit aksionar </t>
  </si>
  <si>
    <t xml:space="preserve">Te ardhura nga huamarrje afatgjata </t>
  </si>
  <si>
    <t xml:space="preserve">Pagesat e detyrimeve të huave / qirasë financiare </t>
  </si>
  <si>
    <t xml:space="preserve">Dividendë të paguar </t>
  </si>
  <si>
    <t xml:space="preserve">Rritja / (renia)  neto e mjeteve monetare </t>
  </si>
  <si>
    <t>Mjete monetare ne fillim te periudhes kontabel</t>
  </si>
  <si>
    <t xml:space="preserve">Mjete monetare ne fund te periudhes kontabel </t>
  </si>
  <si>
    <t>Para neto e perdorur ne aktivitetet financiare</t>
  </si>
  <si>
    <t xml:space="preserve">Paraja  neto,  e perdorur ne aktivitetet e investuese </t>
  </si>
  <si>
    <t xml:space="preserve">Paraja neto nga aktivitetet e shfrytezimit </t>
  </si>
  <si>
    <t xml:space="preserve">Fluksi i parave  nga veprimtarite e investuese </t>
  </si>
  <si>
    <t>Interesi i arketuar / (paguar)</t>
  </si>
  <si>
    <t xml:space="preserve">Shenime </t>
  </si>
  <si>
    <t xml:space="preserve">Mjetet monetare </t>
  </si>
  <si>
    <t>Vlera ne arke</t>
  </si>
  <si>
    <t xml:space="preserve">a.1 -Vlera ne leke ne arke </t>
  </si>
  <si>
    <t xml:space="preserve">a.2 - Vlera ne euro ne arke </t>
  </si>
  <si>
    <t>Vlera ne banke</t>
  </si>
  <si>
    <t>b.1 - Vlera ne lek ne banke</t>
  </si>
  <si>
    <t xml:space="preserve">b.2 - Vlera ne euro ne banke </t>
  </si>
  <si>
    <t>Shpenzime noteriale</t>
  </si>
  <si>
    <t>Kerkesa per tu arketuar</t>
  </si>
  <si>
    <t>Parapagime Tatim Fitimi</t>
  </si>
  <si>
    <t>TVSH e zbritshme</t>
  </si>
  <si>
    <t>Parapagimet</t>
  </si>
  <si>
    <t>Mane TCI</t>
  </si>
  <si>
    <t xml:space="preserve">   Furnitori</t>
  </si>
  <si>
    <r>
      <t xml:space="preserve">   Premium</t>
    </r>
    <r>
      <rPr>
        <b/>
        <sz val="10"/>
        <color indexed="8"/>
        <rFont val="Book Antiqua"/>
        <family val="1"/>
      </rPr>
      <t xml:space="preserve"> </t>
    </r>
    <r>
      <rPr>
        <sz val="10"/>
        <color indexed="8"/>
        <rFont val="Book Antiqua"/>
        <family val="1"/>
      </rPr>
      <t xml:space="preserve">Print                 </t>
    </r>
  </si>
  <si>
    <t xml:space="preserve">   Totali</t>
  </si>
  <si>
    <t>Shpenzime per sherbime</t>
  </si>
  <si>
    <t>Fitim nga konvertimi/kursi i kembimit</t>
  </si>
  <si>
    <t>Fitim/(Humbja e periudhes</t>
  </si>
  <si>
    <t xml:space="preserve">Shpenzim Tatim Fitimi </t>
  </si>
  <si>
    <t>Te ardhura Total</t>
  </si>
  <si>
    <t>Shpenzime Total</t>
  </si>
  <si>
    <t>Fitim (Humbja) para tatimit</t>
  </si>
  <si>
    <t>Minus Shpenzime te Panjohura Fiskale</t>
  </si>
  <si>
    <t>Fitim (Humbja) fiskale para tatimit</t>
  </si>
  <si>
    <t>Tatim Fitimi 10%</t>
  </si>
  <si>
    <t>Fitim (Humbja) Neto</t>
  </si>
  <si>
    <t>Minus humbje e mbartur</t>
  </si>
  <si>
    <t>Palet e lidhura</t>
  </si>
  <si>
    <t>Debi</t>
  </si>
  <si>
    <t>Kredi</t>
  </si>
  <si>
    <t>Furnitore</t>
  </si>
  <si>
    <t>Llogari financimi</t>
  </si>
  <si>
    <t>Llogari kapitali</t>
  </si>
  <si>
    <t>Total</t>
  </si>
  <si>
    <t>Parapagime</t>
  </si>
  <si>
    <t>Fitim humbja mbartur</t>
  </si>
  <si>
    <t>Fitimi periudhes</t>
  </si>
  <si>
    <t>Paga</t>
  </si>
  <si>
    <t>Tatim per pagat</t>
  </si>
  <si>
    <t>Ortaku</t>
  </si>
  <si>
    <t>Kredi afatgjate</t>
  </si>
  <si>
    <t>Kredi afatshkurter</t>
  </si>
  <si>
    <t>Parapagime furnitore</t>
  </si>
  <si>
    <t>Parapagime kliente</t>
  </si>
  <si>
    <t>Sigurime shoqerore</t>
  </si>
  <si>
    <t>Parapagim tatim fitimi</t>
  </si>
  <si>
    <t>TVSh</t>
  </si>
  <si>
    <t>Banka leke</t>
  </si>
  <si>
    <t>Banka euro</t>
  </si>
  <si>
    <t>Arka lek</t>
  </si>
  <si>
    <t>Depozita</t>
  </si>
  <si>
    <t>Kosto financiare te llogaritura</t>
  </si>
  <si>
    <t>Pozicioni më 31 dhjetor 2012</t>
  </si>
  <si>
    <t>b.3 - Depozita afatshkurtra</t>
  </si>
  <si>
    <t>Shpenzime per taksa te tjera</t>
  </si>
  <si>
    <t>Shpenzime telekomunikacioni</t>
  </si>
  <si>
    <t>Shpenzime te tjera</t>
  </si>
  <si>
    <t>Te ardhura nga interesat</t>
  </si>
  <si>
    <t>Te ardhura nga komisionet</t>
  </si>
  <si>
    <t>Humbje nga korvetimi/kurset e kembimit</t>
  </si>
  <si>
    <t>Pamorama Group</t>
  </si>
  <si>
    <t>Plus Communication</t>
  </si>
  <si>
    <t>UKT</t>
  </si>
  <si>
    <t xml:space="preserve">   Atelier 4</t>
  </si>
  <si>
    <t>Leal - CSE</t>
  </si>
  <si>
    <t>Focus Media</t>
  </si>
  <si>
    <t>Edlira Hyseni</t>
  </si>
  <si>
    <t xml:space="preserve">Pelican Security               </t>
  </si>
  <si>
    <t xml:space="preserve">Phoenix                    </t>
  </si>
  <si>
    <t>Curona Design</t>
  </si>
  <si>
    <t>Tatim mbi te ardhurat personale</t>
  </si>
  <si>
    <t>Kontribute per sigurimet shoqerore</t>
  </si>
  <si>
    <t>Kliente Amb 3</t>
  </si>
  <si>
    <t xml:space="preserve">Hua te tjera </t>
  </si>
  <si>
    <t>Kontributi nga ortaku</t>
  </si>
  <si>
    <t>Produkti ne Proces</t>
  </si>
  <si>
    <t>Investimi Ambasador 3</t>
  </si>
  <si>
    <t>Në Lekë</t>
  </si>
  <si>
    <t>Endrit Alikaj</t>
  </si>
  <si>
    <t>Aktivet Afatgjata Materiale  me vlere fillestare   2012</t>
  </si>
  <si>
    <t>Vlera Kontabel Neto e A.A.Materiale  2012</t>
  </si>
  <si>
    <t>Amortizimi A.A.Materiale   2012</t>
  </si>
  <si>
    <t>Shpenzime per security</t>
  </si>
  <si>
    <t>Shpenzime per pritje dhurata</t>
  </si>
  <si>
    <t>Shpenzime per kancelari</t>
  </si>
  <si>
    <t>Neptuni</t>
  </si>
  <si>
    <t>Sonila Bejtja</t>
  </si>
  <si>
    <t>mh-CCS shpk</t>
  </si>
  <si>
    <t>Albanian Courier</t>
  </si>
  <si>
    <t>Furnitore per sherbime</t>
  </si>
  <si>
    <t>Aktive afatgjate jomateriale ne proces</t>
  </si>
  <si>
    <t>Viti Paraardhes 2012</t>
  </si>
  <si>
    <t>Produkte ne proces</t>
  </si>
  <si>
    <t>Aktive afatgjate materiale ne proces</t>
  </si>
  <si>
    <t>Kliente per aktive afatgjate</t>
  </si>
  <si>
    <t xml:space="preserve">Te drejta dhe detyrimie ndaj ortakeve dhe aksionereve </t>
  </si>
  <si>
    <t>Viti Para-ardhes</t>
  </si>
  <si>
    <t>UED</t>
  </si>
  <si>
    <r>
      <t xml:space="preserve">Viti </t>
    </r>
    <r>
      <rPr>
        <b/>
        <sz val="9"/>
        <color indexed="8"/>
        <rFont val="Book Antiqua"/>
        <family val="1"/>
      </rPr>
      <t>2011</t>
    </r>
  </si>
  <si>
    <t>Silva Studio</t>
  </si>
  <si>
    <t>CEZ  Shperndarje</t>
  </si>
  <si>
    <t>Iliri shpk</t>
  </si>
  <si>
    <t>Canon</t>
  </si>
  <si>
    <t>30.09.2013</t>
  </si>
  <si>
    <t>Shpenzime te llogaritura</t>
  </si>
  <si>
    <t>Vlera monetare ne euro</t>
  </si>
  <si>
    <t>31.12.2013</t>
  </si>
  <si>
    <t xml:space="preserve">   3.b.  Pasqyra e  fluksit te parasë për vitin ushtrimor te mbyllur me 31 Dhjetor 2013</t>
  </si>
  <si>
    <t>Bilanci Kontabel 31 Dhjetor 2013</t>
  </si>
  <si>
    <t>2.  Pasqyra e të ardhurave dhe shpenzimeve. Periudha 1 Janar - 31 Dhjetor 2013</t>
  </si>
  <si>
    <t>.</t>
  </si>
  <si>
    <t>Bilanci Kontabël  31 Dhjetor 2013</t>
  </si>
  <si>
    <t>Huadhenie afatshkurter</t>
  </si>
  <si>
    <t>4.PASQYRA E NDRYSHIMEVE NË KAPITAL PËR VITIN QË MBYLLET MË  31 DHJETOR 2013</t>
  </si>
  <si>
    <t>Pozicioni më 31 dhjetor 2013</t>
  </si>
  <si>
    <r>
      <t>Viti</t>
    </r>
    <r>
      <rPr>
        <b/>
        <sz val="9"/>
        <color indexed="8"/>
        <rFont val="Book Antiqua"/>
        <family val="1"/>
      </rPr>
      <t xml:space="preserve"> Ushtrimor</t>
    </r>
  </si>
  <si>
    <r>
      <t>Viti</t>
    </r>
    <r>
      <rPr>
        <b/>
        <sz val="9"/>
        <color indexed="8"/>
        <rFont val="Book Antiqua"/>
        <family val="1"/>
      </rPr>
      <t xml:space="preserve"> Paraardhës</t>
    </r>
  </si>
  <si>
    <t>List pagesa e kontributeve te sigurimeve shoqerore, shendetsore &amp; Tatimit mbi te Ardhurat nga punesimi</t>
  </si>
  <si>
    <t>6) Muaji</t>
  </si>
  <si>
    <t>7)</t>
  </si>
  <si>
    <t>NR/PUNJ</t>
  </si>
  <si>
    <t>9) Dite kalendarike te punuara te subjekti gjate muajit</t>
  </si>
  <si>
    <t>Paga bruto ne leke</t>
  </si>
  <si>
    <t>Kontribute per sigurimet shoqerore ne leke</t>
  </si>
  <si>
    <t>16) Kontribute per sigurimet shendetsore gjithsej ne leke</t>
  </si>
  <si>
    <t>17) Paga bruto mbi te cilen llogaritet Tatimi mbi te ardhurat nga punesimi</t>
  </si>
  <si>
    <t>18) Tatimi mbi te ardhurat nga punesimi ne leke</t>
  </si>
  <si>
    <t>PAGA NETO</t>
  </si>
  <si>
    <t>Gjithsej</t>
  </si>
  <si>
    <t>11) Mbi te cilen llogariten kontributet</t>
  </si>
  <si>
    <t>12) Gjithsej = (13 + 14 + 15)</t>
  </si>
  <si>
    <t>Nga keto:</t>
  </si>
  <si>
    <t>15) Kontribut shtese</t>
  </si>
  <si>
    <t>13) Punedhenesi</t>
  </si>
  <si>
    <t>14) Punemarresi</t>
  </si>
  <si>
    <t>JANAR</t>
  </si>
  <si>
    <t>ad</t>
  </si>
  <si>
    <t>SHKURT</t>
  </si>
  <si>
    <t>pl</t>
  </si>
  <si>
    <t>MARS</t>
  </si>
  <si>
    <t>PRILL</t>
  </si>
  <si>
    <t>MAJ</t>
  </si>
  <si>
    <t>( Brace )</t>
  </si>
  <si>
    <t>QERSHOR</t>
  </si>
  <si>
    <t>KORRIK</t>
  </si>
  <si>
    <t>GUSHT</t>
  </si>
  <si>
    <t>SHTATOR</t>
  </si>
  <si>
    <t>p</t>
  </si>
  <si>
    <t>TETOR</t>
  </si>
  <si>
    <t>NENTOR</t>
  </si>
  <si>
    <t>DHJETOR</t>
  </si>
  <si>
    <t>qtu2</t>
  </si>
  <si>
    <t>Nr mesatar</t>
  </si>
  <si>
    <t>financa</t>
  </si>
  <si>
    <t>celja</t>
  </si>
  <si>
    <t>2)Statusi I Tatimpaguesit ___________________________________________________(____________)_______________</t>
  </si>
  <si>
    <t>6) Emri Mbiemri</t>
  </si>
  <si>
    <t>7) Numri I Kategorise se Punemarrsit per sigurimet shoqerore</t>
  </si>
  <si>
    <t>8) Dite kalendarike pa pune gjate muajit (e drejta per perfitime nga sigurimet shoqerore)</t>
  </si>
  <si>
    <t>10) Gjithesej</t>
  </si>
  <si>
    <t>Shuma e Faqes</t>
  </si>
  <si>
    <t>Shuma e Mbartur</t>
  </si>
  <si>
    <t>Shuma e transferuar ne faqen nr  ____   ose</t>
  </si>
  <si>
    <t>Totali I Listpageses</t>
  </si>
  <si>
    <t>DEKLAROJ qe:</t>
  </si>
  <si>
    <t>Vertetoj qe:</t>
  </si>
  <si>
    <t>Listepagesa gjithsej mbyllet me nr. Rend 93 dhe ka gjithsej 6  faqe</t>
  </si>
  <si>
    <t>Listpagesa u muar ne dorezim ne Degen e Tatimeve dhe ne daten ________</t>
  </si>
  <si>
    <t>Inspektori I Deges Tatimeve marres ne dorezim</t>
  </si>
  <si>
    <t>JULIAN MANE</t>
  </si>
  <si>
    <t>Palet e Lidhura - Bilanci Kontabël  31 Dhjetor 2013</t>
  </si>
  <si>
    <t>Samir Mane</t>
  </si>
  <si>
    <t>Balfin</t>
  </si>
  <si>
    <t>Tirana Logistic Park</t>
  </si>
  <si>
    <t>Tirana East Gate</t>
  </si>
  <si>
    <t>Skenderbej</t>
  </si>
  <si>
    <t>ALCRED</t>
  </si>
  <si>
    <t>AFG</t>
  </si>
  <si>
    <t>Neptun</t>
  </si>
  <si>
    <t>Neptun Mal Zi</t>
  </si>
  <si>
    <t>MZF</t>
  </si>
  <si>
    <t>BookStore</t>
  </si>
  <si>
    <t>ACREM</t>
  </si>
  <si>
    <t>Kid Zone</t>
  </si>
  <si>
    <t>FINAL</t>
  </si>
  <si>
    <t>Faleminderit</t>
  </si>
  <si>
    <t>Albchrom</t>
  </si>
  <si>
    <t>ACR Holding</t>
  </si>
  <si>
    <t>Neptun Macedonia</t>
  </si>
  <si>
    <t>Balfin Finance BV</t>
  </si>
  <si>
    <t>Neptun Kosove</t>
  </si>
  <si>
    <t>Neptun Serbi</t>
  </si>
  <si>
    <t>Macrem</t>
  </si>
  <si>
    <t>Balfin MK</t>
  </si>
  <si>
    <t>Alba Trade</t>
  </si>
  <si>
    <t>SadKom</t>
  </si>
  <si>
    <t>Te arkëtueshme nga kliente</t>
  </si>
  <si>
    <t>Punime në proces (Kosto ndertimi)</t>
  </si>
  <si>
    <t>Produkte të gatshme ( provizore per zhvleresime - )</t>
  </si>
  <si>
    <t>Parapagesa për furnizime</t>
  </si>
  <si>
    <t>Kapitali që i përket aksionerëve të shoqërise mëmë (vetem per pasq.fin.të kosoliduara)</t>
  </si>
  <si>
    <t>RFZ Building  sh.p.k  :     K82405001V                                            Periudha tatimore  2013</t>
  </si>
  <si>
    <t>2.  Palet e Lidhura</t>
  </si>
  <si>
    <t>Të ardhurat dhe (shpenzimet) nga interesi</t>
  </si>
  <si>
    <t xml:space="preserve">Të ardhurat dhe (shpenzime) të tjera financiare </t>
  </si>
  <si>
    <t>Nj.m.</t>
  </si>
  <si>
    <t>Sasi</t>
  </si>
  <si>
    <t>Çmim</t>
  </si>
  <si>
    <t>Vlere</t>
  </si>
  <si>
    <t>Tvsh</t>
  </si>
  <si>
    <t>Vlefta me TVSH</t>
  </si>
  <si>
    <t>a</t>
  </si>
  <si>
    <t>b</t>
  </si>
  <si>
    <t>c</t>
  </si>
  <si>
    <t>3=(1x2)</t>
  </si>
  <si>
    <t>5=(4+5)</t>
  </si>
  <si>
    <t>cop</t>
  </si>
  <si>
    <t>Total i A.te Qendrushme</t>
  </si>
  <si>
    <t>Aktivet Afatgjata Materiale  me vlere fillestare   2013</t>
  </si>
  <si>
    <t>Pajisje kompjuterike</t>
  </si>
  <si>
    <t>Te tjera</t>
  </si>
  <si>
    <t>Amortizimi A.A.Materiale   2013</t>
  </si>
  <si>
    <t>Makineri,paisje,vegla</t>
  </si>
  <si>
    <t>Vlera Kontabel Neto e A.A.Materiale  2013</t>
  </si>
  <si>
    <t xml:space="preserve">Kosto historike e AAM </t>
  </si>
  <si>
    <t>Amortizimi</t>
  </si>
  <si>
    <t>N/R</t>
  </si>
  <si>
    <t>Gjendje e Aseteve  01/01/2013</t>
  </si>
  <si>
    <t>Shtesa 2013</t>
  </si>
  <si>
    <t>Pakesime 2013</t>
  </si>
  <si>
    <t>Gjendja e Aseteve  31.12.2013</t>
  </si>
  <si>
    <t>GjendjaAmortizimit te akumuluar 01.01.2013</t>
  </si>
  <si>
    <t>GjendjaAmortizimit te akumuluar 31.12.2013</t>
  </si>
  <si>
    <t>Vlera e mbetur 01.01.2013</t>
  </si>
  <si>
    <t xml:space="preserve">% e Amortizimit vjetor </t>
  </si>
  <si>
    <t xml:space="preserve">Vlefta Vjetore e Amortizimit </t>
  </si>
  <si>
    <t>Amortizimi I shtesave 2013</t>
  </si>
  <si>
    <t xml:space="preserve">Totali vjetor I Amortizimit </t>
  </si>
  <si>
    <t xml:space="preserve">Amortizimi Akumulativ </t>
  </si>
  <si>
    <t>A + B</t>
  </si>
  <si>
    <t>A  +B</t>
  </si>
  <si>
    <t>Mjete Transporti</t>
  </si>
  <si>
    <t>Instalime Teknike Spesifike</t>
  </si>
  <si>
    <t>Mobilje,Orendi  &amp; Paisje zyre</t>
  </si>
  <si>
    <t>Paisje &amp; programe informatike</t>
  </si>
  <si>
    <t>Inventari  fizik i Aktiveve te qendrueshme te Trupezuara me 31.12.2013</t>
  </si>
  <si>
    <t>Në ooo/Lekë</t>
  </si>
  <si>
    <t>Viti 2013</t>
  </si>
  <si>
    <t>Viti 2012</t>
  </si>
  <si>
    <t>Shpenzime per sherbime bankare + interesa</t>
  </si>
  <si>
    <t>Adminstratori</t>
  </si>
  <si>
    <t>ne 000/ leke</t>
  </si>
  <si>
    <t>Te punesuar mesatarisht per vitin 2010:</t>
  </si>
  <si>
    <r>
      <t xml:space="preserve">Shenim: </t>
    </r>
    <r>
      <rPr>
        <sz val="10"/>
        <rFont val="Arial"/>
        <family val="2"/>
      </rPr>
      <t>Kjo pasqyre plotesohet edhe on-line.</t>
    </r>
  </si>
  <si>
    <t>Shoqeria___RFZ Building  sh.p.k J___________</t>
  </si>
  <si>
    <t>NIPTI___K82405001V  ____________________</t>
  </si>
  <si>
    <t>Shoqeria___RFZ Building  sh.p.k ___________</t>
  </si>
  <si>
    <t>ne Leke</t>
  </si>
  <si>
    <t>Huate Bankare</t>
  </si>
  <si>
    <t xml:space="preserve">Furnitore Mallra </t>
  </si>
  <si>
    <t xml:space="preserve">Paga dhe shperblime </t>
  </si>
  <si>
    <t>Endrit ALIKAJ</t>
  </si>
  <si>
    <t xml:space="preserve">Endrit ALIKAJ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</si>
</sst>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-* #,##0.00_L_e_k_-;\-* #,##0.00_L_e_k_-;_-* &quot;-&quot;??_L_e_k_-;_-@_-"/>
    <numFmt numFmtId="167" formatCode="_-* #,##0_L_e_k_-;\-* #,##0_L_e_k_-;_-* &quot;-&quot;??_L_e_k_-;_-@_-"/>
  </numFmts>
  <fonts count="81">
    <font>
      <sz val="10"/>
      <name val="Arial"/>
    </font>
    <font>
      <sz val="10"/>
      <name val="Arial"/>
      <family val="2"/>
    </font>
    <font>
      <sz val="10"/>
      <color indexed="8"/>
      <name val="Book Antiqua"/>
      <family val="1"/>
    </font>
    <font>
      <b/>
      <sz val="9"/>
      <color indexed="8"/>
      <name val="Book Antiqua"/>
      <family val="1"/>
    </font>
    <font>
      <sz val="9"/>
      <color indexed="8"/>
      <name val="Book Antiqua"/>
      <family val="1"/>
    </font>
    <font>
      <sz val="8"/>
      <color indexed="8"/>
      <name val="Book Antiqua"/>
      <family val="1"/>
    </font>
    <font>
      <b/>
      <sz val="8"/>
      <color indexed="8"/>
      <name val="Book Antiqua"/>
      <family val="1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i/>
      <sz val="12"/>
      <color indexed="8"/>
      <name val="Book Antiqua"/>
      <family val="1"/>
    </font>
    <font>
      <sz val="8"/>
      <name val="Arial"/>
      <family val="2"/>
    </font>
    <font>
      <b/>
      <sz val="9"/>
      <name val="Book Antiqua"/>
      <family val="1"/>
    </font>
    <font>
      <sz val="9"/>
      <name val="Book Antiqua"/>
      <family val="1"/>
    </font>
    <font>
      <i/>
      <sz val="9"/>
      <name val="Book Antiqua"/>
      <family val="1"/>
    </font>
    <font>
      <i/>
      <sz val="9"/>
      <color indexed="8"/>
      <name val="Book Antiqua"/>
      <family val="1"/>
    </font>
    <font>
      <sz val="10"/>
      <name val="Book Antiqua"/>
      <family val="1"/>
    </font>
    <font>
      <sz val="6"/>
      <color indexed="8"/>
      <name val="Book Antiqua"/>
      <family val="1"/>
    </font>
    <font>
      <b/>
      <i/>
      <sz val="9"/>
      <color indexed="8"/>
      <name val="Book Antiqua"/>
      <family val="1"/>
    </font>
    <font>
      <b/>
      <sz val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2"/>
      <color indexed="10"/>
      <name val="Book Antiqua"/>
      <family val="1"/>
    </font>
    <font>
      <sz val="12"/>
      <color indexed="12"/>
      <name val="Book Antiqua"/>
      <family val="1"/>
    </font>
    <font>
      <sz val="12"/>
      <name val="Arial"/>
      <family val="2"/>
    </font>
    <font>
      <b/>
      <sz val="14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indexed="8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u/>
      <sz val="12"/>
      <name val="Times New Roman"/>
      <family val="1"/>
    </font>
    <font>
      <b/>
      <i/>
      <sz val="12"/>
      <name val="Book Antiqua"/>
      <family val="1"/>
    </font>
    <font>
      <i/>
      <sz val="12"/>
      <name val="Book Antiqua"/>
      <family val="1"/>
    </font>
    <font>
      <b/>
      <sz val="13"/>
      <name val="Book Antiqua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0"/>
      <name val="Book Antiqua"/>
      <family val="1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theme="1"/>
      <name val="Arial"/>
      <family val="2"/>
    </font>
    <font>
      <sz val="8"/>
      <color theme="1"/>
      <name val="Book Antiqua"/>
      <family val="1"/>
    </font>
    <font>
      <b/>
      <sz val="10"/>
      <color theme="1"/>
      <name val="Arial"/>
      <family val="2"/>
    </font>
    <font>
      <sz val="10"/>
      <color rgb="FF000000"/>
      <name val="Book Antiqua"/>
      <family val="1"/>
    </font>
    <font>
      <b/>
      <sz val="10"/>
      <color rgb="FF000000"/>
      <name val="Book Antiqua"/>
      <family val="1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Book Antiqua"/>
      <family val="1"/>
    </font>
    <font>
      <b/>
      <sz val="10"/>
      <color theme="1"/>
      <name val="Times New Roman"/>
      <family val="1"/>
    </font>
    <font>
      <sz val="9"/>
      <color rgb="FFFF0000"/>
      <name val="Book Antiqua"/>
      <family val="1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u/>
      <sz val="11"/>
      <color theme="10"/>
      <name val="Calibri"/>
      <family val="2"/>
    </font>
    <font>
      <sz val="11"/>
      <color rgb="FFFF0000"/>
      <name val="Times New Roman"/>
      <family val="1"/>
    </font>
    <font>
      <sz val="10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61" fillId="0" borderId="0"/>
    <xf numFmtId="0" fontId="1" fillId="0" borderId="0"/>
    <xf numFmtId="0" fontId="61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</cellStyleXfs>
  <cellXfs count="863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/>
    <xf numFmtId="3" fontId="3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3" fontId="0" fillId="0" borderId="0" xfId="0" applyNumberFormat="1"/>
    <xf numFmtId="3" fontId="4" fillId="0" borderId="0" xfId="0" applyNumberFormat="1" applyFont="1"/>
    <xf numFmtId="3" fontId="16" fillId="0" borderId="0" xfId="0" applyNumberFormat="1" applyFont="1"/>
    <xf numFmtId="3" fontId="17" fillId="0" borderId="0" xfId="0" applyNumberFormat="1" applyFont="1"/>
    <xf numFmtId="3" fontId="2" fillId="0" borderId="0" xfId="0" applyNumberFormat="1" applyFont="1" applyAlignment="1">
      <alignment horizontal="center" wrapText="1"/>
    </xf>
    <xf numFmtId="164" fontId="0" fillId="0" borderId="0" xfId="1" applyNumberFormat="1" applyFont="1"/>
    <xf numFmtId="0" fontId="8" fillId="0" borderId="1" xfId="0" applyFont="1" applyBorder="1"/>
    <xf numFmtId="0" fontId="1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/>
    <xf numFmtId="0" fontId="19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164" fontId="0" fillId="0" borderId="0" xfId="0" applyNumberFormat="1"/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3" fontId="4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164" fontId="5" fillId="0" borderId="1" xfId="1" applyNumberFormat="1" applyFont="1" applyBorder="1" applyAlignment="1">
      <alignment wrapText="1"/>
    </xf>
    <xf numFmtId="164" fontId="5" fillId="0" borderId="1" xfId="1" applyNumberFormat="1" applyFont="1" applyBorder="1"/>
    <xf numFmtId="164" fontId="4" fillId="0" borderId="1" xfId="1" applyNumberFormat="1" applyFont="1" applyBorder="1" applyAlignment="1">
      <alignment wrapText="1"/>
    </xf>
    <xf numFmtId="164" fontId="6" fillId="0" borderId="1" xfId="1" applyNumberFormat="1" applyFont="1" applyBorder="1"/>
    <xf numFmtId="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1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3" fontId="14" fillId="2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/>
    <xf numFmtId="164" fontId="7" fillId="0" borderId="1" xfId="1" applyNumberFormat="1" applyFont="1" applyBorder="1"/>
    <xf numFmtId="0" fontId="8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/>
    <xf numFmtId="164" fontId="6" fillId="3" borderId="1" xfId="1" applyNumberFormat="1" applyFont="1" applyFill="1" applyBorder="1"/>
    <xf numFmtId="3" fontId="5" fillId="3" borderId="1" xfId="0" applyNumberFormat="1" applyFont="1" applyFill="1" applyBorder="1" applyAlignment="1">
      <alignment wrapText="1"/>
    </xf>
    <xf numFmtId="3" fontId="6" fillId="3" borderId="1" xfId="0" applyNumberFormat="1" applyFont="1" applyFill="1" applyBorder="1"/>
    <xf numFmtId="0" fontId="15" fillId="0" borderId="0" xfId="0" applyFont="1" applyBorder="1"/>
    <xf numFmtId="3" fontId="0" fillId="0" borderId="0" xfId="0" applyNumberFormat="1" applyBorder="1"/>
    <xf numFmtId="0" fontId="0" fillId="0" borderId="0" xfId="0" applyBorder="1"/>
    <xf numFmtId="0" fontId="4" fillId="0" borderId="2" xfId="0" applyFont="1" applyBorder="1" applyAlignment="1">
      <alignment wrapText="1"/>
    </xf>
    <xf numFmtId="0" fontId="0" fillId="0" borderId="2" xfId="0" applyBorder="1"/>
    <xf numFmtId="0" fontId="4" fillId="0" borderId="0" xfId="0" applyFont="1" applyBorder="1" applyAlignment="1">
      <alignment horizontal="center" wrapText="1"/>
    </xf>
    <xf numFmtId="3" fontId="12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wrapText="1"/>
    </xf>
    <xf numFmtId="3" fontId="12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wrapText="1"/>
    </xf>
    <xf numFmtId="3" fontId="63" fillId="0" borderId="0" xfId="0" applyNumberFormat="1" applyFont="1" applyAlignment="1">
      <alignment horizontal="center" wrapText="1"/>
    </xf>
    <xf numFmtId="164" fontId="64" fillId="0" borderId="0" xfId="1" applyNumberFormat="1" applyFont="1"/>
    <xf numFmtId="164" fontId="65" fillId="0" borderId="1" xfId="1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164" fontId="65" fillId="0" borderId="1" xfId="1" applyNumberFormat="1" applyFont="1" applyBorder="1"/>
    <xf numFmtId="164" fontId="66" fillId="0" borderId="0" xfId="1" applyNumberFormat="1" applyFont="1"/>
    <xf numFmtId="164" fontId="26" fillId="0" borderId="0" xfId="1" applyNumberFormat="1" applyFont="1"/>
    <xf numFmtId="0" fontId="67" fillId="0" borderId="0" xfId="0" applyFont="1" applyAlignment="1">
      <alignment horizontal="justify"/>
    </xf>
    <xf numFmtId="164" fontId="67" fillId="0" borderId="0" xfId="1" applyNumberFormat="1" applyFont="1" applyAlignment="1">
      <alignment horizontal="justify"/>
    </xf>
    <xf numFmtId="0" fontId="25" fillId="0" borderId="0" xfId="0" applyFont="1"/>
    <xf numFmtId="0" fontId="68" fillId="0" borderId="8" xfId="0" applyFont="1" applyBorder="1" applyAlignment="1">
      <alignment horizontal="justify"/>
    </xf>
    <xf numFmtId="164" fontId="26" fillId="0" borderId="8" xfId="0" applyNumberFormat="1" applyFont="1" applyBorder="1"/>
    <xf numFmtId="0" fontId="67" fillId="0" borderId="0" xfId="0" applyFont="1" applyAlignment="1">
      <alignment horizontal="left" vertical="top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6" fillId="0" borderId="0" xfId="0" applyFont="1"/>
    <xf numFmtId="0" fontId="25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right"/>
    </xf>
    <xf numFmtId="2" fontId="31" fillId="0" borderId="0" xfId="28" applyNumberFormat="1" applyFont="1" applyBorder="1" applyAlignment="1">
      <alignment wrapText="1"/>
    </xf>
    <xf numFmtId="0" fontId="26" fillId="0" borderId="9" xfId="28" applyFont="1" applyBorder="1" applyAlignment="1">
      <alignment horizontal="center"/>
    </xf>
    <xf numFmtId="2" fontId="32" fillId="0" borderId="10" xfId="28" applyNumberFormat="1" applyFont="1" applyBorder="1" applyAlignment="1">
      <alignment horizontal="center" wrapText="1"/>
    </xf>
    <xf numFmtId="0" fontId="33" fillId="0" borderId="11" xfId="28" applyFont="1" applyBorder="1" applyAlignment="1">
      <alignment horizontal="center" vertical="center" wrapText="1"/>
    </xf>
    <xf numFmtId="0" fontId="26" fillId="0" borderId="12" xfId="28" applyFont="1" applyBorder="1" applyAlignment="1">
      <alignment horizontal="center"/>
    </xf>
    <xf numFmtId="0" fontId="26" fillId="0" borderId="5" xfId="28" applyFont="1" applyBorder="1" applyAlignment="1">
      <alignment horizontal="left" wrapText="1"/>
    </xf>
    <xf numFmtId="0" fontId="26" fillId="0" borderId="5" xfId="28" applyFont="1" applyBorder="1" applyAlignment="1">
      <alignment horizontal="left"/>
    </xf>
    <xf numFmtId="0" fontId="26" fillId="0" borderId="13" xfId="28" applyFont="1" applyBorder="1" applyAlignment="1">
      <alignment horizontal="left"/>
    </xf>
    <xf numFmtId="0" fontId="25" fillId="0" borderId="14" xfId="28" applyFont="1" applyBorder="1" applyAlignment="1">
      <alignment horizontal="center"/>
    </xf>
    <xf numFmtId="0" fontId="25" fillId="0" borderId="15" xfId="28" applyFont="1" applyBorder="1" applyAlignment="1">
      <alignment horizontal="left" wrapText="1"/>
    </xf>
    <xf numFmtId="0" fontId="26" fillId="0" borderId="1" xfId="28" applyFont="1" applyBorder="1" applyAlignment="1">
      <alignment horizontal="left"/>
    </xf>
    <xf numFmtId="0" fontId="26" fillId="0" borderId="16" xfId="28" applyFont="1" applyBorder="1" applyAlignment="1">
      <alignment horizontal="left"/>
    </xf>
    <xf numFmtId="0" fontId="25" fillId="0" borderId="17" xfId="28" applyFont="1" applyBorder="1" applyAlignment="1">
      <alignment horizontal="center"/>
    </xf>
    <xf numFmtId="0" fontId="29" fillId="0" borderId="15" xfId="28" applyFont="1" applyBorder="1" applyAlignment="1">
      <alignment horizontal="left" wrapText="1"/>
    </xf>
    <xf numFmtId="0" fontId="26" fillId="0" borderId="6" xfId="28" applyFont="1" applyBorder="1" applyAlignment="1">
      <alignment horizontal="center"/>
    </xf>
    <xf numFmtId="0" fontId="26" fillId="0" borderId="15" xfId="28" applyFont="1" applyBorder="1" applyAlignment="1">
      <alignment horizontal="left" wrapText="1"/>
    </xf>
    <xf numFmtId="0" fontId="25" fillId="0" borderId="18" xfId="28" applyFont="1" applyBorder="1" applyAlignment="1">
      <alignment horizontal="left" wrapText="1"/>
    </xf>
    <xf numFmtId="0" fontId="25" fillId="0" borderId="19" xfId="28" applyFont="1" applyBorder="1" applyAlignment="1">
      <alignment horizontal="center"/>
    </xf>
    <xf numFmtId="0" fontId="25" fillId="0" borderId="20" xfId="28" applyFont="1" applyBorder="1" applyAlignment="1">
      <alignment horizontal="left" wrapText="1"/>
    </xf>
    <xf numFmtId="0" fontId="26" fillId="0" borderId="6" xfId="28" applyFont="1" applyBorder="1" applyAlignment="1">
      <alignment horizontal="center" vertical="center"/>
    </xf>
    <xf numFmtId="0" fontId="26" fillId="0" borderId="17" xfId="28" applyFont="1" applyBorder="1" applyAlignment="1">
      <alignment horizontal="center" vertical="center"/>
    </xf>
    <xf numFmtId="0" fontId="25" fillId="0" borderId="15" xfId="28" applyFont="1" applyBorder="1" applyAlignment="1">
      <alignment horizontal="center" wrapText="1"/>
    </xf>
    <xf numFmtId="0" fontId="26" fillId="0" borderId="14" xfId="28" applyFont="1" applyBorder="1" applyAlignment="1">
      <alignment horizontal="center"/>
    </xf>
    <xf numFmtId="0" fontId="27" fillId="0" borderId="1" xfId="28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0" fontId="25" fillId="0" borderId="1" xfId="0" applyFont="1" applyBorder="1" applyAlignment="1">
      <alignment horizontal="left"/>
    </xf>
    <xf numFmtId="0" fontId="26" fillId="0" borderId="17" xfId="28" applyFont="1" applyBorder="1" applyAlignment="1">
      <alignment horizontal="center"/>
    </xf>
    <xf numFmtId="0" fontId="26" fillId="0" borderId="1" xfId="28" applyFont="1" applyBorder="1" applyAlignment="1">
      <alignment horizontal="left" wrapText="1"/>
    </xf>
    <xf numFmtId="0" fontId="26" fillId="0" borderId="19" xfId="28" applyFont="1" applyBorder="1" applyAlignment="1">
      <alignment horizontal="center"/>
    </xf>
    <xf numFmtId="0" fontId="26" fillId="0" borderId="18" xfId="28" applyFont="1" applyBorder="1" applyAlignment="1">
      <alignment horizontal="left" wrapText="1"/>
    </xf>
    <xf numFmtId="0" fontId="26" fillId="0" borderId="7" xfId="28" applyFont="1" applyBorder="1" applyAlignment="1">
      <alignment horizontal="center"/>
    </xf>
    <xf numFmtId="0" fontId="26" fillId="0" borderId="3" xfId="28" applyFont="1" applyBorder="1" applyAlignment="1">
      <alignment horizontal="left" wrapText="1"/>
    </xf>
    <xf numFmtId="0" fontId="26" fillId="0" borderId="3" xfId="28" applyFont="1" applyBorder="1" applyAlignment="1">
      <alignment horizontal="left"/>
    </xf>
    <xf numFmtId="0" fontId="26" fillId="0" borderId="21" xfId="28" applyFont="1" applyBorder="1" applyAlignment="1">
      <alignment horizontal="left"/>
    </xf>
    <xf numFmtId="0" fontId="26" fillId="0" borderId="0" xfId="28" applyFont="1" applyBorder="1" applyAlignment="1">
      <alignment horizontal="center"/>
    </xf>
    <xf numFmtId="0" fontId="26" fillId="0" borderId="0" xfId="28" applyFont="1" applyBorder="1" applyAlignment="1">
      <alignment horizontal="left" wrapText="1"/>
    </xf>
    <xf numFmtId="0" fontId="26" fillId="0" borderId="0" xfId="28" applyFont="1" applyBorder="1" applyAlignment="1">
      <alignment horizontal="left"/>
    </xf>
    <xf numFmtId="164" fontId="69" fillId="0" borderId="0" xfId="2" applyNumberFormat="1" applyFont="1"/>
    <xf numFmtId="164" fontId="0" fillId="0" borderId="0" xfId="2" applyNumberFormat="1" applyFont="1"/>
    <xf numFmtId="0" fontId="10" fillId="0" borderId="9" xfId="28" applyFont="1" applyBorder="1"/>
    <xf numFmtId="2" fontId="32" fillId="0" borderId="9" xfId="28" applyNumberFormat="1" applyFont="1" applyBorder="1" applyAlignment="1">
      <alignment horizontal="center" wrapText="1"/>
    </xf>
    <xf numFmtId="0" fontId="33" fillId="0" borderId="4" xfId="28" applyFont="1" applyBorder="1" applyAlignment="1">
      <alignment horizontal="center"/>
    </xf>
    <xf numFmtId="0" fontId="33" fillId="0" borderId="5" xfId="28" applyFont="1" applyBorder="1" applyAlignment="1">
      <alignment horizontal="left" wrapText="1"/>
    </xf>
    <xf numFmtId="0" fontId="33" fillId="0" borderId="5" xfId="28" applyFont="1" applyBorder="1" applyAlignment="1">
      <alignment horizontal="left"/>
    </xf>
    <xf numFmtId="0" fontId="33" fillId="0" borderId="13" xfId="28" applyFont="1" applyBorder="1" applyAlignment="1">
      <alignment horizontal="left"/>
    </xf>
    <xf numFmtId="0" fontId="10" fillId="0" borderId="6" xfId="28" applyFont="1" applyBorder="1" applyAlignment="1">
      <alignment horizontal="left"/>
    </xf>
    <xf numFmtId="0" fontId="10" fillId="0" borderId="1" xfId="29" applyFont="1" applyFill="1" applyBorder="1" applyAlignment="1">
      <alignment horizontal="left" wrapText="1"/>
    </xf>
    <xf numFmtId="0" fontId="33" fillId="0" borderId="1" xfId="28" applyFont="1" applyBorder="1" applyAlignment="1">
      <alignment horizontal="left"/>
    </xf>
    <xf numFmtId="0" fontId="33" fillId="0" borderId="16" xfId="28" applyFont="1" applyBorder="1" applyAlignment="1">
      <alignment horizontal="left"/>
    </xf>
    <xf numFmtId="0" fontId="10" fillId="0" borderId="1" xfId="28" applyFont="1" applyBorder="1" applyAlignment="1">
      <alignment horizontal="left" wrapText="1"/>
    </xf>
    <xf numFmtId="0" fontId="33" fillId="0" borderId="6" xfId="28" applyFont="1" applyBorder="1" applyAlignment="1">
      <alignment horizontal="center"/>
    </xf>
    <xf numFmtId="0" fontId="33" fillId="0" borderId="1" xfId="28" applyFont="1" applyBorder="1" applyAlignment="1">
      <alignment horizontal="left" wrapText="1"/>
    </xf>
    <xf numFmtId="164" fontId="33" fillId="0" borderId="1" xfId="2" applyNumberFormat="1" applyFont="1" applyBorder="1" applyAlignment="1">
      <alignment horizontal="left"/>
    </xf>
    <xf numFmtId="0" fontId="10" fillId="0" borderId="6" xfId="28" applyFont="1" applyBorder="1" applyAlignment="1">
      <alignment horizontal="center"/>
    </xf>
    <xf numFmtId="164" fontId="10" fillId="0" borderId="1" xfId="2" applyNumberFormat="1" applyFont="1" applyBorder="1" applyAlignment="1">
      <alignment horizontal="left"/>
    </xf>
    <xf numFmtId="164" fontId="33" fillId="0" borderId="1" xfId="2" applyNumberFormat="1" applyFont="1" applyBorder="1" applyAlignment="1">
      <alignment horizontal="right"/>
    </xf>
    <xf numFmtId="0" fontId="10" fillId="0" borderId="1" xfId="28" applyFont="1" applyBorder="1" applyAlignment="1">
      <alignment horizontal="left"/>
    </xf>
    <xf numFmtId="164" fontId="33" fillId="0" borderId="1" xfId="2" applyNumberFormat="1" applyFont="1" applyBorder="1" applyAlignment="1">
      <alignment horizontal="left" wrapText="1"/>
    </xf>
    <xf numFmtId="0" fontId="10" fillId="0" borderId="6" xfId="28" applyFont="1" applyFill="1" applyBorder="1" applyAlignment="1">
      <alignment horizontal="center"/>
    </xf>
    <xf numFmtId="164" fontId="33" fillId="0" borderId="1" xfId="28" applyNumberFormat="1" applyFont="1" applyBorder="1" applyAlignment="1">
      <alignment horizontal="left"/>
    </xf>
    <xf numFmtId="0" fontId="10" fillId="0" borderId="22" xfId="0" applyFont="1" applyBorder="1"/>
    <xf numFmtId="0" fontId="33" fillId="0" borderId="0" xfId="0" applyFont="1" applyBorder="1"/>
    <xf numFmtId="0" fontId="10" fillId="0" borderId="0" xfId="0" applyFont="1" applyBorder="1"/>
    <xf numFmtId="0" fontId="33" fillId="0" borderId="18" xfId="28" applyFont="1" applyBorder="1" applyAlignment="1">
      <alignment horizontal="center" vertical="center" wrapText="1"/>
    </xf>
    <xf numFmtId="0" fontId="33" fillId="0" borderId="23" xfId="28" applyFont="1" applyBorder="1" applyAlignment="1">
      <alignment horizontal="center" vertical="center" wrapText="1"/>
    </xf>
    <xf numFmtId="0" fontId="33" fillId="0" borderId="6" xfId="28" applyFont="1" applyBorder="1"/>
    <xf numFmtId="0" fontId="10" fillId="0" borderId="6" xfId="0" applyFont="1" applyBorder="1"/>
    <xf numFmtId="0" fontId="10" fillId="0" borderId="6" xfId="28" applyFont="1" applyBorder="1"/>
    <xf numFmtId="0" fontId="10" fillId="0" borderId="7" xfId="28" applyFont="1" applyBorder="1"/>
    <xf numFmtId="0" fontId="33" fillId="0" borderId="3" xfId="28" applyFont="1" applyBorder="1" applyAlignment="1">
      <alignment horizontal="left"/>
    </xf>
    <xf numFmtId="0" fontId="10" fillId="0" borderId="3" xfId="28" applyFont="1" applyBorder="1" applyAlignment="1">
      <alignment horizontal="left"/>
    </xf>
    <xf numFmtId="0" fontId="33" fillId="0" borderId="21" xfId="28" applyFont="1" applyBorder="1" applyAlignment="1">
      <alignment horizontal="left"/>
    </xf>
    <xf numFmtId="0" fontId="10" fillId="0" borderId="0" xfId="0" applyFont="1"/>
    <xf numFmtId="0" fontId="33" fillId="0" borderId="0" xfId="28" applyFont="1" applyBorder="1" applyAlignment="1">
      <alignment horizontal="left"/>
    </xf>
    <xf numFmtId="0" fontId="36" fillId="0" borderId="0" xfId="28" applyFont="1" applyBorder="1" applyAlignment="1">
      <alignment horizontal="left"/>
    </xf>
    <xf numFmtId="0" fontId="0" fillId="0" borderId="1" xfId="0" applyBorder="1"/>
    <xf numFmtId="0" fontId="25" fillId="0" borderId="1" xfId="0" applyFont="1" applyBorder="1"/>
    <xf numFmtId="0" fontId="25" fillId="0" borderId="11" xfId="0" applyFont="1" applyFill="1" applyBorder="1"/>
    <xf numFmtId="0" fontId="0" fillId="0" borderId="1" xfId="0" applyFill="1" applyBorder="1"/>
    <xf numFmtId="3" fontId="26" fillId="0" borderId="1" xfId="0" applyNumberFormat="1" applyFont="1" applyBorder="1"/>
    <xf numFmtId="0" fontId="26" fillId="0" borderId="9" xfId="0" applyFont="1" applyBorder="1"/>
    <xf numFmtId="0" fontId="0" fillId="0" borderId="9" xfId="0" applyBorder="1"/>
    <xf numFmtId="0" fontId="0" fillId="0" borderId="24" xfId="0" applyBorder="1"/>
    <xf numFmtId="0" fontId="0" fillId="0" borderId="15" xfId="0" applyBorder="1"/>
    <xf numFmtId="0" fontId="0" fillId="0" borderId="18" xfId="0" applyBorder="1"/>
    <xf numFmtId="0" fontId="25" fillId="0" borderId="9" xfId="0" applyFont="1" applyBorder="1"/>
    <xf numFmtId="0" fontId="26" fillId="0" borderId="24" xfId="0" applyFont="1" applyBorder="1"/>
    <xf numFmtId="0" fontId="26" fillId="0" borderId="15" xfId="0" applyFont="1" applyBorder="1"/>
    <xf numFmtId="0" fontId="25" fillId="0" borderId="9" xfId="0" applyFont="1" applyBorder="1" applyAlignment="1">
      <alignment horizontal="center"/>
    </xf>
    <xf numFmtId="14" fontId="25" fillId="0" borderId="1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34" fillId="0" borderId="1" xfId="12" applyNumberFormat="1" applyBorder="1"/>
    <xf numFmtId="167" fontId="34" fillId="0" borderId="1" xfId="3" applyNumberFormat="1" applyBorder="1" applyAlignment="1"/>
    <xf numFmtId="3" fontId="10" fillId="0" borderId="0" xfId="0" applyNumberFormat="1" applyFont="1" applyBorder="1"/>
    <xf numFmtId="0" fontId="10" fillId="0" borderId="1" xfId="0" applyFont="1" applyBorder="1"/>
    <xf numFmtId="167" fontId="25" fillId="0" borderId="1" xfId="3" applyNumberFormat="1" applyFont="1" applyBorder="1" applyAlignment="1"/>
    <xf numFmtId="0" fontId="0" fillId="0" borderId="9" xfId="0" applyBorder="1" applyAlignment="1">
      <alignment horizontal="center"/>
    </xf>
    <xf numFmtId="3" fontId="34" fillId="0" borderId="9" xfId="12" applyNumberFormat="1" applyBorder="1"/>
    <xf numFmtId="0" fontId="25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6" xfId="0" applyFont="1" applyBorder="1" applyAlignment="1">
      <alignment horizontal="center" vertical="center"/>
    </xf>
    <xf numFmtId="3" fontId="29" fillId="0" borderId="26" xfId="12" applyNumberFormat="1" applyFont="1" applyBorder="1" applyAlignment="1">
      <alignment vertical="center"/>
    </xf>
    <xf numFmtId="3" fontId="29" fillId="0" borderId="27" xfId="12" applyNumberFormat="1" applyFont="1" applyBorder="1" applyAlignment="1">
      <alignment vertical="center"/>
    </xf>
    <xf numFmtId="1" fontId="0" fillId="0" borderId="0" xfId="0" applyNumberFormat="1"/>
    <xf numFmtId="3" fontId="34" fillId="0" borderId="0" xfId="12" applyNumberFormat="1" applyFill="1" applyBorder="1"/>
    <xf numFmtId="164" fontId="69" fillId="0" borderId="0" xfId="1" applyNumberFormat="1" applyFont="1"/>
    <xf numFmtId="0" fontId="62" fillId="0" borderId="0" xfId="0" applyFont="1"/>
    <xf numFmtId="0" fontId="70" fillId="0" borderId="0" xfId="0" applyFont="1"/>
    <xf numFmtId="164" fontId="0" fillId="0" borderId="1" xfId="5" applyNumberFormat="1" applyFont="1" applyBorder="1"/>
    <xf numFmtId="0" fontId="26" fillId="0" borderId="0" xfId="0" applyFont="1" applyAlignment="1">
      <alignment horizontal="center"/>
    </xf>
    <xf numFmtId="164" fontId="8" fillId="0" borderId="1" xfId="1" applyNumberFormat="1" applyFont="1" applyBorder="1"/>
    <xf numFmtId="164" fontId="8" fillId="2" borderId="1" xfId="1" applyNumberFormat="1" applyFont="1" applyFill="1" applyBorder="1"/>
    <xf numFmtId="164" fontId="3" fillId="0" borderId="1" xfId="1" applyNumberFormat="1" applyFont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164" fontId="11" fillId="0" borderId="1" xfId="1" applyNumberFormat="1" applyFont="1" applyBorder="1" applyAlignment="1">
      <alignment wrapText="1"/>
    </xf>
    <xf numFmtId="164" fontId="22" fillId="0" borderId="1" xfId="1" applyNumberFormat="1" applyFont="1" applyBorder="1"/>
    <xf numFmtId="164" fontId="19" fillId="0" borderId="1" xfId="1" applyNumberFormat="1" applyFont="1" applyBorder="1"/>
    <xf numFmtId="164" fontId="39" fillId="0" borderId="1" xfId="1" applyNumberFormat="1" applyFont="1" applyBorder="1"/>
    <xf numFmtId="0" fontId="15" fillId="0" borderId="0" xfId="0" applyFont="1"/>
    <xf numFmtId="0" fontId="71" fillId="0" borderId="0" xfId="0" applyFont="1" applyBorder="1"/>
    <xf numFmtId="0" fontId="71" fillId="0" borderId="0" xfId="0" applyFont="1"/>
    <xf numFmtId="164" fontId="64" fillId="0" borderId="0" xfId="1" applyNumberFormat="1" applyFont="1" applyFill="1"/>
    <xf numFmtId="164" fontId="66" fillId="0" borderId="0" xfId="1" applyNumberFormat="1" applyFont="1" applyFill="1"/>
    <xf numFmtId="3" fontId="18" fillId="0" borderId="8" xfId="0" applyNumberFormat="1" applyFont="1" applyBorder="1" applyAlignment="1">
      <alignment horizontal="right"/>
    </xf>
    <xf numFmtId="3" fontId="6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29" xfId="0" applyFont="1" applyBorder="1"/>
    <xf numFmtId="164" fontId="15" fillId="0" borderId="0" xfId="1" applyNumberFormat="1" applyFont="1" applyFill="1"/>
    <xf numFmtId="164" fontId="15" fillId="0" borderId="0" xfId="1" applyNumberFormat="1" applyFont="1"/>
    <xf numFmtId="164" fontId="18" fillId="0" borderId="29" xfId="0" applyNumberFormat="1" applyFont="1" applyBorder="1"/>
    <xf numFmtId="164" fontId="15" fillId="0" borderId="0" xfId="0" applyNumberFormat="1" applyFont="1"/>
    <xf numFmtId="164" fontId="18" fillId="0" borderId="0" xfId="0" applyNumberFormat="1" applyFont="1"/>
    <xf numFmtId="164" fontId="18" fillId="0" borderId="0" xfId="0" applyNumberFormat="1" applyFont="1" applyBorder="1"/>
    <xf numFmtId="0" fontId="7" fillId="2" borderId="1" xfId="0" applyFont="1" applyFill="1" applyBorder="1" applyAlignment="1">
      <alignment horizontal="center"/>
    </xf>
    <xf numFmtId="164" fontId="18" fillId="0" borderId="28" xfId="1" applyNumberFormat="1" applyFont="1" applyBorder="1"/>
    <xf numFmtId="164" fontId="13" fillId="0" borderId="0" xfId="1" applyNumberFormat="1" applyFont="1"/>
    <xf numFmtId="164" fontId="13" fillId="0" borderId="29" xfId="1" applyNumberFormat="1" applyFont="1" applyBorder="1"/>
    <xf numFmtId="164" fontId="11" fillId="0" borderId="29" xfId="1" applyNumberFormat="1" applyFont="1" applyBorder="1"/>
    <xf numFmtId="164" fontId="18" fillId="0" borderId="28" xfId="1" applyNumberFormat="1" applyFont="1" applyBorder="1" applyAlignment="1">
      <alignment horizontal="center"/>
    </xf>
    <xf numFmtId="164" fontId="13" fillId="0" borderId="0" xfId="1" applyNumberFormat="1" applyFont="1" applyBorder="1"/>
    <xf numFmtId="164" fontId="13" fillId="0" borderId="28" xfId="1" applyNumberFormat="1" applyFont="1" applyBorder="1"/>
    <xf numFmtId="164" fontId="15" fillId="0" borderId="0" xfId="1" applyNumberFormat="1" applyFont="1" applyBorder="1"/>
    <xf numFmtId="0" fontId="1" fillId="0" borderId="0" xfId="0" applyFont="1"/>
    <xf numFmtId="164" fontId="33" fillId="0" borderId="1" xfId="2" applyNumberFormat="1" applyFont="1" applyBorder="1" applyAlignment="1">
      <alignment horizontal="right" wrapText="1"/>
    </xf>
    <xf numFmtId="0" fontId="33" fillId="0" borderId="1" xfId="28" applyFont="1" applyBorder="1" applyAlignment="1">
      <alignment horizontal="right"/>
    </xf>
    <xf numFmtId="164" fontId="33" fillId="0" borderId="1" xfId="28" applyNumberFormat="1" applyFont="1" applyBorder="1" applyAlignment="1">
      <alignment horizontal="right"/>
    </xf>
    <xf numFmtId="0" fontId="33" fillId="0" borderId="1" xfId="28" applyFont="1" applyBorder="1" applyAlignment="1">
      <alignment horizontal="center"/>
    </xf>
    <xf numFmtId="0" fontId="33" fillId="0" borderId="16" xfId="28" applyFont="1" applyBorder="1" applyAlignment="1">
      <alignment horizontal="center"/>
    </xf>
    <xf numFmtId="43" fontId="0" fillId="0" borderId="0" xfId="0" applyNumberFormat="1"/>
    <xf numFmtId="164" fontId="7" fillId="0" borderId="0" xfId="0" applyNumberFormat="1" applyFont="1"/>
    <xf numFmtId="164" fontId="17" fillId="2" borderId="1" xfId="1" applyNumberFormat="1" applyFont="1" applyFill="1" applyBorder="1" applyAlignment="1">
      <alignment wrapText="1"/>
    </xf>
    <xf numFmtId="164" fontId="1" fillId="0" borderId="0" xfId="1" applyNumberFormat="1" applyFont="1"/>
    <xf numFmtId="164" fontId="73" fillId="0" borderId="1" xfId="1" applyNumberFormat="1" applyFont="1" applyBorder="1" applyAlignment="1">
      <alignment wrapText="1"/>
    </xf>
    <xf numFmtId="164" fontId="6" fillId="0" borderId="1" xfId="0" applyNumberFormat="1" applyFont="1" applyBorder="1"/>
    <xf numFmtId="3" fontId="39" fillId="0" borderId="1" xfId="0" applyNumberFormat="1" applyFont="1" applyBorder="1"/>
    <xf numFmtId="0" fontId="67" fillId="0" borderId="0" xfId="0" applyFont="1" applyAlignment="1">
      <alignment vertical="top"/>
    </xf>
    <xf numFmtId="164" fontId="6" fillId="0" borderId="1" xfId="1" applyNumberFormat="1" applyFont="1" applyBorder="1" applyAlignment="1">
      <alignment wrapText="1"/>
    </xf>
    <xf numFmtId="164" fontId="3" fillId="0" borderId="1" xfId="1" applyNumberFormat="1" applyFont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164" fontId="0" fillId="0" borderId="0" xfId="1" applyNumberFormat="1" applyFont="1" applyBorder="1"/>
    <xf numFmtId="164" fontId="12" fillId="0" borderId="1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71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3" fontId="3" fillId="0" borderId="2" xfId="0" applyNumberFormat="1" applyFont="1" applyBorder="1" applyAlignment="1">
      <alignment wrapText="1"/>
    </xf>
    <xf numFmtId="0" fontId="26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3" fillId="0" borderId="0" xfId="0" applyFont="1" applyBorder="1" applyAlignment="1">
      <alignment horizontal="left" wrapText="1"/>
    </xf>
    <xf numFmtId="43" fontId="0" fillId="0" borderId="0" xfId="1" applyFont="1" applyAlignment="1">
      <alignment horizontal="left"/>
    </xf>
    <xf numFmtId="43" fontId="0" fillId="0" borderId="0" xfId="1" applyFont="1"/>
    <xf numFmtId="43" fontId="0" fillId="0" borderId="0" xfId="1" applyFont="1" applyBorder="1"/>
    <xf numFmtId="164" fontId="0" fillId="0" borderId="0" xfId="1" applyNumberFormat="1" applyFont="1" applyAlignment="1">
      <alignment horizontal="left"/>
    </xf>
    <xf numFmtId="0" fontId="1" fillId="0" borderId="0" xfId="15"/>
    <xf numFmtId="164" fontId="1" fillId="0" borderId="0" xfId="15" applyNumberFormat="1"/>
    <xf numFmtId="0" fontId="3" fillId="0" borderId="0" xfId="15" applyFont="1"/>
    <xf numFmtId="3" fontId="4" fillId="0" borderId="0" xfId="15" applyNumberFormat="1" applyFont="1"/>
    <xf numFmtId="0" fontId="5" fillId="0" borderId="0" xfId="15" applyFont="1"/>
    <xf numFmtId="3" fontId="16" fillId="0" borderId="0" xfId="15" applyNumberFormat="1" applyFont="1"/>
    <xf numFmtId="3" fontId="3" fillId="0" borderId="0" xfId="15" applyNumberFormat="1" applyFont="1" applyAlignment="1">
      <alignment wrapText="1"/>
    </xf>
    <xf numFmtId="3" fontId="17" fillId="0" borderId="0" xfId="15" applyNumberFormat="1" applyFont="1"/>
    <xf numFmtId="0" fontId="5" fillId="0" borderId="1" xfId="15" applyFont="1" applyBorder="1"/>
    <xf numFmtId="3" fontId="6" fillId="0" borderId="1" xfId="15" applyNumberFormat="1" applyFont="1" applyBorder="1"/>
    <xf numFmtId="3" fontId="6" fillId="0" borderId="1" xfId="15" applyNumberFormat="1" applyFont="1" applyBorder="1" applyAlignment="1">
      <alignment wrapText="1"/>
    </xf>
    <xf numFmtId="0" fontId="6" fillId="0" borderId="1" xfId="15" applyFont="1" applyBorder="1"/>
    <xf numFmtId="3" fontId="5" fillId="0" borderId="1" xfId="15" applyNumberFormat="1" applyFont="1" applyBorder="1" applyAlignment="1">
      <alignment wrapText="1"/>
    </xf>
    <xf numFmtId="0" fontId="6" fillId="0" borderId="1" xfId="15" applyFont="1" applyBorder="1" applyAlignment="1">
      <alignment horizontal="center"/>
    </xf>
    <xf numFmtId="0" fontId="5" fillId="0" borderId="1" xfId="15" applyFont="1" applyBorder="1" applyAlignment="1">
      <alignment horizontal="center"/>
    </xf>
    <xf numFmtId="3" fontId="5" fillId="0" borderId="1" xfId="15" applyNumberFormat="1" applyFont="1" applyBorder="1"/>
    <xf numFmtId="0" fontId="5" fillId="3" borderId="1" xfId="15" applyFont="1" applyFill="1" applyBorder="1" applyAlignment="1">
      <alignment horizontal="center"/>
    </xf>
    <xf numFmtId="3" fontId="5" fillId="3" borderId="1" xfId="15" applyNumberFormat="1" applyFont="1" applyFill="1" applyBorder="1" applyAlignment="1">
      <alignment wrapText="1"/>
    </xf>
    <xf numFmtId="3" fontId="6" fillId="3" borderId="1" xfId="15" applyNumberFormat="1" applyFont="1" applyFill="1" applyBorder="1"/>
    <xf numFmtId="0" fontId="5" fillId="0" borderId="1" xfId="15" applyFont="1" applyBorder="1" applyAlignment="1">
      <alignment wrapText="1"/>
    </xf>
    <xf numFmtId="0" fontId="6" fillId="0" borderId="1" xfId="15" applyFont="1" applyBorder="1" applyAlignment="1">
      <alignment wrapText="1"/>
    </xf>
    <xf numFmtId="0" fontId="5" fillId="3" borderId="1" xfId="15" applyFont="1" applyFill="1" applyBorder="1" applyAlignment="1">
      <alignment wrapText="1"/>
    </xf>
    <xf numFmtId="0" fontId="6" fillId="3" borderId="1" xfId="15" applyFont="1" applyFill="1" applyBorder="1"/>
    <xf numFmtId="3" fontId="1" fillId="0" borderId="0" xfId="15" applyNumberFormat="1"/>
    <xf numFmtId="0" fontId="40" fillId="0" borderId="0" xfId="23" applyFont="1" applyAlignment="1" applyProtection="1"/>
    <xf numFmtId="0" fontId="75" fillId="0" borderId="0" xfId="23" applyFont="1" applyAlignment="1">
      <alignment horizontal="right"/>
    </xf>
    <xf numFmtId="0" fontId="40" fillId="0" borderId="0" xfId="23" applyFont="1" applyAlignment="1"/>
    <xf numFmtId="0" fontId="40" fillId="0" borderId="0" xfId="23" applyFont="1" applyProtection="1"/>
    <xf numFmtId="0" fontId="31" fillId="0" borderId="0" xfId="23" applyFont="1" applyAlignment="1" applyProtection="1"/>
    <xf numFmtId="49" fontId="31" fillId="0" borderId="0" xfId="23" applyNumberFormat="1" applyFont="1" applyProtection="1"/>
    <xf numFmtId="49" fontId="31" fillId="0" borderId="1" xfId="23" applyNumberFormat="1" applyFont="1" applyFill="1" applyBorder="1" applyAlignment="1" applyProtection="1">
      <alignment horizontal="center" vertical="center" textRotation="90" readingOrder="1"/>
    </xf>
    <xf numFmtId="0" fontId="41" fillId="0" borderId="0" xfId="23" applyFont="1" applyAlignment="1"/>
    <xf numFmtId="0" fontId="40" fillId="0" borderId="1" xfId="23" applyFont="1" applyBorder="1"/>
    <xf numFmtId="49" fontId="40" fillId="0" borderId="1" xfId="23" applyNumberFormat="1" applyFont="1" applyFill="1" applyBorder="1"/>
    <xf numFmtId="0" fontId="76" fillId="0" borderId="1" xfId="23" applyFont="1" applyFill="1" applyBorder="1" applyAlignment="1"/>
    <xf numFmtId="0" fontId="40" fillId="0" borderId="1" xfId="23" applyFont="1" applyFill="1" applyBorder="1" applyAlignment="1"/>
    <xf numFmtId="0" fontId="40" fillId="0" borderId="1" xfId="23" applyFont="1" applyFill="1" applyBorder="1" applyProtection="1"/>
    <xf numFmtId="164" fontId="40" fillId="0" borderId="1" xfId="4" applyNumberFormat="1" applyFont="1" applyFill="1" applyBorder="1"/>
    <xf numFmtId="1" fontId="40" fillId="0" borderId="1" xfId="23" applyNumberFormat="1" applyFont="1" applyFill="1" applyBorder="1"/>
    <xf numFmtId="164" fontId="40" fillId="0" borderId="1" xfId="4" applyNumberFormat="1" applyFont="1" applyBorder="1" applyAlignment="1"/>
    <xf numFmtId="164" fontId="40" fillId="0" borderId="0" xfId="23" applyNumberFormat="1" applyFont="1" applyAlignment="1"/>
    <xf numFmtId="0" fontId="76" fillId="0" borderId="1" xfId="23" applyFont="1" applyFill="1" applyBorder="1"/>
    <xf numFmtId="0" fontId="40" fillId="0" borderId="1" xfId="23" applyFont="1" applyFill="1" applyBorder="1"/>
    <xf numFmtId="49" fontId="40" fillId="0" borderId="9" xfId="23" applyNumberFormat="1" applyFont="1" applyFill="1" applyBorder="1" applyAlignment="1">
      <alignment horizontal="left"/>
    </xf>
    <xf numFmtId="0" fontId="76" fillId="0" borderId="9" xfId="23" applyFont="1" applyFill="1" applyBorder="1" applyAlignment="1"/>
    <xf numFmtId="0" fontId="76" fillId="0" borderId="1" xfId="23" applyFont="1" applyBorder="1"/>
    <xf numFmtId="0" fontId="77" fillId="0" borderId="1" xfId="23" applyFont="1" applyFill="1" applyBorder="1"/>
    <xf numFmtId="1" fontId="40" fillId="0" borderId="0" xfId="23" applyNumberFormat="1" applyFont="1" applyFill="1" applyBorder="1"/>
    <xf numFmtId="0" fontId="40" fillId="0" borderId="0" xfId="23" applyFont="1" applyBorder="1" applyAlignment="1"/>
    <xf numFmtId="1" fontId="40" fillId="0" borderId="0" xfId="23" applyNumberFormat="1" applyFont="1" applyBorder="1" applyAlignment="1"/>
    <xf numFmtId="49" fontId="40" fillId="0" borderId="1" xfId="23" applyNumberFormat="1" applyFont="1" applyFill="1" applyBorder="1" applyAlignment="1"/>
    <xf numFmtId="0" fontId="76" fillId="0" borderId="1" xfId="23" applyFont="1" applyBorder="1" applyAlignment="1"/>
    <xf numFmtId="0" fontId="40" fillId="0" borderId="1" xfId="23" applyFont="1" applyBorder="1" applyProtection="1"/>
    <xf numFmtId="164" fontId="40" fillId="0" borderId="1" xfId="4" applyNumberFormat="1" applyFont="1" applyBorder="1"/>
    <xf numFmtId="0" fontId="40" fillId="0" borderId="0" xfId="23" applyFont="1" applyFill="1" applyAlignment="1"/>
    <xf numFmtId="0" fontId="40" fillId="0" borderId="1" xfId="23" applyFont="1" applyBorder="1" applyAlignment="1"/>
    <xf numFmtId="0" fontId="40" fillId="0" borderId="24" xfId="23" applyFont="1" applyBorder="1"/>
    <xf numFmtId="0" fontId="42" fillId="0" borderId="1" xfId="23" applyFont="1" applyFill="1" applyBorder="1" applyAlignment="1"/>
    <xf numFmtId="49" fontId="31" fillId="0" borderId="1" xfId="23" applyNumberFormat="1" applyFont="1" applyFill="1" applyBorder="1"/>
    <xf numFmtId="0" fontId="43" fillId="0" borderId="1" xfId="23" applyFont="1" applyFill="1" applyBorder="1" applyAlignment="1"/>
    <xf numFmtId="164" fontId="31" fillId="0" borderId="1" xfId="4" applyNumberFormat="1" applyFont="1" applyFill="1" applyBorder="1" applyAlignment="1"/>
    <xf numFmtId="0" fontId="31" fillId="0" borderId="1" xfId="23" applyFont="1" applyFill="1" applyBorder="1" applyProtection="1"/>
    <xf numFmtId="164" fontId="31" fillId="0" borderId="1" xfId="4" applyNumberFormat="1" applyFont="1" applyFill="1" applyBorder="1"/>
    <xf numFmtId="0" fontId="40" fillId="0" borderId="24" xfId="23" applyFont="1" applyFill="1" applyBorder="1"/>
    <xf numFmtId="1" fontId="40" fillId="0" borderId="1" xfId="23" applyNumberFormat="1" applyFont="1" applyFill="1" applyBorder="1" applyProtection="1"/>
    <xf numFmtId="0" fontId="40" fillId="0" borderId="0" xfId="23" applyFont="1" applyBorder="1"/>
    <xf numFmtId="49" fontId="44" fillId="0" borderId="0" xfId="23" applyNumberFormat="1" applyFont="1" applyFill="1" applyBorder="1" applyAlignment="1">
      <alignment horizontal="center"/>
    </xf>
    <xf numFmtId="0" fontId="31" fillId="0" borderId="0" xfId="23" applyFont="1" applyFill="1" applyBorder="1" applyAlignment="1">
      <alignment horizontal="center"/>
    </xf>
    <xf numFmtId="164" fontId="40" fillId="0" borderId="0" xfId="23" applyNumberFormat="1" applyFont="1" applyBorder="1"/>
    <xf numFmtId="0" fontId="31" fillId="0" borderId="0" xfId="23" applyFont="1" applyBorder="1" applyAlignment="1">
      <alignment horizontal="center"/>
    </xf>
    <xf numFmtId="43" fontId="31" fillId="0" borderId="0" xfId="23" applyNumberFormat="1" applyFont="1" applyBorder="1" applyAlignment="1">
      <alignment horizontal="center"/>
    </xf>
    <xf numFmtId="0" fontId="40" fillId="0" borderId="0" xfId="23" applyFont="1"/>
    <xf numFmtId="49" fontId="31" fillId="0" borderId="0" xfId="23" applyNumberFormat="1" applyFont="1" applyAlignment="1">
      <alignment horizontal="center"/>
    </xf>
    <xf numFmtId="0" fontId="31" fillId="0" borderId="0" xfId="23" applyFont="1" applyAlignment="1">
      <alignment horizontal="center"/>
    </xf>
    <xf numFmtId="164" fontId="31" fillId="0" borderId="0" xfId="23" applyNumberFormat="1" applyFont="1" applyBorder="1" applyAlignment="1">
      <alignment horizontal="center"/>
    </xf>
    <xf numFmtId="0" fontId="31" fillId="0" borderId="0" xfId="23" applyFont="1" applyBorder="1" applyAlignment="1" applyProtection="1"/>
    <xf numFmtId="49" fontId="31" fillId="0" borderId="0" xfId="23" applyNumberFormat="1" applyFont="1" applyBorder="1" applyAlignment="1" applyProtection="1">
      <alignment vertical="center" readingOrder="1"/>
    </xf>
    <xf numFmtId="49" fontId="31" fillId="0" borderId="0" xfId="23" applyNumberFormat="1" applyFont="1" applyBorder="1" applyAlignment="1" applyProtection="1">
      <alignment vertical="center" textRotation="90" wrapText="1" readingOrder="1"/>
    </xf>
    <xf numFmtId="0" fontId="31" fillId="0" borderId="0" xfId="23" applyFont="1" applyBorder="1" applyAlignment="1">
      <alignment vertical="center" textRotation="90"/>
    </xf>
    <xf numFmtId="0" fontId="40" fillId="0" borderId="0" xfId="23" applyFont="1" applyFill="1" applyBorder="1"/>
    <xf numFmtId="49" fontId="40" fillId="0" borderId="0" xfId="23" applyNumberFormat="1" applyFont="1" applyFill="1" applyBorder="1"/>
    <xf numFmtId="0" fontId="42" fillId="0" borderId="0" xfId="23" applyFont="1" applyFill="1" applyBorder="1" applyAlignment="1"/>
    <xf numFmtId="0" fontId="40" fillId="0" borderId="0" xfId="23" applyFont="1" applyFill="1" applyBorder="1" applyAlignment="1"/>
    <xf numFmtId="0" fontId="40" fillId="0" borderId="0" xfId="23" applyFont="1" applyFill="1" applyBorder="1" applyProtection="1"/>
    <xf numFmtId="1" fontId="40" fillId="0" borderId="0" xfId="23" applyNumberFormat="1" applyFont="1" applyFill="1" applyBorder="1" applyProtection="1"/>
    <xf numFmtId="49" fontId="40" fillId="0" borderId="0" xfId="23" applyNumberFormat="1" applyFont="1" applyFill="1" applyBorder="1" applyAlignment="1"/>
    <xf numFmtId="0" fontId="31" fillId="0" borderId="0" xfId="23" applyFont="1" applyBorder="1" applyAlignment="1"/>
    <xf numFmtId="0" fontId="31" fillId="0" borderId="0" xfId="23" applyFont="1" applyFill="1" applyBorder="1" applyAlignment="1"/>
    <xf numFmtId="0" fontId="31" fillId="0" borderId="0" xfId="23" applyFont="1" applyAlignment="1"/>
    <xf numFmtId="0" fontId="31" fillId="0" borderId="0" xfId="23" applyFont="1" applyAlignment="1">
      <alignment horizontal="left"/>
    </xf>
    <xf numFmtId="0" fontId="31" fillId="0" borderId="0" xfId="23" applyFont="1" applyBorder="1" applyAlignment="1">
      <alignment horizontal="left"/>
    </xf>
    <xf numFmtId="49" fontId="31" fillId="0" borderId="0" xfId="23" applyNumberFormat="1" applyFont="1" applyBorder="1" applyAlignment="1" applyProtection="1">
      <alignment vertical="center" wrapText="1" readingOrder="1"/>
    </xf>
    <xf numFmtId="49" fontId="31" fillId="0" borderId="0" xfId="23" applyNumberFormat="1" applyFont="1" applyBorder="1" applyAlignment="1" applyProtection="1">
      <alignment horizontal="center" vertical="center" textRotation="90" readingOrder="1"/>
    </xf>
    <xf numFmtId="0" fontId="42" fillId="0" borderId="0" xfId="23" applyFont="1" applyBorder="1" applyAlignment="1"/>
    <xf numFmtId="0" fontId="40" fillId="0" borderId="0" xfId="23" applyFont="1" applyBorder="1" applyProtection="1"/>
    <xf numFmtId="1" fontId="40" fillId="0" borderId="0" xfId="23" applyNumberFormat="1" applyFont="1" applyBorder="1"/>
    <xf numFmtId="1" fontId="40" fillId="0" borderId="0" xfId="23" applyNumberFormat="1" applyFont="1" applyBorder="1" applyProtection="1"/>
    <xf numFmtId="0" fontId="43" fillId="2" borderId="0" xfId="23" applyFont="1" applyFill="1" applyBorder="1" applyAlignment="1"/>
    <xf numFmtId="164" fontId="40" fillId="0" borderId="0" xfId="4" applyNumberFormat="1" applyFont="1" applyBorder="1"/>
    <xf numFmtId="49" fontId="41" fillId="0" borderId="0" xfId="23" applyNumberFormat="1" applyFont="1" applyFill="1" applyBorder="1"/>
    <xf numFmtId="49" fontId="41" fillId="0" borderId="0" xfId="23" applyNumberFormat="1" applyFont="1" applyFill="1" applyBorder="1" applyAlignment="1"/>
    <xf numFmtId="0" fontId="41" fillId="0" borderId="0" xfId="23" applyFont="1" applyFill="1" applyBorder="1" applyAlignment="1"/>
    <xf numFmtId="0" fontId="41" fillId="0" borderId="0" xfId="23" applyFont="1" applyFill="1" applyBorder="1" applyProtection="1"/>
    <xf numFmtId="1" fontId="41" fillId="0" borderId="0" xfId="23" applyNumberFormat="1" applyFont="1" applyFill="1" applyBorder="1"/>
    <xf numFmtId="1" fontId="41" fillId="0" borderId="0" xfId="23" applyNumberFormat="1" applyFont="1" applyFill="1" applyBorder="1" applyProtection="1"/>
    <xf numFmtId="0" fontId="41" fillId="0" borderId="0" xfId="23" applyFont="1" applyBorder="1" applyAlignment="1"/>
    <xf numFmtId="1" fontId="41" fillId="0" borderId="0" xfId="23" applyNumberFormat="1" applyFont="1" applyBorder="1" applyAlignment="1"/>
    <xf numFmtId="49" fontId="40" fillId="0" borderId="0" xfId="23" applyNumberFormat="1" applyFont="1" applyFill="1" applyBorder="1" applyAlignment="1">
      <alignment horizontal="left"/>
    </xf>
    <xf numFmtId="49" fontId="31" fillId="2" borderId="0" xfId="23" applyNumberFormat="1" applyFont="1" applyFill="1" applyBorder="1" applyAlignment="1">
      <alignment horizontal="center"/>
    </xf>
    <xf numFmtId="0" fontId="31" fillId="2" borderId="0" xfId="23" applyFont="1" applyFill="1" applyBorder="1" applyAlignment="1">
      <alignment horizontal="center"/>
    </xf>
    <xf numFmtId="49" fontId="31" fillId="0" borderId="0" xfId="23" applyNumberFormat="1" applyFont="1" applyBorder="1" applyAlignment="1">
      <alignment horizontal="center"/>
    </xf>
    <xf numFmtId="49" fontId="31" fillId="0" borderId="1" xfId="23" applyNumberFormat="1" applyFont="1" applyBorder="1" applyAlignment="1" applyProtection="1">
      <alignment horizontal="center" vertical="center" textRotation="90" readingOrder="1"/>
    </xf>
    <xf numFmtId="1" fontId="40" fillId="0" borderId="1" xfId="23" applyNumberFormat="1" applyFont="1" applyBorder="1" applyAlignment="1"/>
    <xf numFmtId="0" fontId="40" fillId="0" borderId="11" xfId="23" applyFont="1" applyBorder="1" applyAlignment="1"/>
    <xf numFmtId="49" fontId="31" fillId="2" borderId="1" xfId="23" applyNumberFormat="1" applyFont="1" applyFill="1" applyBorder="1" applyAlignment="1">
      <alignment horizontal="center"/>
    </xf>
    <xf numFmtId="0" fontId="31" fillId="2" borderId="1" xfId="23" applyFont="1" applyFill="1" applyBorder="1" applyAlignment="1">
      <alignment horizontal="center"/>
    </xf>
    <xf numFmtId="1" fontId="31" fillId="0" borderId="1" xfId="23" applyNumberFormat="1" applyFont="1" applyBorder="1" applyAlignment="1"/>
    <xf numFmtId="0" fontId="40" fillId="0" borderId="18" xfId="23" applyFont="1" applyBorder="1" applyAlignment="1"/>
    <xf numFmtId="164" fontId="40" fillId="0" borderId="1" xfId="23" applyNumberFormat="1" applyFont="1" applyBorder="1" applyAlignment="1"/>
    <xf numFmtId="0" fontId="40" fillId="0" borderId="10" xfId="23" applyFont="1" applyBorder="1"/>
    <xf numFmtId="49" fontId="40" fillId="0" borderId="0" xfId="23" applyNumberFormat="1" applyFont="1"/>
    <xf numFmtId="0" fontId="7" fillId="0" borderId="0" xfId="26" applyFont="1" applyAlignment="1">
      <alignment wrapText="1"/>
    </xf>
    <xf numFmtId="0" fontId="8" fillId="0" borderId="2" xfId="26" applyFont="1" applyBorder="1" applyAlignment="1">
      <alignment horizontal="left" vertical="center"/>
    </xf>
    <xf numFmtId="0" fontId="8" fillId="0" borderId="2" xfId="26" applyFont="1" applyBorder="1" applyAlignment="1">
      <alignment wrapText="1"/>
    </xf>
    <xf numFmtId="164" fontId="8" fillId="0" borderId="2" xfId="6" applyNumberFormat="1" applyFont="1" applyBorder="1" applyAlignment="1">
      <alignment wrapText="1"/>
    </xf>
    <xf numFmtId="0" fontId="1" fillId="0" borderId="0" xfId="26"/>
    <xf numFmtId="0" fontId="8" fillId="0" borderId="30" xfId="26" applyFont="1" applyBorder="1" applyAlignment="1">
      <alignment wrapText="1"/>
    </xf>
    <xf numFmtId="0" fontId="8" fillId="0" borderId="31" xfId="26" applyFont="1" applyBorder="1" applyAlignment="1">
      <alignment wrapText="1"/>
    </xf>
    <xf numFmtId="0" fontId="72" fillId="0" borderId="25" xfId="15" applyFont="1" applyFill="1" applyBorder="1" applyAlignment="1">
      <alignment horizontal="center" vertical="center" wrapText="1"/>
    </xf>
    <xf numFmtId="164" fontId="72" fillId="0" borderId="25" xfId="6" applyNumberFormat="1" applyFont="1" applyFill="1" applyBorder="1" applyAlignment="1">
      <alignment horizontal="center" vertical="center" wrapText="1"/>
    </xf>
    <xf numFmtId="0" fontId="1" fillId="0" borderId="0" xfId="26" applyAlignment="1">
      <alignment wrapText="1"/>
    </xf>
    <xf numFmtId="0" fontId="8" fillId="0" borderId="32" xfId="26" applyFont="1" applyBorder="1" applyAlignment="1">
      <alignment horizontal="center" wrapText="1"/>
    </xf>
    <xf numFmtId="0" fontId="20" fillId="0" borderId="33" xfId="26" applyFont="1" applyBorder="1" applyAlignment="1">
      <alignment horizontal="center" wrapText="1"/>
    </xf>
    <xf numFmtId="0" fontId="8" fillId="0" borderId="33" xfId="26" applyFont="1" applyBorder="1" applyAlignment="1">
      <alignment wrapText="1"/>
    </xf>
    <xf numFmtId="164" fontId="8" fillId="0" borderId="33" xfId="6" applyNumberFormat="1" applyFont="1" applyBorder="1" applyAlignment="1">
      <alignment wrapText="1"/>
    </xf>
    <xf numFmtId="0" fontId="19" fillId="0" borderId="33" xfId="26" applyFont="1" applyBorder="1" applyAlignment="1">
      <alignment wrapText="1"/>
    </xf>
    <xf numFmtId="0" fontId="20" fillId="0" borderId="33" xfId="26" applyFont="1" applyBorder="1" applyAlignment="1">
      <alignment wrapText="1"/>
    </xf>
    <xf numFmtId="0" fontId="8" fillId="0" borderId="33" xfId="26" applyFont="1" applyBorder="1" applyAlignment="1">
      <alignment horizontal="center" wrapText="1"/>
    </xf>
    <xf numFmtId="164" fontId="8" fillId="0" borderId="33" xfId="6" applyNumberFormat="1" applyFont="1" applyBorder="1" applyAlignment="1">
      <alignment horizontal="center" wrapText="1"/>
    </xf>
    <xf numFmtId="0" fontId="7" fillId="0" borderId="32" xfId="26" applyFont="1" applyBorder="1" applyAlignment="1">
      <alignment horizontal="center" wrapText="1"/>
    </xf>
    <xf numFmtId="0" fontId="7" fillId="2" borderId="32" xfId="26" applyFont="1" applyFill="1" applyBorder="1" applyAlignment="1">
      <alignment horizontal="center" wrapText="1"/>
    </xf>
    <xf numFmtId="0" fontId="45" fillId="2" borderId="33" xfId="26" applyFont="1" applyFill="1" applyBorder="1" applyAlignment="1">
      <alignment wrapText="1"/>
    </xf>
    <xf numFmtId="164" fontId="20" fillId="2" borderId="33" xfId="6" applyNumberFormat="1" applyFont="1" applyFill="1" applyBorder="1" applyAlignment="1">
      <alignment wrapText="1"/>
    </xf>
    <xf numFmtId="164" fontId="1" fillId="0" borderId="0" xfId="26" applyNumberFormat="1"/>
    <xf numFmtId="0" fontId="9" fillId="2" borderId="32" xfId="26" applyFont="1" applyFill="1" applyBorder="1" applyAlignment="1">
      <alignment horizontal="center" wrapText="1"/>
    </xf>
    <xf numFmtId="3" fontId="20" fillId="2" borderId="33" xfId="26" applyNumberFormat="1" applyFont="1" applyFill="1" applyBorder="1" applyAlignment="1">
      <alignment wrapText="1"/>
    </xf>
    <xf numFmtId="43" fontId="1" fillId="0" borderId="0" xfId="6" applyFont="1"/>
    <xf numFmtId="0" fontId="9" fillId="0" borderId="32" xfId="26" applyFont="1" applyBorder="1" applyAlignment="1">
      <alignment horizontal="center" wrapText="1"/>
    </xf>
    <xf numFmtId="0" fontId="8" fillId="2" borderId="32" xfId="26" applyFont="1" applyFill="1" applyBorder="1" applyAlignment="1">
      <alignment horizontal="center" wrapText="1"/>
    </xf>
    <xf numFmtId="0" fontId="20" fillId="2" borderId="33" xfId="26" applyFont="1" applyFill="1" applyBorder="1" applyAlignment="1">
      <alignment wrapText="1"/>
    </xf>
    <xf numFmtId="0" fontId="8" fillId="2" borderId="33" xfId="26" applyFont="1" applyFill="1" applyBorder="1" applyAlignment="1">
      <alignment horizontal="center" wrapText="1"/>
    </xf>
    <xf numFmtId="164" fontId="8" fillId="2" borderId="33" xfId="6" applyNumberFormat="1" applyFont="1" applyFill="1" applyBorder="1" applyAlignment="1">
      <alignment horizontal="center" wrapText="1"/>
    </xf>
    <xf numFmtId="3" fontId="8" fillId="2" borderId="33" xfId="26" applyNumberFormat="1" applyFont="1" applyFill="1" applyBorder="1" applyAlignment="1">
      <alignment horizontal="center" wrapText="1"/>
    </xf>
    <xf numFmtId="164" fontId="20" fillId="2" borderId="33" xfId="26" applyNumberFormat="1" applyFont="1" applyFill="1" applyBorder="1" applyAlignment="1">
      <alignment wrapText="1"/>
    </xf>
    <xf numFmtId="0" fontId="7" fillId="0" borderId="30" xfId="26" applyFont="1" applyBorder="1" applyAlignment="1">
      <alignment horizontal="center" wrapText="1"/>
    </xf>
    <xf numFmtId="0" fontId="19" fillId="0" borderId="31" xfId="26" applyFont="1" applyBorder="1" applyAlignment="1">
      <alignment wrapText="1"/>
    </xf>
    <xf numFmtId="0" fontId="8" fillId="0" borderId="31" xfId="26" applyFont="1" applyBorder="1" applyAlignment="1">
      <alignment horizontal="center" wrapText="1"/>
    </xf>
    <xf numFmtId="164" fontId="8" fillId="0" borderId="31" xfId="6" applyNumberFormat="1" applyFont="1" applyBorder="1" applyAlignment="1">
      <alignment horizontal="center" wrapText="1"/>
    </xf>
    <xf numFmtId="0" fontId="8" fillId="0" borderId="34" xfId="26" applyFont="1" applyBorder="1" applyAlignment="1">
      <alignment horizontal="center" wrapText="1"/>
    </xf>
    <xf numFmtId="0" fontId="8" fillId="0" borderId="34" xfId="26" applyFont="1" applyBorder="1" applyAlignment="1">
      <alignment wrapText="1"/>
    </xf>
    <xf numFmtId="164" fontId="8" fillId="0" borderId="32" xfId="6" applyNumberFormat="1" applyFont="1" applyBorder="1" applyAlignment="1">
      <alignment horizontal="center" wrapText="1"/>
    </xf>
    <xf numFmtId="0" fontId="8" fillId="0" borderId="34" xfId="26" applyFont="1" applyBorder="1" applyAlignment="1">
      <alignment horizontal="center" vertical="center" wrapText="1"/>
    </xf>
    <xf numFmtId="0" fontId="8" fillId="0" borderId="34" xfId="26" applyFont="1" applyBorder="1" applyAlignment="1">
      <alignment vertical="center" wrapText="1"/>
    </xf>
    <xf numFmtId="0" fontId="8" fillId="0" borderId="32" xfId="26" applyFont="1" applyBorder="1" applyAlignment="1">
      <alignment horizontal="center" vertical="center" wrapText="1"/>
    </xf>
    <xf numFmtId="164" fontId="8" fillId="0" borderId="32" xfId="6" applyNumberFormat="1" applyFont="1" applyBorder="1" applyAlignment="1">
      <alignment horizontal="center" vertical="center" wrapText="1"/>
    </xf>
    <xf numFmtId="0" fontId="1" fillId="0" borderId="0" xfId="26" applyAlignment="1">
      <alignment vertical="center"/>
    </xf>
    <xf numFmtId="164" fontId="20" fillId="0" borderId="33" xfId="6" applyNumberFormat="1" applyFont="1" applyFill="1" applyBorder="1" applyAlignment="1">
      <alignment vertical="center" wrapText="1"/>
    </xf>
    <xf numFmtId="0" fontId="7" fillId="0" borderId="34" xfId="26" applyFont="1" applyBorder="1" applyAlignment="1">
      <alignment horizontal="center" vertical="center" wrapText="1"/>
    </xf>
    <xf numFmtId="0" fontId="9" fillId="0" borderId="34" xfId="26" applyFont="1" applyBorder="1" applyAlignment="1">
      <alignment vertical="center" wrapText="1"/>
    </xf>
    <xf numFmtId="0" fontId="7" fillId="2" borderId="34" xfId="26" applyFont="1" applyFill="1" applyBorder="1" applyAlignment="1">
      <alignment horizontal="center" vertical="center" wrapText="1"/>
    </xf>
    <xf numFmtId="0" fontId="7" fillId="2" borderId="34" xfId="26" applyFont="1" applyFill="1" applyBorder="1" applyAlignment="1">
      <alignment vertical="center" wrapText="1"/>
    </xf>
    <xf numFmtId="164" fontId="8" fillId="2" borderId="32" xfId="26" applyNumberFormat="1" applyFont="1" applyFill="1" applyBorder="1" applyAlignment="1">
      <alignment horizontal="center" vertical="center" wrapText="1"/>
    </xf>
    <xf numFmtId="0" fontId="7" fillId="0" borderId="32" xfId="26" applyFont="1" applyBorder="1" applyAlignment="1">
      <alignment horizontal="center" vertical="center" wrapText="1"/>
    </xf>
    <xf numFmtId="0" fontId="9" fillId="0" borderId="2" xfId="26" applyFont="1" applyBorder="1" applyAlignment="1">
      <alignment vertical="center" wrapText="1"/>
    </xf>
    <xf numFmtId="164" fontId="1" fillId="0" borderId="0" xfId="26" applyNumberFormat="1" applyAlignment="1">
      <alignment vertical="center"/>
    </xf>
    <xf numFmtId="0" fontId="9" fillId="2" borderId="34" xfId="26" applyFont="1" applyFill="1" applyBorder="1" applyAlignment="1">
      <alignment horizontal="center" vertical="center" wrapText="1"/>
    </xf>
    <xf numFmtId="3" fontId="19" fillId="2" borderId="33" xfId="26" applyNumberFormat="1" applyFont="1" applyFill="1" applyBorder="1" applyAlignment="1">
      <alignment horizontal="right" vertical="center" wrapText="1"/>
    </xf>
    <xf numFmtId="0" fontId="8" fillId="2" borderId="34" xfId="26" applyFont="1" applyFill="1" applyBorder="1" applyAlignment="1">
      <alignment horizontal="center" vertical="center" wrapText="1"/>
    </xf>
    <xf numFmtId="0" fontId="8" fillId="2" borderId="34" xfId="26" applyFont="1" applyFill="1" applyBorder="1" applyAlignment="1">
      <alignment vertical="center" wrapText="1"/>
    </xf>
    <xf numFmtId="164" fontId="20" fillId="2" borderId="33" xfId="26" applyNumberFormat="1" applyFont="1" applyFill="1" applyBorder="1" applyAlignment="1">
      <alignment horizontal="right" vertical="center" wrapText="1"/>
    </xf>
    <xf numFmtId="0" fontId="7" fillId="0" borderId="34" xfId="26" applyFont="1" applyBorder="1" applyAlignment="1">
      <alignment vertical="center" wrapText="1"/>
    </xf>
    <xf numFmtId="0" fontId="1" fillId="0" borderId="30" xfId="26" applyBorder="1" applyAlignment="1">
      <alignment vertical="center"/>
    </xf>
    <xf numFmtId="164" fontId="1" fillId="0" borderId="30" xfId="6" applyNumberFormat="1" applyFont="1" applyBorder="1" applyAlignment="1">
      <alignment vertical="center"/>
    </xf>
    <xf numFmtId="0" fontId="9" fillId="2" borderId="34" xfId="26" applyFont="1" applyFill="1" applyBorder="1" applyAlignment="1">
      <alignment vertical="center" wrapText="1"/>
    </xf>
    <xf numFmtId="3" fontId="46" fillId="2" borderId="33" xfId="26" applyNumberFormat="1" applyFont="1" applyFill="1" applyBorder="1" applyAlignment="1">
      <alignment horizontal="right" vertical="center" wrapText="1"/>
    </xf>
    <xf numFmtId="164" fontId="46" fillId="2" borderId="33" xfId="6" applyNumberFormat="1" applyFont="1" applyFill="1" applyBorder="1" applyAlignment="1">
      <alignment horizontal="right" vertical="center" wrapText="1"/>
    </xf>
    <xf numFmtId="164" fontId="20" fillId="2" borderId="33" xfId="6" applyNumberFormat="1" applyFont="1" applyFill="1" applyBorder="1" applyAlignment="1">
      <alignment horizontal="right" vertical="center" wrapText="1"/>
    </xf>
    <xf numFmtId="0" fontId="7" fillId="0" borderId="35" xfId="26" applyFont="1" applyBorder="1" applyAlignment="1">
      <alignment horizontal="center" vertical="center" wrapText="1"/>
    </xf>
    <xf numFmtId="0" fontId="9" fillId="0" borderId="36" xfId="26" applyFont="1" applyBorder="1" applyAlignment="1">
      <alignment vertical="center" wrapText="1"/>
    </xf>
    <xf numFmtId="0" fontId="8" fillId="0" borderId="36" xfId="26" applyFont="1" applyBorder="1" applyAlignment="1">
      <alignment horizontal="center" vertical="center" wrapText="1"/>
    </xf>
    <xf numFmtId="164" fontId="8" fillId="0" borderId="36" xfId="6" applyNumberFormat="1" applyFont="1" applyBorder="1" applyAlignment="1">
      <alignment horizontal="center" vertical="center" wrapText="1"/>
    </xf>
    <xf numFmtId="0" fontId="8" fillId="0" borderId="35" xfId="26" applyFont="1" applyBorder="1" applyAlignment="1">
      <alignment horizontal="center" vertical="center" wrapText="1"/>
    </xf>
    <xf numFmtId="0" fontId="8" fillId="0" borderId="35" xfId="26" applyFont="1" applyBorder="1" applyAlignment="1">
      <alignment vertical="center" wrapText="1"/>
    </xf>
    <xf numFmtId="0" fontId="8" fillId="0" borderId="30" xfId="26" applyFont="1" applyBorder="1" applyAlignment="1">
      <alignment horizontal="center" vertical="center" wrapText="1"/>
    </xf>
    <xf numFmtId="164" fontId="8" fillId="0" borderId="30" xfId="6" applyNumberFormat="1" applyFont="1" applyBorder="1" applyAlignment="1">
      <alignment horizontal="center" vertical="center" wrapText="1"/>
    </xf>
    <xf numFmtId="0" fontId="8" fillId="2" borderId="22" xfId="26" applyFont="1" applyFill="1" applyBorder="1" applyAlignment="1">
      <alignment horizontal="center" vertical="center" wrapText="1"/>
    </xf>
    <xf numFmtId="0" fontId="8" fillId="2" borderId="22" xfId="26" applyFont="1" applyFill="1" applyBorder="1" applyAlignment="1">
      <alignment vertical="center" wrapText="1"/>
    </xf>
    <xf numFmtId="3" fontId="20" fillId="2" borderId="30" xfId="26" applyNumberFormat="1" applyFont="1" applyFill="1" applyBorder="1" applyAlignment="1">
      <alignment horizontal="right" vertical="center" wrapText="1"/>
    </xf>
    <xf numFmtId="0" fontId="7" fillId="0" borderId="35" xfId="26" applyFont="1" applyBorder="1" applyAlignment="1">
      <alignment vertical="center" wrapText="1"/>
    </xf>
    <xf numFmtId="164" fontId="47" fillId="2" borderId="33" xfId="26" applyNumberFormat="1" applyFont="1" applyFill="1" applyBorder="1" applyAlignment="1">
      <alignment horizontal="right" vertical="center" wrapText="1"/>
    </xf>
    <xf numFmtId="164" fontId="7" fillId="0" borderId="0" xfId="6" applyNumberFormat="1" applyFont="1" applyAlignment="1">
      <alignment wrapText="1"/>
    </xf>
    <xf numFmtId="0" fontId="7" fillId="0" borderId="0" xfId="26" applyFont="1" applyAlignment="1">
      <alignment horizontal="center" wrapText="1"/>
    </xf>
    <xf numFmtId="164" fontId="1" fillId="0" borderId="0" xfId="6" applyNumberFormat="1" applyFont="1"/>
    <xf numFmtId="0" fontId="19" fillId="0" borderId="0" xfId="26" applyFont="1"/>
    <xf numFmtId="0" fontId="23" fillId="0" borderId="0" xfId="26" applyFont="1"/>
    <xf numFmtId="164" fontId="23" fillId="0" borderId="0" xfId="6" applyNumberFormat="1" applyFont="1"/>
    <xf numFmtId="0" fontId="15" fillId="0" borderId="0" xfId="26" applyFont="1"/>
    <xf numFmtId="164" fontId="40" fillId="0" borderId="0" xfId="1" applyNumberFormat="1" applyFont="1" applyAlignment="1"/>
    <xf numFmtId="0" fontId="1" fillId="0" borderId="0" xfId="15" applyFont="1"/>
    <xf numFmtId="0" fontId="48" fillId="0" borderId="0" xfId="23" applyFont="1" applyAlignment="1" applyProtection="1"/>
    <xf numFmtId="0" fontId="49" fillId="0" borderId="0" xfId="15" applyFont="1"/>
    <xf numFmtId="0" fontId="50" fillId="0" borderId="0" xfId="26" applyFont="1"/>
    <xf numFmtId="0" fontId="51" fillId="0" borderId="0" xfId="26" applyFont="1"/>
    <xf numFmtId="164" fontId="50" fillId="0" borderId="0" xfId="6" applyNumberFormat="1" applyFont="1"/>
    <xf numFmtId="0" fontId="50" fillId="0" borderId="0" xfId="26" applyFont="1" applyBorder="1" applyAlignment="1"/>
    <xf numFmtId="164" fontId="50" fillId="0" borderId="0" xfId="6" applyNumberFormat="1" applyFont="1" applyBorder="1" applyAlignment="1"/>
    <xf numFmtId="0" fontId="50" fillId="0" borderId="0" xfId="26" applyFont="1" applyBorder="1" applyAlignment="1">
      <alignment horizontal="left"/>
    </xf>
    <xf numFmtId="164" fontId="50" fillId="0" borderId="0" xfId="6" applyNumberFormat="1" applyFont="1" applyBorder="1" applyAlignment="1">
      <alignment horizontal="left"/>
    </xf>
    <xf numFmtId="0" fontId="50" fillId="0" borderId="37" xfId="26" applyFont="1" applyBorder="1" applyAlignment="1">
      <alignment horizontal="center" vertical="center"/>
    </xf>
    <xf numFmtId="0" fontId="52" fillId="0" borderId="38" xfId="26" applyFont="1" applyBorder="1" applyAlignment="1">
      <alignment horizontal="center" vertical="center"/>
    </xf>
    <xf numFmtId="164" fontId="72" fillId="0" borderId="25" xfId="6" applyNumberFormat="1" applyFont="1" applyFill="1" applyBorder="1" applyAlignment="1">
      <alignment horizontal="center" vertical="center"/>
    </xf>
    <xf numFmtId="164" fontId="72" fillId="0" borderId="26" xfId="6" applyNumberFormat="1" applyFont="1" applyFill="1" applyBorder="1" applyAlignment="1">
      <alignment horizontal="center" vertical="center"/>
    </xf>
    <xf numFmtId="164" fontId="78" fillId="4" borderId="26" xfId="6" applyNumberFormat="1" applyFont="1" applyFill="1" applyBorder="1" applyAlignment="1" applyProtection="1">
      <alignment horizontal="center" vertical="center"/>
    </xf>
    <xf numFmtId="0" fontId="72" fillId="0" borderId="27" xfId="15" applyFont="1" applyFill="1" applyBorder="1" applyAlignment="1">
      <alignment horizontal="center" vertical="center"/>
    </xf>
    <xf numFmtId="0" fontId="51" fillId="0" borderId="0" xfId="26" applyFont="1" applyAlignment="1">
      <alignment vertical="center"/>
    </xf>
    <xf numFmtId="0" fontId="50" fillId="0" borderId="35" xfId="26" applyFont="1" applyBorder="1" applyAlignment="1">
      <alignment horizontal="center"/>
    </xf>
    <xf numFmtId="0" fontId="53" fillId="0" borderId="35" xfId="26" applyFont="1" applyBorder="1" applyAlignment="1">
      <alignment wrapText="1"/>
    </xf>
    <xf numFmtId="164" fontId="50" fillId="0" borderId="25" xfId="6" applyNumberFormat="1" applyFont="1" applyBorder="1" applyAlignment="1">
      <alignment horizontal="center"/>
    </xf>
    <xf numFmtId="164" fontId="50" fillId="0" borderId="26" xfId="6" applyNumberFormat="1" applyFont="1" applyBorder="1" applyAlignment="1">
      <alignment horizontal="center"/>
    </xf>
    <xf numFmtId="0" fontId="50" fillId="0" borderId="27" xfId="26" applyFont="1" applyBorder="1" applyAlignment="1">
      <alignment horizontal="center"/>
    </xf>
    <xf numFmtId="0" fontId="50" fillId="0" borderId="34" xfId="26" applyFont="1" applyBorder="1" applyAlignment="1">
      <alignment horizontal="center"/>
    </xf>
    <xf numFmtId="0" fontId="53" fillId="0" borderId="34" xfId="26" applyFont="1" applyBorder="1" applyAlignment="1">
      <alignment wrapText="1"/>
    </xf>
    <xf numFmtId="164" fontId="50" fillId="0" borderId="39" xfId="6" applyNumberFormat="1" applyFont="1" applyBorder="1" applyAlignment="1">
      <alignment horizontal="center"/>
    </xf>
    <xf numFmtId="164" fontId="50" fillId="0" borderId="40" xfId="6" applyNumberFormat="1" applyFont="1" applyBorder="1" applyAlignment="1">
      <alignment horizontal="center"/>
    </xf>
    <xf numFmtId="0" fontId="50" fillId="0" borderId="41" xfId="26" applyFont="1" applyBorder="1" applyAlignment="1">
      <alignment horizontal="center"/>
    </xf>
    <xf numFmtId="164" fontId="51" fillId="0" borderId="0" xfId="26" applyNumberFormat="1" applyFont="1"/>
    <xf numFmtId="0" fontId="50" fillId="0" borderId="39" xfId="26" applyFont="1" applyBorder="1" applyAlignment="1">
      <alignment horizontal="center"/>
    </xf>
    <xf numFmtId="0" fontId="53" fillId="0" borderId="34" xfId="26" applyFont="1" applyBorder="1" applyAlignment="1">
      <alignment horizontal="center"/>
    </xf>
    <xf numFmtId="0" fontId="54" fillId="0" borderId="34" xfId="26" applyFont="1" applyBorder="1" applyAlignment="1">
      <alignment wrapText="1"/>
    </xf>
    <xf numFmtId="0" fontId="50" fillId="2" borderId="34" xfId="26" applyFont="1" applyFill="1" applyBorder="1" applyAlignment="1">
      <alignment horizontal="center"/>
    </xf>
    <xf numFmtId="0" fontId="50" fillId="2" borderId="34" xfId="26" applyFont="1" applyFill="1" applyBorder="1" applyAlignment="1">
      <alignment wrapText="1"/>
    </xf>
    <xf numFmtId="0" fontId="50" fillId="2" borderId="39" xfId="26" applyFont="1" applyFill="1" applyBorder="1" applyAlignment="1">
      <alignment horizontal="center"/>
    </xf>
    <xf numFmtId="164" fontId="50" fillId="2" borderId="39" xfId="6" applyNumberFormat="1" applyFont="1" applyFill="1" applyBorder="1" applyAlignment="1">
      <alignment horizontal="center"/>
    </xf>
    <xf numFmtId="0" fontId="50" fillId="2" borderId="41" xfId="26" applyFont="1" applyFill="1" applyBorder="1" applyAlignment="1">
      <alignment horizontal="center"/>
    </xf>
    <xf numFmtId="164" fontId="50" fillId="2" borderId="40" xfId="6" applyNumberFormat="1" applyFont="1" applyFill="1" applyBorder="1" applyAlignment="1">
      <alignment horizontal="center"/>
    </xf>
    <xf numFmtId="0" fontId="53" fillId="0" borderId="0" xfId="26" applyFont="1"/>
    <xf numFmtId="0" fontId="53" fillId="0" borderId="42" xfId="26" applyFont="1" applyBorder="1" applyAlignment="1"/>
    <xf numFmtId="164" fontId="53" fillId="0" borderId="42" xfId="6" applyNumberFormat="1" applyFont="1" applyBorder="1" applyAlignment="1"/>
    <xf numFmtId="0" fontId="40" fillId="0" borderId="0" xfId="26" applyFont="1"/>
    <xf numFmtId="164" fontId="55" fillId="0" borderId="0" xfId="6" applyNumberFormat="1" applyFont="1" applyAlignment="1">
      <alignment horizontal="center"/>
    </xf>
    <xf numFmtId="0" fontId="55" fillId="0" borderId="0" xfId="26" applyFont="1" applyAlignment="1">
      <alignment horizontal="center"/>
    </xf>
    <xf numFmtId="0" fontId="56" fillId="0" borderId="0" xfId="15" applyFont="1" applyAlignment="1"/>
    <xf numFmtId="0" fontId="15" fillId="0" borderId="0" xfId="15" applyFont="1"/>
    <xf numFmtId="0" fontId="18" fillId="0" borderId="35" xfId="15" applyFont="1" applyBorder="1" applyAlignment="1">
      <alignment horizontal="center" vertical="distributed"/>
    </xf>
    <xf numFmtId="0" fontId="18" fillId="0" borderId="30" xfId="15" applyFont="1" applyBorder="1" applyAlignment="1">
      <alignment horizontal="center" vertical="distributed"/>
    </xf>
    <xf numFmtId="0" fontId="18" fillId="0" borderId="36" xfId="15" applyFont="1" applyBorder="1" applyAlignment="1">
      <alignment horizontal="center" vertical="distributed"/>
    </xf>
    <xf numFmtId="0" fontId="18" fillId="0" borderId="31" xfId="15" applyFont="1" applyBorder="1" applyAlignment="1">
      <alignment horizontal="center" vertical="distributed"/>
    </xf>
    <xf numFmtId="0" fontId="18" fillId="0" borderId="35" xfId="15" applyFont="1" applyBorder="1" applyAlignment="1">
      <alignment horizontal="center"/>
    </xf>
    <xf numFmtId="0" fontId="18" fillId="0" borderId="30" xfId="15" applyFont="1" applyBorder="1" applyAlignment="1">
      <alignment horizontal="center"/>
    </xf>
    <xf numFmtId="0" fontId="18" fillId="0" borderId="36" xfId="15" applyFont="1" applyBorder="1" applyAlignment="1">
      <alignment horizontal="center"/>
    </xf>
    <xf numFmtId="0" fontId="18" fillId="0" borderId="43" xfId="15" applyFont="1" applyBorder="1" applyAlignment="1">
      <alignment horizontal="center"/>
    </xf>
    <xf numFmtId="0" fontId="18" fillId="0" borderId="44" xfId="15" applyFont="1" applyBorder="1" applyAlignment="1">
      <alignment horizontal="center"/>
    </xf>
    <xf numFmtId="0" fontId="15" fillId="0" borderId="45" xfId="15" applyFont="1" applyBorder="1"/>
    <xf numFmtId="0" fontId="15" fillId="0" borderId="46" xfId="15" applyFont="1" applyBorder="1" applyAlignment="1">
      <alignment horizontal="center"/>
    </xf>
    <xf numFmtId="0" fontId="15" fillId="0" borderId="45" xfId="15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164" fontId="15" fillId="0" borderId="45" xfId="1" applyNumberFormat="1" applyFont="1" applyBorder="1" applyAlignment="1">
      <alignment horizontal="center"/>
    </xf>
    <xf numFmtId="164" fontId="15" fillId="0" borderId="46" xfId="1" applyNumberFormat="1" applyFont="1" applyBorder="1" applyAlignment="1">
      <alignment horizontal="center"/>
    </xf>
    <xf numFmtId="0" fontId="18" fillId="0" borderId="30" xfId="15" applyFont="1" applyBorder="1" applyAlignment="1">
      <alignment vertical="distributed"/>
    </xf>
    <xf numFmtId="0" fontId="1" fillId="0" borderId="25" xfId="15" applyBorder="1"/>
    <xf numFmtId="0" fontId="1" fillId="0" borderId="26" xfId="15" applyBorder="1"/>
    <xf numFmtId="0" fontId="1" fillId="0" borderId="47" xfId="15" applyBorder="1"/>
    <xf numFmtId="164" fontId="26" fillId="0" borderId="30" xfId="15" applyNumberFormat="1" applyFont="1" applyBorder="1"/>
    <xf numFmtId="0" fontId="27" fillId="0" borderId="0" xfId="15" applyFont="1"/>
    <xf numFmtId="0" fontId="1" fillId="0" borderId="9" xfId="15" applyFont="1" applyBorder="1" applyAlignment="1">
      <alignment horizontal="center"/>
    </xf>
    <xf numFmtId="14" fontId="1" fillId="0" borderId="18" xfId="15" applyNumberFormat="1" applyFont="1" applyBorder="1" applyAlignment="1">
      <alignment horizontal="center"/>
    </xf>
    <xf numFmtId="0" fontId="10" fillId="0" borderId="15" xfId="15" applyFont="1" applyBorder="1"/>
    <xf numFmtId="0" fontId="1" fillId="0" borderId="1" xfId="15" applyFont="1" applyBorder="1" applyAlignment="1">
      <alignment horizontal="center"/>
    </xf>
    <xf numFmtId="0" fontId="10" fillId="0" borderId="0" xfId="15" applyFont="1"/>
    <xf numFmtId="0" fontId="10" fillId="0" borderId="1" xfId="15" applyFont="1" applyBorder="1"/>
    <xf numFmtId="0" fontId="26" fillId="0" borderId="1" xfId="15" applyFont="1" applyBorder="1"/>
    <xf numFmtId="0" fontId="1" fillId="0" borderId="1" xfId="15" applyFont="1" applyBorder="1"/>
    <xf numFmtId="0" fontId="1" fillId="0" borderId="9" xfId="15" applyFont="1" applyBorder="1"/>
    <xf numFmtId="0" fontId="29" fillId="0" borderId="26" xfId="15" applyFont="1" applyBorder="1" applyAlignment="1">
      <alignment vertical="center"/>
    </xf>
    <xf numFmtId="0" fontId="29" fillId="0" borderId="26" xfId="15" applyFont="1" applyBorder="1" applyAlignment="1">
      <alignment horizontal="center" vertical="center"/>
    </xf>
    <xf numFmtId="3" fontId="1" fillId="0" borderId="0" xfId="15" applyNumberFormat="1" applyFont="1"/>
    <xf numFmtId="164" fontId="1" fillId="0" borderId="1" xfId="1" applyNumberFormat="1" applyFont="1" applyBorder="1"/>
    <xf numFmtId="43" fontId="1" fillId="0" borderId="0" xfId="15" applyNumberFormat="1" applyFont="1"/>
    <xf numFmtId="1" fontId="1" fillId="0" borderId="0" xfId="15" applyNumberFormat="1" applyFont="1"/>
    <xf numFmtId="0" fontId="1" fillId="0" borderId="0" xfId="15" applyFont="1" applyBorder="1"/>
    <xf numFmtId="3" fontId="1" fillId="0" borderId="0" xfId="15" applyNumberFormat="1" applyFont="1" applyBorder="1"/>
    <xf numFmtId="3" fontId="1" fillId="0" borderId="0" xfId="13" applyNumberFormat="1" applyFont="1" applyFill="1" applyBorder="1"/>
    <xf numFmtId="4" fontId="1" fillId="0" borderId="0" xfId="15" applyNumberFormat="1" applyFont="1"/>
    <xf numFmtId="0" fontId="51" fillId="0" borderId="0" xfId="20" applyFont="1" applyFill="1"/>
    <xf numFmtId="0" fontId="51" fillId="0" borderId="0" xfId="20" applyFont="1" applyFill="1" applyAlignment="1">
      <alignment vertical="top"/>
    </xf>
    <xf numFmtId="0" fontId="57" fillId="0" borderId="0" xfId="18" applyFont="1" applyFill="1"/>
    <xf numFmtId="0" fontId="51" fillId="0" borderId="1" xfId="20" applyFont="1" applyFill="1" applyBorder="1" applyAlignment="1">
      <alignment horizontal="center" vertical="center" wrapText="1"/>
    </xf>
    <xf numFmtId="0" fontId="51" fillId="0" borderId="1" xfId="20" applyFont="1" applyFill="1" applyBorder="1" applyAlignment="1">
      <alignment vertical="center" wrapText="1"/>
    </xf>
    <xf numFmtId="0" fontId="55" fillId="0" borderId="1" xfId="20" applyFont="1" applyFill="1" applyBorder="1" applyAlignment="1">
      <alignment horizontal="center" vertical="center" wrapText="1"/>
    </xf>
    <xf numFmtId="0" fontId="51" fillId="0" borderId="1" xfId="20" applyFont="1" applyFill="1" applyBorder="1" applyAlignment="1">
      <alignment horizontal="center"/>
    </xf>
    <xf numFmtId="0" fontId="51" fillId="0" borderId="1" xfId="20" applyFont="1" applyFill="1" applyBorder="1"/>
    <xf numFmtId="0" fontId="51" fillId="0" borderId="1" xfId="20" applyFont="1" applyFill="1" applyBorder="1" applyAlignment="1">
      <alignment horizontal="center" vertical="center"/>
    </xf>
    <xf numFmtId="0" fontId="51" fillId="0" borderId="1" xfId="20" applyFont="1" applyFill="1" applyBorder="1" applyAlignment="1">
      <alignment horizontal="left" vertical="center"/>
    </xf>
    <xf numFmtId="164" fontId="51" fillId="0" borderId="1" xfId="4" applyNumberFormat="1" applyFont="1" applyFill="1" applyBorder="1" applyAlignment="1">
      <alignment vertical="center"/>
    </xf>
    <xf numFmtId="164" fontId="51" fillId="0" borderId="1" xfId="4" applyNumberFormat="1" applyFont="1" applyFill="1" applyBorder="1" applyAlignment="1">
      <alignment horizontal="center" vertical="center"/>
    </xf>
    <xf numFmtId="164" fontId="51" fillId="0" borderId="1" xfId="4" applyNumberFormat="1" applyFont="1" applyFill="1" applyBorder="1" applyAlignment="1">
      <alignment horizontal="right" vertical="center"/>
    </xf>
    <xf numFmtId="9" fontId="51" fillId="0" borderId="1" xfId="20" applyNumberFormat="1" applyFont="1" applyFill="1" applyBorder="1" applyAlignment="1">
      <alignment horizontal="right" vertical="center"/>
    </xf>
    <xf numFmtId="164" fontId="79" fillId="0" borderId="1" xfId="4" applyNumberFormat="1" applyFont="1" applyFill="1" applyBorder="1" applyAlignment="1">
      <alignment vertical="center"/>
    </xf>
    <xf numFmtId="37" fontId="51" fillId="0" borderId="1" xfId="4" applyNumberFormat="1" applyFont="1" applyFill="1" applyBorder="1" applyAlignment="1">
      <alignment vertical="center"/>
    </xf>
    <xf numFmtId="164" fontId="57" fillId="0" borderId="0" xfId="6" applyNumberFormat="1" applyFont="1" applyFill="1"/>
    <xf numFmtId="9" fontId="51" fillId="0" borderId="1" xfId="20" applyNumberFormat="1" applyFont="1" applyFill="1" applyBorder="1" applyAlignment="1">
      <alignment vertical="center"/>
    </xf>
    <xf numFmtId="0" fontId="55" fillId="0" borderId="1" xfId="20" applyFont="1" applyFill="1" applyBorder="1" applyAlignment="1">
      <alignment horizontal="center" vertical="center"/>
    </xf>
    <xf numFmtId="0" fontId="55" fillId="0" borderId="1" xfId="20" applyFont="1" applyFill="1" applyBorder="1" applyAlignment="1">
      <alignment vertical="center"/>
    </xf>
    <xf numFmtId="164" fontId="55" fillId="0" borderId="1" xfId="4" applyNumberFormat="1" applyFont="1" applyFill="1" applyBorder="1" applyAlignment="1">
      <alignment vertical="center"/>
    </xf>
    <xf numFmtId="164" fontId="57" fillId="0" borderId="0" xfId="18" applyNumberFormat="1" applyFont="1" applyFill="1"/>
    <xf numFmtId="164" fontId="58" fillId="0" borderId="0" xfId="18" applyNumberFormat="1" applyFont="1" applyFill="1"/>
    <xf numFmtId="164" fontId="59" fillId="0" borderId="0" xfId="18" applyNumberFormat="1" applyFont="1" applyFill="1"/>
    <xf numFmtId="164" fontId="26" fillId="0" borderId="1" xfId="1" applyNumberFormat="1" applyFont="1" applyBorder="1"/>
    <xf numFmtId="164" fontId="1" fillId="0" borderId="1" xfId="1" applyNumberFormat="1" applyFont="1" applyFill="1" applyBorder="1"/>
    <xf numFmtId="164" fontId="1" fillId="0" borderId="9" xfId="1" applyNumberFormat="1" applyFont="1" applyBorder="1"/>
    <xf numFmtId="164" fontId="29" fillId="0" borderId="26" xfId="1" applyNumberFormat="1" applyFont="1" applyBorder="1" applyAlignment="1">
      <alignment vertical="center"/>
    </xf>
    <xf numFmtId="164" fontId="29" fillId="0" borderId="27" xfId="1" applyNumberFormat="1" applyFont="1" applyFill="1" applyBorder="1" applyAlignment="1">
      <alignment vertical="center"/>
    </xf>
    <xf numFmtId="0" fontId="60" fillId="0" borderId="0" xfId="15" applyFont="1" applyAlignment="1">
      <alignment horizontal="left" vertical="center"/>
    </xf>
    <xf numFmtId="0" fontId="26" fillId="0" borderId="0" xfId="15" applyFont="1"/>
    <xf numFmtId="0" fontId="27" fillId="0" borderId="0" xfId="15" applyFont="1" applyBorder="1" applyAlignment="1">
      <alignment horizontal="right"/>
    </xf>
    <xf numFmtId="164" fontId="33" fillId="0" borderId="5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left"/>
    </xf>
    <xf numFmtId="164" fontId="33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left" wrapText="1"/>
    </xf>
    <xf numFmtId="43" fontId="1" fillId="0" borderId="0" xfId="15" applyNumberFormat="1"/>
    <xf numFmtId="0" fontId="10" fillId="0" borderId="22" xfId="15" applyFont="1" applyBorder="1"/>
    <xf numFmtId="0" fontId="33" fillId="0" borderId="0" xfId="15" applyFont="1" applyBorder="1"/>
    <xf numFmtId="0" fontId="10" fillId="0" borderId="0" xfId="15" applyFont="1" applyBorder="1"/>
    <xf numFmtId="0" fontId="10" fillId="0" borderId="6" xfId="15" applyFont="1" applyBorder="1"/>
    <xf numFmtId="164" fontId="33" fillId="0" borderId="3" xfId="1" applyNumberFormat="1" applyFont="1" applyBorder="1" applyAlignment="1">
      <alignment horizontal="left"/>
    </xf>
    <xf numFmtId="0" fontId="1" fillId="0" borderId="1" xfId="15" applyBorder="1"/>
    <xf numFmtId="0" fontId="1" fillId="0" borderId="11" xfId="15" applyFont="1" applyFill="1" applyBorder="1"/>
    <xf numFmtId="0" fontId="1" fillId="0" borderId="1" xfId="15" applyFill="1" applyBorder="1"/>
    <xf numFmtId="164" fontId="0" fillId="0" borderId="1" xfId="1" applyNumberFormat="1" applyFont="1" applyBorder="1"/>
    <xf numFmtId="0" fontId="26" fillId="0" borderId="9" xfId="15" applyFont="1" applyBorder="1"/>
    <xf numFmtId="0" fontId="1" fillId="0" borderId="9" xfId="15" applyBorder="1"/>
    <xf numFmtId="0" fontId="1" fillId="0" borderId="24" xfId="15" applyBorder="1"/>
    <xf numFmtId="0" fontId="1" fillId="0" borderId="15" xfId="15" applyBorder="1"/>
    <xf numFmtId="0" fontId="1" fillId="0" borderId="18" xfId="15" applyBorder="1"/>
    <xf numFmtId="0" fontId="26" fillId="0" borderId="24" xfId="15" applyFont="1" applyBorder="1"/>
    <xf numFmtId="0" fontId="26" fillId="0" borderId="15" xfId="15" applyFont="1" applyBorder="1"/>
    <xf numFmtId="0" fontId="71" fillId="0" borderId="0" xfId="15" applyFont="1" applyBorder="1"/>
    <xf numFmtId="0" fontId="18" fillId="0" borderId="28" xfId="15" applyFont="1" applyBorder="1"/>
    <xf numFmtId="0" fontId="13" fillId="0" borderId="28" xfId="15" applyFont="1" applyBorder="1" applyAlignment="1">
      <alignment horizontal="right"/>
    </xf>
    <xf numFmtId="0" fontId="13" fillId="0" borderId="28" xfId="15" applyFont="1" applyBorder="1"/>
    <xf numFmtId="0" fontId="13" fillId="0" borderId="0" xfId="15" applyFont="1" applyAlignment="1">
      <alignment horizontal="right"/>
    </xf>
    <xf numFmtId="0" fontId="13" fillId="0" borderId="0" xfId="15" applyFont="1"/>
    <xf numFmtId="0" fontId="12" fillId="0" borderId="0" xfId="15" applyFont="1"/>
    <xf numFmtId="0" fontId="11" fillId="0" borderId="0" xfId="15" applyFont="1"/>
    <xf numFmtId="164" fontId="12" fillId="0" borderId="0" xfId="1" applyNumberFormat="1" applyFont="1"/>
    <xf numFmtId="0" fontId="12" fillId="0" borderId="29" xfId="15" applyFont="1" applyBorder="1"/>
    <xf numFmtId="0" fontId="13" fillId="0" borderId="29" xfId="15" applyFont="1" applyBorder="1"/>
    <xf numFmtId="0" fontId="11" fillId="0" borderId="29" xfId="15" applyFont="1" applyBorder="1"/>
    <xf numFmtId="0" fontId="11" fillId="0" borderId="0" xfId="15" applyFont="1" applyAlignment="1">
      <alignment horizontal="right"/>
    </xf>
    <xf numFmtId="164" fontId="10" fillId="0" borderId="1" xfId="1" applyNumberFormat="1" applyFont="1" applyFill="1" applyBorder="1" applyAlignment="1">
      <alignment horizontal="left" wrapText="1"/>
    </xf>
    <xf numFmtId="164" fontId="1" fillId="0" borderId="0" xfId="1" applyNumberFormat="1"/>
    <xf numFmtId="0" fontId="71" fillId="0" borderId="0" xfId="15" applyFont="1"/>
    <xf numFmtId="164" fontId="18" fillId="0" borderId="28" xfId="8" applyNumberFormat="1" applyFont="1" applyBorder="1"/>
    <xf numFmtId="164" fontId="11" fillId="0" borderId="0" xfId="8" applyNumberFormat="1" applyFont="1"/>
    <xf numFmtId="164" fontId="13" fillId="0" borderId="0" xfId="8" applyNumberFormat="1" applyFont="1"/>
    <xf numFmtId="0" fontId="13" fillId="0" borderId="0" xfId="15" applyFont="1" applyBorder="1" applyAlignment="1">
      <alignment horizontal="right"/>
    </xf>
    <xf numFmtId="0" fontId="13" fillId="0" borderId="0" xfId="15" applyFont="1" applyBorder="1"/>
    <xf numFmtId="164" fontId="12" fillId="0" borderId="0" xfId="8" applyNumberFormat="1" applyFont="1" applyBorder="1"/>
    <xf numFmtId="164" fontId="12" fillId="0" borderId="28" xfId="8" applyNumberFormat="1" applyFont="1" applyBorder="1"/>
    <xf numFmtId="164" fontId="12" fillId="0" borderId="0" xfId="8" applyNumberFormat="1" applyFont="1"/>
    <xf numFmtId="164" fontId="12" fillId="0" borderId="0" xfId="15" applyNumberFormat="1" applyFont="1"/>
    <xf numFmtId="164" fontId="11" fillId="0" borderId="0" xfId="15" applyNumberFormat="1" applyFont="1"/>
    <xf numFmtId="0" fontId="12" fillId="0" borderId="0" xfId="15" applyFont="1" applyAlignment="1">
      <alignment horizontal="right"/>
    </xf>
    <xf numFmtId="0" fontId="12" fillId="0" borderId="0" xfId="15" applyFont="1" applyBorder="1"/>
    <xf numFmtId="164" fontId="12" fillId="0" borderId="0" xfId="1" applyNumberFormat="1" applyFont="1" applyBorder="1"/>
    <xf numFmtId="164" fontId="12" fillId="0" borderId="28" xfId="1" applyNumberFormat="1" applyFont="1" applyBorder="1"/>
    <xf numFmtId="164" fontId="1" fillId="0" borderId="0" xfId="15" applyNumberFormat="1" applyFont="1"/>
    <xf numFmtId="164" fontId="8" fillId="0" borderId="32" xfId="1" applyNumberFormat="1" applyFont="1" applyBorder="1" applyAlignment="1">
      <alignment horizontal="center" vertical="center" wrapText="1"/>
    </xf>
    <xf numFmtId="164" fontId="1" fillId="0" borderId="30" xfId="1" applyNumberFormat="1" applyBorder="1" applyAlignment="1">
      <alignment vertical="center"/>
    </xf>
    <xf numFmtId="164" fontId="1" fillId="0" borderId="30" xfId="1" applyNumberFormat="1" applyFont="1" applyBorder="1" applyAlignment="1">
      <alignment vertical="center"/>
    </xf>
    <xf numFmtId="164" fontId="69" fillId="0" borderId="0" xfId="0" applyNumberFormat="1" applyFont="1"/>
    <xf numFmtId="164" fontId="39" fillId="0" borderId="1" xfId="1" applyNumberFormat="1" applyFont="1" applyFill="1" applyBorder="1" applyAlignment="1">
      <alignment wrapText="1"/>
    </xf>
    <xf numFmtId="3" fontId="1" fillId="0" borderId="0" xfId="0" applyNumberFormat="1" applyFont="1" applyBorder="1"/>
    <xf numFmtId="3" fontId="80" fillId="0" borderId="0" xfId="0" applyNumberFormat="1" applyFont="1" applyAlignment="1">
      <alignment horizontal="center" wrapText="1"/>
    </xf>
    <xf numFmtId="0" fontId="26" fillId="0" borderId="28" xfId="15" applyFont="1" applyBorder="1"/>
    <xf numFmtId="3" fontId="26" fillId="0" borderId="28" xfId="15" applyNumberFormat="1" applyFont="1" applyBorder="1"/>
    <xf numFmtId="164" fontId="18" fillId="0" borderId="28" xfId="15" applyNumberFormat="1" applyFont="1" applyBorder="1"/>
    <xf numFmtId="0" fontId="3" fillId="0" borderId="15" xfId="0" applyFont="1" applyBorder="1" applyAlignment="1">
      <alignment wrapText="1"/>
    </xf>
    <xf numFmtId="164" fontId="3" fillId="0" borderId="15" xfId="1" applyNumberFormat="1" applyFont="1" applyBorder="1" applyAlignment="1">
      <alignment wrapText="1"/>
    </xf>
    <xf numFmtId="164" fontId="4" fillId="0" borderId="15" xfId="1" applyNumberFormat="1" applyFont="1" applyBorder="1" applyAlignment="1">
      <alignment wrapText="1"/>
    </xf>
    <xf numFmtId="164" fontId="3" fillId="2" borderId="15" xfId="1" applyNumberFormat="1" applyFont="1" applyFill="1" applyBorder="1" applyAlignment="1">
      <alignment wrapText="1"/>
    </xf>
    <xf numFmtId="164" fontId="12" fillId="0" borderId="15" xfId="1" applyNumberFormat="1" applyFont="1" applyBorder="1" applyAlignment="1">
      <alignment wrapText="1"/>
    </xf>
    <xf numFmtId="164" fontId="11" fillId="0" borderId="15" xfId="1" applyNumberFormat="1" applyFont="1" applyBorder="1" applyAlignment="1">
      <alignment horizontal="right" wrapText="1"/>
    </xf>
    <xf numFmtId="164" fontId="14" fillId="2" borderId="15" xfId="1" applyNumberFormat="1" applyFont="1" applyFill="1" applyBorder="1" applyAlignment="1">
      <alignment wrapText="1"/>
    </xf>
    <xf numFmtId="164" fontId="11" fillId="0" borderId="15" xfId="1" applyNumberFormat="1" applyFont="1" applyBorder="1" applyAlignment="1">
      <alignment wrapText="1"/>
    </xf>
    <xf numFmtId="3" fontId="4" fillId="0" borderId="56" xfId="0" applyNumberFormat="1" applyFont="1" applyBorder="1" applyAlignment="1">
      <alignment wrapText="1"/>
    </xf>
    <xf numFmtId="164" fontId="3" fillId="0" borderId="5" xfId="1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4" fillId="0" borderId="16" xfId="1" applyNumberFormat="1" applyFont="1" applyBorder="1" applyAlignment="1">
      <alignment wrapText="1"/>
    </xf>
    <xf numFmtId="164" fontId="4" fillId="2" borderId="16" xfId="1" applyNumberFormat="1" applyFont="1" applyFill="1" applyBorder="1" applyAlignment="1">
      <alignment wrapText="1"/>
    </xf>
    <xf numFmtId="164" fontId="12" fillId="0" borderId="16" xfId="1" applyNumberFormat="1" applyFont="1" applyBorder="1" applyAlignment="1">
      <alignment wrapText="1"/>
    </xf>
    <xf numFmtId="164" fontId="12" fillId="0" borderId="16" xfId="1" applyNumberFormat="1" applyFont="1" applyBorder="1" applyAlignment="1">
      <alignment horizontal="right" wrapText="1"/>
    </xf>
    <xf numFmtId="3" fontId="4" fillId="0" borderId="21" xfId="0" applyNumberFormat="1" applyFont="1" applyBorder="1" applyAlignment="1">
      <alignment wrapText="1"/>
    </xf>
    <xf numFmtId="0" fontId="50" fillId="0" borderId="30" xfId="26" applyFont="1" applyBorder="1" applyAlignment="1">
      <alignment horizontal="center" vertical="center"/>
    </xf>
    <xf numFmtId="164" fontId="72" fillId="0" borderId="27" xfId="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3" fontId="3" fillId="0" borderId="2" xfId="0" applyNumberFormat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6" fillId="0" borderId="18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3" fillId="0" borderId="48" xfId="0" applyNumberFormat="1" applyFont="1" applyBorder="1" applyAlignment="1">
      <alignment horizontal="center" wrapText="1"/>
    </xf>
    <xf numFmtId="3" fontId="3" fillId="0" borderId="18" xfId="0" applyNumberFormat="1" applyFont="1" applyBorder="1" applyAlignment="1">
      <alignment horizontal="center" wrapText="1"/>
    </xf>
    <xf numFmtId="164" fontId="3" fillId="0" borderId="18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3" fontId="3" fillId="0" borderId="0" xfId="15" applyNumberFormat="1" applyFont="1"/>
    <xf numFmtId="3" fontId="6" fillId="0" borderId="0" xfId="15" applyNumberFormat="1" applyFont="1" applyBorder="1"/>
    <xf numFmtId="3" fontId="6" fillId="0" borderId="1" xfId="15" applyNumberFormat="1" applyFont="1" applyBorder="1" applyAlignment="1">
      <alignment wrapText="1"/>
    </xf>
    <xf numFmtId="3" fontId="6" fillId="0" borderId="1" xfId="15" applyNumberFormat="1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21" fillId="0" borderId="0" xfId="0" applyFont="1"/>
    <xf numFmtId="3" fontId="3" fillId="0" borderId="0" xfId="0" applyNumberFormat="1" applyFont="1"/>
    <xf numFmtId="3" fontId="6" fillId="0" borderId="28" xfId="0" applyNumberFormat="1" applyFont="1" applyBorder="1"/>
    <xf numFmtId="3" fontId="6" fillId="0" borderId="1" xfId="0" applyNumberFormat="1" applyFont="1" applyBorder="1" applyAlignment="1">
      <alignment wrapText="1"/>
    </xf>
    <xf numFmtId="3" fontId="6" fillId="0" borderId="9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2" fontId="26" fillId="0" borderId="24" xfId="28" applyNumberFormat="1" applyFont="1" applyBorder="1" applyAlignment="1">
      <alignment horizontal="center" wrapText="1"/>
    </xf>
    <xf numFmtId="2" fontId="26" fillId="0" borderId="29" xfId="28" applyNumberFormat="1" applyFont="1" applyBorder="1" applyAlignment="1">
      <alignment horizontal="center" wrapText="1"/>
    </xf>
    <xf numFmtId="2" fontId="26" fillId="0" borderId="15" xfId="28" applyNumberFormat="1" applyFont="1" applyBorder="1" applyAlignment="1">
      <alignment horizontal="center" wrapText="1"/>
    </xf>
    <xf numFmtId="2" fontId="32" fillId="0" borderId="0" xfId="28" applyNumberFormat="1" applyFont="1" applyBorder="1" applyAlignment="1">
      <alignment horizontal="center" wrapText="1"/>
    </xf>
    <xf numFmtId="2" fontId="32" fillId="0" borderId="10" xfId="28" applyNumberFormat="1" applyFont="1" applyBorder="1" applyAlignment="1">
      <alignment horizontal="center" wrapText="1"/>
    </xf>
    <xf numFmtId="0" fontId="26" fillId="0" borderId="52" xfId="28" applyFont="1" applyBorder="1" applyAlignment="1">
      <alignment horizontal="left" wrapText="1"/>
    </xf>
    <xf numFmtId="0" fontId="26" fillId="0" borderId="5" xfId="28" applyFont="1" applyBorder="1" applyAlignment="1">
      <alignment horizontal="left" wrapText="1"/>
    </xf>
    <xf numFmtId="0" fontId="25" fillId="0" borderId="29" xfId="28" applyFont="1" applyBorder="1" applyAlignment="1">
      <alignment horizontal="left" wrapText="1"/>
    </xf>
    <xf numFmtId="0" fontId="25" fillId="0" borderId="15" xfId="28" applyFont="1" applyBorder="1" applyAlignment="1">
      <alignment horizontal="left" wrapText="1"/>
    </xf>
    <xf numFmtId="0" fontId="25" fillId="0" borderId="29" xfId="28" applyFont="1" applyBorder="1" applyAlignment="1">
      <alignment horizontal="center" wrapText="1"/>
    </xf>
    <xf numFmtId="0" fontId="25" fillId="0" borderId="15" xfId="28" applyFont="1" applyBorder="1" applyAlignment="1">
      <alignment horizontal="center" wrapText="1"/>
    </xf>
    <xf numFmtId="0" fontId="26" fillId="0" borderId="29" xfId="28" applyFont="1" applyBorder="1" applyAlignment="1">
      <alignment horizontal="left" wrapText="1"/>
    </xf>
    <xf numFmtId="0" fontId="26" fillId="0" borderId="15" xfId="28" applyFont="1" applyBorder="1" applyAlignment="1">
      <alignment horizontal="left" wrapText="1"/>
    </xf>
    <xf numFmtId="0" fontId="29" fillId="0" borderId="15" xfId="28" applyFont="1" applyBorder="1" applyAlignment="1">
      <alignment horizontal="left" wrapText="1"/>
    </xf>
    <xf numFmtId="0" fontId="29" fillId="0" borderId="1" xfId="28" applyFont="1" applyBorder="1" applyAlignment="1">
      <alignment horizontal="left" wrapText="1"/>
    </xf>
    <xf numFmtId="0" fontId="26" fillId="0" borderId="1" xfId="28" applyFont="1" applyBorder="1" applyAlignment="1">
      <alignment horizontal="left" wrapText="1"/>
    </xf>
    <xf numFmtId="0" fontId="10" fillId="0" borderId="1" xfId="28" applyFont="1" applyBorder="1" applyAlignment="1">
      <alignment horizontal="left" wrapText="1"/>
    </xf>
    <xf numFmtId="0" fontId="26" fillId="0" borderId="3" xfId="28" applyFont="1" applyBorder="1" applyAlignment="1">
      <alignment horizontal="left" wrapText="1"/>
    </xf>
    <xf numFmtId="0" fontId="32" fillId="0" borderId="49" xfId="28" applyFont="1" applyBorder="1" applyAlignment="1">
      <alignment horizontal="center" wrapText="1"/>
    </xf>
    <xf numFmtId="0" fontId="32" fillId="0" borderId="50" xfId="28" applyFont="1" applyBorder="1" applyAlignment="1">
      <alignment horizontal="center" wrapText="1"/>
    </xf>
    <xf numFmtId="0" fontId="32" fillId="0" borderId="51" xfId="28" applyFont="1" applyBorder="1" applyAlignment="1">
      <alignment horizontal="center" wrapText="1"/>
    </xf>
    <xf numFmtId="0" fontId="33" fillId="0" borderId="52" xfId="28" applyFont="1" applyBorder="1" applyAlignment="1">
      <alignment horizontal="left" wrapText="1"/>
    </xf>
    <xf numFmtId="0" fontId="33" fillId="0" borderId="5" xfId="28" applyFont="1" applyBorder="1" applyAlignment="1">
      <alignment horizontal="left" wrapText="1"/>
    </xf>
    <xf numFmtId="0" fontId="10" fillId="0" borderId="1" xfId="29" applyFont="1" applyFill="1" applyBorder="1" applyAlignment="1">
      <alignment horizontal="left" wrapText="1"/>
    </xf>
    <xf numFmtId="0" fontId="33" fillId="0" borderId="1" xfId="29" applyFont="1" applyFill="1" applyBorder="1" applyAlignment="1">
      <alignment horizontal="left" wrapText="1"/>
    </xf>
    <xf numFmtId="0" fontId="33" fillId="0" borderId="1" xfId="28" applyFont="1" applyBorder="1" applyAlignment="1">
      <alignment horizontal="left" wrapText="1"/>
    </xf>
    <xf numFmtId="0" fontId="10" fillId="0" borderId="1" xfId="28" applyFont="1" applyBorder="1" applyAlignment="1">
      <alignment horizontal="left"/>
    </xf>
    <xf numFmtId="0" fontId="35" fillId="0" borderId="3" xfId="28" applyFont="1" applyBorder="1" applyAlignment="1">
      <alignment horizontal="left"/>
    </xf>
    <xf numFmtId="0" fontId="33" fillId="0" borderId="1" xfId="28" applyFont="1" applyBorder="1" applyAlignment="1">
      <alignment horizontal="left"/>
    </xf>
    <xf numFmtId="0" fontId="35" fillId="0" borderId="1" xfId="28" applyFont="1" applyBorder="1" applyAlignment="1">
      <alignment horizontal="left"/>
    </xf>
    <xf numFmtId="0" fontId="35" fillId="0" borderId="1" xfId="29" applyFont="1" applyFill="1" applyBorder="1" applyAlignment="1">
      <alignment horizontal="left" wrapText="1"/>
    </xf>
    <xf numFmtId="0" fontId="37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1" fillId="0" borderId="0" xfId="23" applyFont="1" applyAlignment="1">
      <alignment horizontal="center"/>
    </xf>
    <xf numFmtId="0" fontId="31" fillId="0" borderId="53" xfId="23" applyFont="1" applyBorder="1" applyAlignment="1">
      <alignment horizontal="center"/>
    </xf>
    <xf numFmtId="0" fontId="31" fillId="0" borderId="0" xfId="23" applyFont="1" applyBorder="1" applyAlignment="1">
      <alignment horizontal="center"/>
    </xf>
    <xf numFmtId="0" fontId="31" fillId="0" borderId="0" xfId="23" applyFont="1" applyFill="1" applyBorder="1" applyAlignment="1">
      <alignment horizontal="center"/>
    </xf>
    <xf numFmtId="0" fontId="31" fillId="0" borderId="53" xfId="23" applyFont="1" applyBorder="1" applyAlignment="1"/>
    <xf numFmtId="0" fontId="31" fillId="0" borderId="0" xfId="23" applyFont="1" applyBorder="1" applyAlignment="1"/>
    <xf numFmtId="0" fontId="31" fillId="0" borderId="9" xfId="23" applyFont="1" applyBorder="1" applyAlignment="1">
      <alignment horizontal="center" vertical="center" textRotation="90"/>
    </xf>
    <xf numFmtId="0" fontId="31" fillId="0" borderId="11" xfId="23" applyFont="1" applyBorder="1" applyAlignment="1">
      <alignment horizontal="center" vertical="center" textRotation="90"/>
    </xf>
    <xf numFmtId="0" fontId="31" fillId="0" borderId="18" xfId="23" applyFont="1" applyBorder="1" applyAlignment="1">
      <alignment horizontal="center" vertical="center" textRotation="90"/>
    </xf>
    <xf numFmtId="49" fontId="31" fillId="0" borderId="9" xfId="23" applyNumberFormat="1" applyFont="1" applyBorder="1" applyAlignment="1" applyProtection="1">
      <alignment horizontal="center" vertical="center" textRotation="90" wrapText="1" readingOrder="1"/>
    </xf>
    <xf numFmtId="49" fontId="31" fillId="0" borderId="18" xfId="23" applyNumberFormat="1" applyFont="1" applyBorder="1" applyAlignment="1" applyProtection="1">
      <alignment horizontal="center" vertical="center" textRotation="90" wrapText="1" readingOrder="1"/>
    </xf>
    <xf numFmtId="49" fontId="31" fillId="0" borderId="24" xfId="23" applyNumberFormat="1" applyFont="1" applyBorder="1" applyAlignment="1" applyProtection="1">
      <alignment horizontal="center" vertical="center" wrapText="1" readingOrder="1"/>
    </xf>
    <xf numFmtId="49" fontId="31" fillId="0" borderId="15" xfId="23" applyNumberFormat="1" applyFont="1" applyBorder="1" applyAlignment="1" applyProtection="1">
      <alignment horizontal="center" vertical="center" wrapText="1" readingOrder="1"/>
    </xf>
    <xf numFmtId="0" fontId="31" fillId="0" borderId="0" xfId="23" applyFont="1" applyAlignment="1" applyProtection="1">
      <alignment horizontal="left"/>
    </xf>
    <xf numFmtId="0" fontId="31" fillId="0" borderId="0" xfId="23" applyFont="1" applyAlignment="1" applyProtection="1"/>
    <xf numFmtId="0" fontId="31" fillId="0" borderId="28" xfId="23" applyFont="1" applyBorder="1" applyAlignment="1" applyProtection="1"/>
    <xf numFmtId="49" fontId="31" fillId="0" borderId="9" xfId="23" applyNumberFormat="1" applyFont="1" applyBorder="1" applyAlignment="1" applyProtection="1">
      <alignment horizontal="center" vertical="center" readingOrder="1"/>
    </xf>
    <xf numFmtId="49" fontId="31" fillId="0" borderId="11" xfId="23" applyNumberFormat="1" applyFont="1" applyBorder="1" applyAlignment="1" applyProtection="1">
      <alignment horizontal="center" vertical="center" readingOrder="1"/>
    </xf>
    <xf numFmtId="49" fontId="31" fillId="0" borderId="18" xfId="23" applyNumberFormat="1" applyFont="1" applyBorder="1" applyAlignment="1" applyProtection="1">
      <alignment horizontal="center" vertical="center" readingOrder="1"/>
    </xf>
    <xf numFmtId="49" fontId="31" fillId="0" borderId="9" xfId="23" applyNumberFormat="1" applyFont="1" applyBorder="1" applyAlignment="1" applyProtection="1">
      <alignment horizontal="center" vertical="center" wrapText="1" readingOrder="1"/>
    </xf>
    <xf numFmtId="49" fontId="31" fillId="0" borderId="11" xfId="23" applyNumberFormat="1" applyFont="1" applyBorder="1" applyAlignment="1" applyProtection="1">
      <alignment horizontal="center" vertical="center" wrapText="1" readingOrder="1"/>
    </xf>
    <xf numFmtId="49" fontId="31" fillId="0" borderId="18" xfId="23" applyNumberFormat="1" applyFont="1" applyBorder="1" applyAlignment="1" applyProtection="1">
      <alignment horizontal="center" vertical="center" wrapText="1" readingOrder="1"/>
    </xf>
    <xf numFmtId="49" fontId="31" fillId="0" borderId="11" xfId="23" applyNumberFormat="1" applyFont="1" applyBorder="1" applyAlignment="1" applyProtection="1">
      <alignment horizontal="center" vertical="center" textRotation="90" wrapText="1" readingOrder="1"/>
    </xf>
    <xf numFmtId="49" fontId="31" fillId="0" borderId="24" xfId="23" applyNumberFormat="1" applyFont="1" applyBorder="1" applyAlignment="1" applyProtection="1">
      <alignment horizontal="center" vertical="center" readingOrder="1"/>
    </xf>
    <xf numFmtId="49" fontId="31" fillId="0" borderId="15" xfId="23" applyNumberFormat="1" applyFont="1" applyBorder="1" applyAlignment="1" applyProtection="1">
      <alignment horizontal="center" vertical="center" readingOrder="1"/>
    </xf>
    <xf numFmtId="49" fontId="31" fillId="0" borderId="29" xfId="23" applyNumberFormat="1" applyFont="1" applyBorder="1" applyAlignment="1" applyProtection="1">
      <alignment horizontal="center" vertical="center" wrapText="1" readingOrder="1"/>
    </xf>
    <xf numFmtId="0" fontId="31" fillId="0" borderId="0" xfId="23" applyFont="1" applyAlignment="1" applyProtection="1">
      <alignment horizontal="center"/>
    </xf>
    <xf numFmtId="49" fontId="31" fillId="0" borderId="9" xfId="23" applyNumberFormat="1" applyFont="1" applyFill="1" applyBorder="1" applyAlignment="1" applyProtection="1">
      <alignment horizontal="center" vertical="center" wrapText="1" readingOrder="1"/>
    </xf>
    <xf numFmtId="49" fontId="31" fillId="0" borderId="18" xfId="23" applyNumberFormat="1" applyFont="1" applyFill="1" applyBorder="1" applyAlignment="1" applyProtection="1">
      <alignment horizontal="center" vertical="center" wrapText="1" readingOrder="1"/>
    </xf>
    <xf numFmtId="49" fontId="31" fillId="0" borderId="24" xfId="23" applyNumberFormat="1" applyFont="1" applyFill="1" applyBorder="1" applyAlignment="1" applyProtection="1">
      <alignment horizontal="center" vertical="center" wrapText="1" readingOrder="1"/>
    </xf>
    <xf numFmtId="49" fontId="31" fillId="0" borderId="15" xfId="23" applyNumberFormat="1" applyFont="1" applyFill="1" applyBorder="1" applyAlignment="1" applyProtection="1">
      <alignment horizontal="center" vertical="center" wrapText="1" readingOrder="1"/>
    </xf>
    <xf numFmtId="49" fontId="31" fillId="0" borderId="9" xfId="23" applyNumberFormat="1" applyFont="1" applyFill="1" applyBorder="1" applyAlignment="1" applyProtection="1">
      <alignment horizontal="center" vertical="center" textRotation="90" wrapText="1" readingOrder="1"/>
    </xf>
    <xf numFmtId="49" fontId="31" fillId="0" borderId="18" xfId="23" applyNumberFormat="1" applyFont="1" applyFill="1" applyBorder="1" applyAlignment="1" applyProtection="1">
      <alignment horizontal="center" vertical="center" textRotation="90" wrapText="1" readingOrder="1"/>
    </xf>
    <xf numFmtId="49" fontId="31" fillId="0" borderId="9" xfId="23" applyNumberFormat="1" applyFont="1" applyFill="1" applyBorder="1" applyAlignment="1" applyProtection="1">
      <alignment horizontal="center" vertical="center" readingOrder="1"/>
    </xf>
    <xf numFmtId="49" fontId="31" fillId="0" borderId="11" xfId="23" applyNumberFormat="1" applyFont="1" applyFill="1" applyBorder="1" applyAlignment="1" applyProtection="1">
      <alignment horizontal="center" vertical="center" readingOrder="1"/>
    </xf>
    <xf numFmtId="49" fontId="31" fillId="0" borderId="18" xfId="23" applyNumberFormat="1" applyFont="1" applyFill="1" applyBorder="1" applyAlignment="1" applyProtection="1">
      <alignment horizontal="center" vertical="center" readingOrder="1"/>
    </xf>
    <xf numFmtId="49" fontId="40" fillId="0" borderId="9" xfId="23" applyNumberFormat="1" applyFont="1" applyFill="1" applyBorder="1" applyAlignment="1" applyProtection="1">
      <alignment horizontal="center" vertical="center" wrapText="1" readingOrder="1"/>
    </xf>
    <xf numFmtId="49" fontId="40" fillId="0" borderId="11" xfId="23" applyNumberFormat="1" applyFont="1" applyFill="1" applyBorder="1" applyAlignment="1" applyProtection="1">
      <alignment horizontal="center" vertical="center" wrapText="1" readingOrder="1"/>
    </xf>
    <xf numFmtId="49" fontId="40" fillId="0" borderId="18" xfId="23" applyNumberFormat="1" applyFont="1" applyFill="1" applyBorder="1" applyAlignment="1" applyProtection="1">
      <alignment horizontal="center" vertical="center" wrapText="1" readingOrder="1"/>
    </xf>
    <xf numFmtId="0" fontId="40" fillId="0" borderId="11" xfId="23" applyFont="1" applyBorder="1"/>
    <xf numFmtId="0" fontId="40" fillId="0" borderId="18" xfId="23" applyFont="1" applyBorder="1"/>
    <xf numFmtId="49" fontId="31" fillId="0" borderId="11" xfId="23" applyNumberFormat="1" applyFont="1" applyFill="1" applyBorder="1" applyAlignment="1" applyProtection="1">
      <alignment horizontal="center" vertical="center" textRotation="90" wrapText="1" readingOrder="1"/>
    </xf>
    <xf numFmtId="49" fontId="40" fillId="0" borderId="24" xfId="23" applyNumberFormat="1" applyFont="1" applyFill="1" applyBorder="1" applyAlignment="1" applyProtection="1">
      <alignment horizontal="center" vertical="center" readingOrder="1"/>
    </xf>
    <xf numFmtId="49" fontId="40" fillId="0" borderId="15" xfId="23" applyNumberFormat="1" applyFont="1" applyFill="1" applyBorder="1" applyAlignment="1" applyProtection="1">
      <alignment horizontal="center" vertical="center" readingOrder="1"/>
    </xf>
    <xf numFmtId="49" fontId="31" fillId="0" borderId="29" xfId="23" applyNumberFormat="1" applyFont="1" applyFill="1" applyBorder="1" applyAlignment="1" applyProtection="1">
      <alignment horizontal="center" vertical="center" wrapText="1" readingOrder="1"/>
    </xf>
    <xf numFmtId="49" fontId="31" fillId="0" borderId="11" xfId="23" applyNumberFormat="1" applyFont="1" applyFill="1" applyBorder="1" applyAlignment="1" applyProtection="1">
      <alignment horizontal="center" vertical="center" wrapText="1" readingOrder="1"/>
    </xf>
    <xf numFmtId="0" fontId="56" fillId="0" borderId="0" xfId="15" applyFont="1" applyAlignment="1">
      <alignment horizontal="center"/>
    </xf>
    <xf numFmtId="0" fontId="37" fillId="0" borderId="0" xfId="15" applyFont="1" applyAlignment="1">
      <alignment horizontal="center"/>
    </xf>
    <xf numFmtId="3" fontId="36" fillId="0" borderId="0" xfId="15" applyNumberFormat="1" applyFont="1" applyAlignment="1">
      <alignment horizontal="center"/>
    </xf>
    <xf numFmtId="0" fontId="36" fillId="0" borderId="0" xfId="15" applyFont="1" applyAlignment="1">
      <alignment horizontal="center"/>
    </xf>
    <xf numFmtId="0" fontId="23" fillId="0" borderId="9" xfId="15" applyFont="1" applyBorder="1" applyAlignment="1">
      <alignment horizontal="center" vertical="center"/>
    </xf>
    <xf numFmtId="0" fontId="23" fillId="0" borderId="18" xfId="15" applyFont="1" applyBorder="1" applyAlignment="1">
      <alignment horizontal="center" vertical="center"/>
    </xf>
    <xf numFmtId="0" fontId="1" fillId="0" borderId="9" xfId="15" applyFont="1" applyBorder="1" applyAlignment="1">
      <alignment horizontal="center" vertical="center"/>
    </xf>
    <xf numFmtId="0" fontId="1" fillId="0" borderId="18" xfId="15" applyFont="1" applyBorder="1" applyAlignment="1">
      <alignment horizontal="center" vertical="center"/>
    </xf>
    <xf numFmtId="0" fontId="55" fillId="5" borderId="28" xfId="20" applyFont="1" applyFill="1" applyBorder="1" applyAlignment="1">
      <alignment horizontal="center"/>
    </xf>
    <xf numFmtId="0" fontId="58" fillId="0" borderId="0" xfId="18" applyFont="1" applyFill="1" applyAlignment="1">
      <alignment horizontal="center"/>
    </xf>
    <xf numFmtId="0" fontId="10" fillId="0" borderId="24" xfId="28" applyFont="1" applyBorder="1" applyAlignment="1">
      <alignment horizontal="left"/>
    </xf>
    <xf numFmtId="0" fontId="10" fillId="0" borderId="29" xfId="28" applyFont="1" applyBorder="1" applyAlignment="1">
      <alignment horizontal="left"/>
    </xf>
    <xf numFmtId="0" fontId="10" fillId="0" borderId="15" xfId="28" applyFont="1" applyBorder="1" applyAlignment="1">
      <alignment horizontal="left"/>
    </xf>
    <xf numFmtId="0" fontId="35" fillId="0" borderId="24" xfId="28" applyFont="1" applyBorder="1" applyAlignment="1">
      <alignment horizontal="left"/>
    </xf>
    <xf numFmtId="0" fontId="35" fillId="0" borderId="29" xfId="28" applyFont="1" applyBorder="1" applyAlignment="1">
      <alignment horizontal="left"/>
    </xf>
    <xf numFmtId="0" fontId="35" fillId="0" borderId="15" xfId="28" applyFont="1" applyBorder="1" applyAlignment="1">
      <alignment horizontal="left"/>
    </xf>
    <xf numFmtId="0" fontId="35" fillId="0" borderId="54" xfId="28" applyFont="1" applyBorder="1" applyAlignment="1">
      <alignment horizontal="left"/>
    </xf>
    <xf numFmtId="0" fontId="35" fillId="0" borderId="55" xfId="28" applyFont="1" applyBorder="1" applyAlignment="1">
      <alignment horizontal="left"/>
    </xf>
    <xf numFmtId="0" fontId="35" fillId="0" borderId="56" xfId="28" applyFont="1" applyBorder="1" applyAlignment="1">
      <alignment horizontal="left"/>
    </xf>
    <xf numFmtId="0" fontId="10" fillId="0" borderId="24" xfId="29" applyFont="1" applyFill="1" applyBorder="1" applyAlignment="1">
      <alignment horizontal="left" wrapText="1"/>
    </xf>
    <xf numFmtId="0" fontId="10" fillId="0" borderId="29" xfId="29" applyFont="1" applyFill="1" applyBorder="1" applyAlignment="1">
      <alignment horizontal="left" wrapText="1"/>
    </xf>
    <xf numFmtId="0" fontId="10" fillId="0" borderId="15" xfId="29" applyFont="1" applyFill="1" applyBorder="1" applyAlignment="1">
      <alignment horizontal="left" wrapText="1"/>
    </xf>
    <xf numFmtId="0" fontId="33" fillId="0" borderId="24" xfId="28" applyFont="1" applyBorder="1" applyAlignment="1">
      <alignment horizontal="left" wrapText="1"/>
    </xf>
    <xf numFmtId="0" fontId="33" fillId="0" borderId="29" xfId="28" applyFont="1" applyBorder="1" applyAlignment="1">
      <alignment horizontal="left" wrapText="1"/>
    </xf>
    <xf numFmtId="0" fontId="33" fillId="0" borderId="15" xfId="28" applyFont="1" applyBorder="1" applyAlignment="1">
      <alignment horizontal="left" wrapText="1"/>
    </xf>
    <xf numFmtId="0" fontId="33" fillId="0" borderId="24" xfId="28" applyFont="1" applyBorder="1" applyAlignment="1">
      <alignment horizontal="left"/>
    </xf>
    <xf numFmtId="0" fontId="33" fillId="0" borderId="29" xfId="28" applyFont="1" applyBorder="1" applyAlignment="1">
      <alignment horizontal="left"/>
    </xf>
    <xf numFmtId="0" fontId="33" fillId="0" borderId="15" xfId="28" applyFont="1" applyBorder="1" applyAlignment="1">
      <alignment horizontal="left"/>
    </xf>
    <xf numFmtId="0" fontId="35" fillId="0" borderId="24" xfId="29" applyFont="1" applyFill="1" applyBorder="1" applyAlignment="1">
      <alignment horizontal="left" wrapText="1"/>
    </xf>
    <xf numFmtId="0" fontId="35" fillId="0" borderId="29" xfId="29" applyFont="1" applyFill="1" applyBorder="1" applyAlignment="1">
      <alignment horizontal="left" wrapText="1"/>
    </xf>
    <xf numFmtId="0" fontId="35" fillId="0" borderId="15" xfId="29" applyFont="1" applyFill="1" applyBorder="1" applyAlignment="1">
      <alignment horizontal="left" wrapText="1"/>
    </xf>
    <xf numFmtId="0" fontId="33" fillId="0" borderId="24" xfId="29" applyFont="1" applyFill="1" applyBorder="1" applyAlignment="1">
      <alignment horizontal="left" wrapText="1"/>
    </xf>
    <xf numFmtId="0" fontId="33" fillId="0" borderId="29" xfId="29" applyFont="1" applyFill="1" applyBorder="1" applyAlignment="1">
      <alignment horizontal="left" wrapText="1"/>
    </xf>
    <xf numFmtId="0" fontId="33" fillId="0" borderId="15" xfId="29" applyFont="1" applyFill="1" applyBorder="1" applyAlignment="1">
      <alignment horizontal="left" wrapText="1"/>
    </xf>
    <xf numFmtId="0" fontId="10" fillId="0" borderId="24" xfId="28" applyFont="1" applyBorder="1" applyAlignment="1">
      <alignment horizontal="left" wrapText="1"/>
    </xf>
    <xf numFmtId="0" fontId="10" fillId="0" borderId="29" xfId="28" applyFont="1" applyBorder="1" applyAlignment="1">
      <alignment horizontal="left" wrapText="1"/>
    </xf>
    <xf numFmtId="0" fontId="10" fillId="0" borderId="15" xfId="28" applyFont="1" applyBorder="1" applyAlignment="1">
      <alignment horizontal="left" wrapText="1"/>
    </xf>
    <xf numFmtId="0" fontId="32" fillId="0" borderId="54" xfId="28" applyFont="1" applyBorder="1" applyAlignment="1">
      <alignment horizontal="center" wrapText="1"/>
    </xf>
    <xf numFmtId="0" fontId="32" fillId="0" borderId="55" xfId="28" applyFont="1" applyBorder="1" applyAlignment="1">
      <alignment horizontal="center" wrapText="1"/>
    </xf>
    <xf numFmtId="0" fontId="32" fillId="0" borderId="56" xfId="28" applyFont="1" applyBorder="1" applyAlignment="1">
      <alignment horizontal="center" wrapText="1"/>
    </xf>
    <xf numFmtId="0" fontId="33" fillId="0" borderId="57" xfId="28" applyFont="1" applyBorder="1" applyAlignment="1">
      <alignment horizontal="left" wrapText="1"/>
    </xf>
    <xf numFmtId="0" fontId="33" fillId="0" borderId="46" xfId="28" applyFont="1" applyBorder="1" applyAlignment="1">
      <alignment horizontal="left" wrapText="1"/>
    </xf>
    <xf numFmtId="0" fontId="71" fillId="0" borderId="0" xfId="15" applyFont="1" applyAlignment="1">
      <alignment horizontal="center"/>
    </xf>
  </cellXfs>
  <cellStyles count="31">
    <cellStyle name="Comma" xfId="1" builtinId="3"/>
    <cellStyle name="Comma 2" xfId="2"/>
    <cellStyle name="Comma 2 2" xfId="3"/>
    <cellStyle name="Comma 2 2 2" xfId="4"/>
    <cellStyle name="Comma 2 3" xfId="5"/>
    <cellStyle name="Comma 2 4" xfId="6"/>
    <cellStyle name="Comma 3" xfId="7"/>
    <cellStyle name="Comma 3 2" xfId="8"/>
    <cellStyle name="Comma 4" xfId="9"/>
    <cellStyle name="Comma 5" xfId="10"/>
    <cellStyle name="Comma 6" xfId="11"/>
    <cellStyle name="Comma_21.Aktivet Afatgjata Materiale  09" xfId="12"/>
    <cellStyle name="Comma_21.Aktivet Afatgjata Materiale  09 2" xfId="13"/>
    <cellStyle name="Currency 2" xfId="14"/>
    <cellStyle name="Normal" xfId="0" builtinId="0"/>
    <cellStyle name="Normal 14" xfId="15"/>
    <cellStyle name="Normal 2" xfId="16"/>
    <cellStyle name="Normal 2 2" xfId="17"/>
    <cellStyle name="Normal 2 3" xfId="18"/>
    <cellStyle name="Normal 3" xfId="19"/>
    <cellStyle name="Normal 3 2" xfId="20"/>
    <cellStyle name="Normal 3 3" xfId="21"/>
    <cellStyle name="Normal 4" xfId="22"/>
    <cellStyle name="Normal 4 2" xfId="23"/>
    <cellStyle name="Normal 5" xfId="24"/>
    <cellStyle name="Normal 6" xfId="25"/>
    <cellStyle name="Normal 7" xfId="26"/>
    <cellStyle name="Normal 8" xfId="27"/>
    <cellStyle name="Normal_asn_2009 Propozimet" xfId="28"/>
    <cellStyle name="Normal_Sheet2" xfId="29"/>
    <cellStyle name="Percent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erisnaka/AppData/Local/Microsoft/Windows/Temporary%20Internet%20Files/Content.Outlook/MSAD6BHO/Bilanci%20-%20RFZ%20Building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erisnaka/AppData/Local/Microsoft/Windows/Temporary%20Internet%20Files/Content.Outlook/MSAD6BHO/RFZ%20Building%202011-%20Rishikuar%2021.03.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hajrullai/AppData/Local/Microsoft/Windows/Temporary%20Internet%20Files/Content.Outlook/8EM529ZX/Bilanc%20Skenderbej%20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hajrullai/AppData/Local/Microsoft/Windows/Temporary%20Internet%20Files/Content.Outlook/8EM529ZX/Bilanci%20-%20RFZ%20Building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tim-Hmbje"/>
      <sheetName val="bilanci"/>
      <sheetName val="levizja kapitalit"/>
      <sheetName val="CF"/>
      <sheetName val="Sheet1"/>
      <sheetName val="Pasqyra 1-2-3 RFZ"/>
      <sheetName val="RFZ-AAM"/>
      <sheetName val="Sheet2"/>
      <sheetName val="Shenimet"/>
      <sheetName val="Sheet3"/>
    </sheetNames>
    <sheetDataSet>
      <sheetData sheetId="0">
        <row r="1">
          <cell r="C1" t="str">
            <v xml:space="preserve">RFZ Building  sh.p.k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tim-Hmbje"/>
      <sheetName val="bilanci"/>
      <sheetName val="levizja kapitalit"/>
      <sheetName val="CF"/>
      <sheetName val="Sheet1"/>
      <sheetName val="Pasqyra 1-2-3 RFZ"/>
      <sheetName val="RFZ-AAM"/>
      <sheetName val="Sheet2"/>
      <sheetName val="Shenimet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2818324.85</v>
          </cell>
        </row>
        <row r="13">
          <cell r="D13">
            <v>-83214.25</v>
          </cell>
        </row>
        <row r="15">
          <cell r="D15">
            <v>95074260.219999999</v>
          </cell>
        </row>
        <row r="16">
          <cell r="D16">
            <v>-639757542.88999999</v>
          </cell>
        </row>
        <row r="17">
          <cell r="D17">
            <v>130724679.97000003</v>
          </cell>
        </row>
        <row r="19">
          <cell r="D19">
            <v>83214.25</v>
          </cell>
        </row>
        <row r="27">
          <cell r="D27">
            <v>0</v>
          </cell>
        </row>
        <row r="37">
          <cell r="D37">
            <v>415477111.5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ilanci 31.12.13"/>
      <sheetName val="PASH 2013"/>
      <sheetName val="L.Kapitaleve"/>
      <sheetName val="Sig Shoqerore 2013"/>
      <sheetName val="Cash Flow"/>
      <sheetName val="RLP Bilanci"/>
      <sheetName val="RLP FH"/>
      <sheetName val="Palet e lidhura"/>
      <sheetName val="Pasqyra e aseteve"/>
      <sheetName val="A.A.M nr 1"/>
      <sheetName val="Amortizimi"/>
      <sheetName val="Amortizimi PASH "/>
      <sheetName val="Pasqyra Nr 2"/>
      <sheetName val="Pasqyra Nr 3"/>
      <sheetName val="Tabela e Relacionit"/>
    </sheetNames>
    <sheetDataSet>
      <sheetData sheetId="0"/>
      <sheetData sheetId="1">
        <row r="66">
          <cell r="D66">
            <v>110319687</v>
          </cell>
        </row>
        <row r="67">
          <cell r="D67">
            <v>2187434.65</v>
          </cell>
        </row>
        <row r="68">
          <cell r="D68">
            <v>544600</v>
          </cell>
        </row>
        <row r="69">
          <cell r="D69">
            <v>2149586</v>
          </cell>
        </row>
        <row r="70">
          <cell r="D70">
            <v>47158</v>
          </cell>
        </row>
        <row r="71">
          <cell r="D71">
            <v>2471888.88</v>
          </cell>
        </row>
        <row r="72">
          <cell r="D72">
            <v>463207.13</v>
          </cell>
        </row>
      </sheetData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tim-Hmbje"/>
      <sheetName val="bilanci"/>
      <sheetName val="CF"/>
      <sheetName val="Sheet1"/>
      <sheetName val="Pasqyra 1-2-3 RFZ"/>
      <sheetName val="RFZ-AAM"/>
      <sheetName val="Sheet2"/>
      <sheetName val="Shenimet"/>
      <sheetName val="Sheet3"/>
    </sheetNames>
    <sheetDataSet>
      <sheetData sheetId="0"/>
      <sheetData sheetId="1">
        <row r="112">
          <cell r="D112">
            <v>-1302558.18</v>
          </cell>
          <cell r="E112">
            <v>-4120883.33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L72"/>
  <sheetViews>
    <sheetView workbookViewId="0">
      <selection activeCell="J33" sqref="J33"/>
    </sheetView>
  </sheetViews>
  <sheetFormatPr defaultRowHeight="12.75" outlineLevelRow="1"/>
  <cols>
    <col min="1" max="1" width="7.7109375" customWidth="1"/>
    <col min="2" max="2" width="39.7109375" customWidth="1"/>
    <col min="3" max="3" width="12.85546875" bestFit="1" customWidth="1"/>
    <col min="4" max="4" width="25.140625" customWidth="1"/>
    <col min="5" max="5" width="30.28515625" bestFit="1" customWidth="1"/>
    <col min="7" max="7" width="10.28515625" bestFit="1" customWidth="1"/>
    <col min="8" max="8" width="9.28515625" bestFit="1" customWidth="1"/>
    <col min="10" max="10" width="14" style="18" bestFit="1" customWidth="1"/>
    <col min="11" max="11" width="12.85546875" style="18" bestFit="1" customWidth="1"/>
    <col min="12" max="12" width="13.5703125" style="18" bestFit="1" customWidth="1"/>
  </cols>
  <sheetData>
    <row r="1" spans="1:5" ht="16.5">
      <c r="A1" s="2"/>
      <c r="B1" s="2"/>
      <c r="C1" s="705" t="s">
        <v>136</v>
      </c>
      <c r="D1" s="705"/>
      <c r="E1" s="3"/>
    </row>
    <row r="2" spans="1:5" ht="16.5">
      <c r="A2" s="706" t="s">
        <v>496</v>
      </c>
      <c r="B2" s="706"/>
      <c r="C2" s="706"/>
      <c r="D2" s="706"/>
      <c r="E2" s="3" t="s">
        <v>0</v>
      </c>
    </row>
    <row r="3" spans="1:5" ht="16.5">
      <c r="A3" s="64"/>
      <c r="B3" s="64"/>
      <c r="C3" s="64"/>
      <c r="D3" s="64"/>
      <c r="E3" s="3"/>
    </row>
    <row r="4" spans="1:5" ht="16.5">
      <c r="A4" s="57" t="s">
        <v>1</v>
      </c>
      <c r="B4" s="57" t="s">
        <v>2</v>
      </c>
      <c r="C4" s="707" t="s">
        <v>3</v>
      </c>
      <c r="D4" s="703" t="s">
        <v>4</v>
      </c>
      <c r="E4" s="703" t="s">
        <v>5</v>
      </c>
    </row>
    <row r="5" spans="1:5" ht="16.5">
      <c r="A5" s="57"/>
      <c r="B5" s="57"/>
      <c r="C5" s="707"/>
      <c r="D5" s="703"/>
      <c r="E5" s="703"/>
    </row>
    <row r="6" spans="1:5" ht="16.5">
      <c r="A6" s="57">
        <v>1</v>
      </c>
      <c r="B6" s="26" t="s">
        <v>6</v>
      </c>
      <c r="C6" s="57"/>
      <c r="D6" s="23"/>
      <c r="E6" s="23"/>
    </row>
    <row r="7" spans="1:5" ht="15.95" customHeight="1">
      <c r="A7" s="57">
        <v>2</v>
      </c>
      <c r="B7" s="26" t="s">
        <v>7</v>
      </c>
      <c r="C7" s="58">
        <v>3.2</v>
      </c>
      <c r="D7" s="27">
        <f>D42</f>
        <v>0</v>
      </c>
      <c r="E7" s="27">
        <f>E42</f>
        <v>251496</v>
      </c>
    </row>
    <row r="8" spans="1:5" ht="32.25">
      <c r="A8" s="57">
        <v>3</v>
      </c>
      <c r="B8" s="26" t="s">
        <v>8</v>
      </c>
      <c r="C8" s="58"/>
      <c r="D8" s="19"/>
      <c r="E8" s="19"/>
    </row>
    <row r="9" spans="1:5" ht="15.95" customHeight="1">
      <c r="A9" s="57">
        <v>4</v>
      </c>
      <c r="B9" s="26" t="s">
        <v>9</v>
      </c>
      <c r="C9" s="58"/>
      <c r="D9" s="25"/>
      <c r="E9" s="25"/>
    </row>
    <row r="10" spans="1:5" ht="15.95" customHeight="1">
      <c r="A10" s="57">
        <v>5</v>
      </c>
      <c r="B10" s="26" t="s">
        <v>10</v>
      </c>
      <c r="C10" s="58"/>
      <c r="D10" s="63">
        <f>-D47-D51-D52</f>
        <v>0</v>
      </c>
      <c r="E10" s="63">
        <f>-E47</f>
        <v>-1215</v>
      </c>
    </row>
    <row r="11" spans="1:5" ht="32.25" customHeight="1">
      <c r="A11" s="57">
        <v>6</v>
      </c>
      <c r="B11" s="26" t="s">
        <v>11</v>
      </c>
      <c r="C11" s="58">
        <v>3.2</v>
      </c>
      <c r="D11" s="228">
        <f>-(D48+D50+D56+D60+D62+D9+D55+D53+D57+D54+D61+D49+D63)</f>
        <v>-3257634.73</v>
      </c>
      <c r="E11" s="228">
        <f>-(E48+E50+E56+E60+E62+E49+E55+E53+E57+E54)</f>
        <v>-2212315.09</v>
      </c>
    </row>
    <row r="12" spans="1:5" ht="15.95" customHeight="1">
      <c r="A12" s="57">
        <v>7</v>
      </c>
      <c r="B12" s="26" t="s">
        <v>12</v>
      </c>
      <c r="C12" s="58"/>
      <c r="D12" s="228">
        <f>SUM(D13:D15)</f>
        <v>-2748964</v>
      </c>
      <c r="E12" s="228">
        <f>SUM(E13:E15)</f>
        <v>-2582978</v>
      </c>
    </row>
    <row r="13" spans="1:5" ht="15.75">
      <c r="A13" s="58" t="s">
        <v>13</v>
      </c>
      <c r="B13" s="59" t="s">
        <v>14</v>
      </c>
      <c r="C13" s="58"/>
      <c r="D13" s="63">
        <f>-D58</f>
        <v>-2562597</v>
      </c>
      <c r="E13" s="63">
        <f>-E58</f>
        <v>-2403442</v>
      </c>
    </row>
    <row r="14" spans="1:5" ht="15.95" customHeight="1">
      <c r="A14" s="58" t="s">
        <v>15</v>
      </c>
      <c r="B14" s="59" t="s">
        <v>16</v>
      </c>
      <c r="C14" s="58"/>
      <c r="D14" s="63">
        <f>-D59</f>
        <v>-186367</v>
      </c>
      <c r="E14" s="63">
        <f>-E59</f>
        <v>-179536</v>
      </c>
    </row>
    <row r="15" spans="1:5" ht="15.95" customHeight="1">
      <c r="A15" s="58" t="s">
        <v>17</v>
      </c>
      <c r="B15" s="59" t="s">
        <v>18</v>
      </c>
      <c r="C15" s="58"/>
      <c r="D15" s="63"/>
      <c r="E15" s="63"/>
    </row>
    <row r="16" spans="1:5" ht="15.95" customHeight="1">
      <c r="A16" s="57">
        <v>8</v>
      </c>
      <c r="B16" s="26" t="s">
        <v>19</v>
      </c>
      <c r="C16" s="58"/>
      <c r="D16" s="63"/>
      <c r="E16" s="63"/>
    </row>
    <row r="17" spans="1:5" ht="15.95" customHeight="1">
      <c r="A17" s="60"/>
      <c r="B17" s="61" t="s">
        <v>20</v>
      </c>
      <c r="C17" s="254"/>
      <c r="D17" s="229">
        <f>D6+D7+D8+D9+D10+D11+D12+D16</f>
        <v>-6006598.7300000004</v>
      </c>
      <c r="E17" s="229">
        <f>E6+E7+E8+E9+E10+E11+E12+E16</f>
        <v>-4545012.09</v>
      </c>
    </row>
    <row r="18" spans="1:5" ht="15.75">
      <c r="A18" s="58"/>
      <c r="B18" s="26"/>
      <c r="C18" s="58"/>
      <c r="D18" s="63"/>
      <c r="E18" s="63"/>
    </row>
    <row r="19" spans="1:5" ht="15.95" customHeight="1">
      <c r="A19" s="57">
        <v>1</v>
      </c>
      <c r="B19" s="26" t="s">
        <v>21</v>
      </c>
      <c r="C19" s="58"/>
      <c r="D19" s="63"/>
      <c r="E19" s="63"/>
    </row>
    <row r="20" spans="1:5" ht="15.95" customHeight="1">
      <c r="A20" s="57">
        <v>2</v>
      </c>
      <c r="B20" s="26" t="s">
        <v>22</v>
      </c>
      <c r="C20" s="58"/>
      <c r="D20" s="63"/>
      <c r="E20" s="63"/>
    </row>
    <row r="21" spans="1:5" ht="15.95" customHeight="1">
      <c r="A21" s="57">
        <v>3</v>
      </c>
      <c r="B21" s="26" t="s">
        <v>23</v>
      </c>
      <c r="C21" s="58">
        <v>3.2</v>
      </c>
      <c r="D21" s="228">
        <f>D23+D24+D25</f>
        <v>-2150572.79</v>
      </c>
      <c r="E21" s="228">
        <f>E23+E24+E25</f>
        <v>-1737065.98</v>
      </c>
    </row>
    <row r="22" spans="1:5" ht="15.95" customHeight="1">
      <c r="A22" s="58" t="s">
        <v>24</v>
      </c>
      <c r="B22" s="59" t="s">
        <v>25</v>
      </c>
      <c r="C22" s="58"/>
      <c r="D22" s="63"/>
      <c r="E22" s="63"/>
    </row>
    <row r="23" spans="1:5" ht="15.95" customHeight="1">
      <c r="A23" s="58" t="s">
        <v>26</v>
      </c>
      <c r="B23" s="59" t="s">
        <v>27</v>
      </c>
      <c r="C23" s="58">
        <v>3.2</v>
      </c>
      <c r="D23" s="63">
        <f>D44-D65</f>
        <v>14611.01</v>
      </c>
      <c r="E23" s="63">
        <f>E44-E65</f>
        <v>3407.98</v>
      </c>
    </row>
    <row r="24" spans="1:5" ht="15.95" customHeight="1">
      <c r="A24" s="58" t="s">
        <v>28</v>
      </c>
      <c r="B24" s="59" t="s">
        <v>29</v>
      </c>
      <c r="C24" s="58">
        <v>3.2</v>
      </c>
      <c r="D24" s="63">
        <f>D43-D66</f>
        <v>-2165183.7999999998</v>
      </c>
      <c r="E24" s="63">
        <f>E43-E66</f>
        <v>-1740473.96</v>
      </c>
    </row>
    <row r="25" spans="1:5" ht="15.95" customHeight="1">
      <c r="A25" s="58" t="s">
        <v>30</v>
      </c>
      <c r="B25" s="59" t="s">
        <v>31</v>
      </c>
      <c r="C25" s="58"/>
      <c r="D25" s="63">
        <f>-E63</f>
        <v>0</v>
      </c>
      <c r="E25" s="63">
        <f>-E63</f>
        <v>0</v>
      </c>
    </row>
    <row r="26" spans="1:5" ht="15.95" customHeight="1">
      <c r="A26" s="57"/>
      <c r="B26" s="26" t="s">
        <v>32</v>
      </c>
      <c r="C26" s="58"/>
      <c r="D26" s="228"/>
      <c r="E26" s="228"/>
    </row>
    <row r="27" spans="1:5" ht="15.75">
      <c r="A27" s="58"/>
      <c r="B27" s="26"/>
      <c r="C27" s="25"/>
      <c r="D27" s="63"/>
      <c r="E27" s="63"/>
    </row>
    <row r="28" spans="1:5" ht="15.95" customHeight="1">
      <c r="A28" s="60"/>
      <c r="B28" s="61" t="s">
        <v>33</v>
      </c>
      <c r="C28" s="62"/>
      <c r="D28" s="229">
        <f>D17+D19+D20+D21</f>
        <v>-8157171.5200000005</v>
      </c>
      <c r="E28" s="229">
        <f>E17+E19+E20+E21</f>
        <v>-6282078.0700000003</v>
      </c>
    </row>
    <row r="29" spans="1:5" ht="15.75">
      <c r="A29" s="58"/>
      <c r="B29" s="26"/>
      <c r="C29" s="25"/>
      <c r="D29" s="63"/>
      <c r="E29" s="63"/>
    </row>
    <row r="30" spans="1:5" ht="15.95" customHeight="1">
      <c r="A30" s="58"/>
      <c r="B30" s="26" t="s">
        <v>34</v>
      </c>
      <c r="C30" s="58">
        <v>3.3</v>
      </c>
      <c r="D30" s="63">
        <v>0</v>
      </c>
      <c r="E30" s="63">
        <v>0</v>
      </c>
    </row>
    <row r="31" spans="1:5" ht="15.75">
      <c r="A31" s="58"/>
      <c r="B31" s="26"/>
      <c r="C31" s="25"/>
      <c r="D31" s="63"/>
      <c r="E31" s="63"/>
    </row>
    <row r="32" spans="1:5" ht="15.95" customHeight="1">
      <c r="A32" s="60"/>
      <c r="B32" s="61" t="s">
        <v>35</v>
      </c>
      <c r="C32" s="62"/>
      <c r="D32" s="229">
        <f>D28-D30</f>
        <v>-8157171.5200000005</v>
      </c>
      <c r="E32" s="229">
        <f>E28-E30</f>
        <v>-6282078.0700000003</v>
      </c>
    </row>
    <row r="33" spans="1:7" ht="15.75">
      <c r="A33" s="58"/>
      <c r="B33" s="26"/>
      <c r="C33" s="25"/>
      <c r="D33" s="63"/>
      <c r="E33" s="63"/>
    </row>
    <row r="34" spans="1:7" ht="15.95" customHeight="1">
      <c r="A34" s="58"/>
      <c r="B34" s="26" t="s">
        <v>36</v>
      </c>
      <c r="C34" s="25"/>
      <c r="D34" s="63"/>
      <c r="E34" s="63"/>
    </row>
    <row r="35" spans="1:7" ht="15.95" customHeight="1">
      <c r="A35" s="58"/>
      <c r="B35" s="26" t="s">
        <v>37</v>
      </c>
      <c r="C35" s="25"/>
      <c r="D35" s="63"/>
      <c r="E35" s="63"/>
    </row>
    <row r="36" spans="1:7" ht="15.75">
      <c r="A36" s="58"/>
      <c r="B36" s="26"/>
      <c r="C36" s="25"/>
      <c r="D36" s="63"/>
      <c r="E36" s="63"/>
    </row>
    <row r="37" spans="1:7" ht="15.75">
      <c r="A37" s="2"/>
      <c r="B37" s="704" t="s">
        <v>39</v>
      </c>
      <c r="C37" s="704"/>
      <c r="D37" s="704"/>
      <c r="E37" s="270"/>
    </row>
    <row r="39" spans="1:7" ht="12" customHeight="1">
      <c r="D39" s="28">
        <f>D28+D68</f>
        <v>0</v>
      </c>
      <c r="E39" s="28">
        <f>D39/2</f>
        <v>0</v>
      </c>
    </row>
    <row r="41" spans="1:7" outlineLevel="1">
      <c r="C41" s="227"/>
      <c r="D41" s="291">
        <v>2013</v>
      </c>
      <c r="E41" s="292">
        <v>2012</v>
      </c>
    </row>
    <row r="42" spans="1:7" outlineLevel="1">
      <c r="B42">
        <v>713</v>
      </c>
      <c r="C42" s="227"/>
      <c r="D42" s="263"/>
      <c r="E42" s="18">
        <v>251496</v>
      </c>
    </row>
    <row r="43" spans="1:7" outlineLevel="1">
      <c r="B43">
        <v>766</v>
      </c>
      <c r="C43" s="18"/>
      <c r="D43" s="272">
        <v>313527.31</v>
      </c>
      <c r="E43" s="18"/>
    </row>
    <row r="44" spans="1:7" outlineLevel="1">
      <c r="B44">
        <v>767</v>
      </c>
      <c r="C44" s="18"/>
      <c r="D44" s="272">
        <v>14611.01</v>
      </c>
      <c r="E44" s="18">
        <v>3407.98</v>
      </c>
    </row>
    <row r="45" spans="1:7" outlineLevel="1">
      <c r="C45" s="18"/>
      <c r="D45" s="103">
        <f>SUM(D42:D44)</f>
        <v>328138.32</v>
      </c>
      <c r="E45" s="103">
        <f>SUM(E42:E44)</f>
        <v>254903.98</v>
      </c>
    </row>
    <row r="46" spans="1:7" outlineLevel="1">
      <c r="C46" s="18"/>
      <c r="D46" s="272"/>
      <c r="E46" s="18"/>
    </row>
    <row r="47" spans="1:7" outlineLevel="1">
      <c r="B47">
        <v>608</v>
      </c>
      <c r="C47" s="18"/>
      <c r="D47" s="272">
        <v>0</v>
      </c>
      <c r="E47" s="18">
        <v>1215</v>
      </c>
      <c r="G47" s="28"/>
    </row>
    <row r="48" spans="1:7" outlineLevel="1">
      <c r="B48">
        <v>611</v>
      </c>
      <c r="C48" s="18"/>
      <c r="D48" s="272">
        <v>20500</v>
      </c>
      <c r="E48" s="18">
        <v>19966.669999999998</v>
      </c>
    </row>
    <row r="49" spans="2:8" outlineLevel="1">
      <c r="B49">
        <v>613</v>
      </c>
      <c r="C49" s="18"/>
      <c r="D49" s="272">
        <v>218741.9</v>
      </c>
      <c r="E49" s="18">
        <v>217189</v>
      </c>
    </row>
    <row r="50" spans="2:8" outlineLevel="1">
      <c r="B50">
        <v>618</v>
      </c>
      <c r="C50" s="18"/>
      <c r="D50" s="272">
        <v>0</v>
      </c>
      <c r="E50" s="18">
        <v>70833</v>
      </c>
      <c r="G50" s="28"/>
    </row>
    <row r="51" spans="2:8" outlineLevel="1">
      <c r="B51">
        <v>619</v>
      </c>
      <c r="C51" s="18"/>
      <c r="D51" s="272"/>
      <c r="E51" s="18"/>
    </row>
    <row r="52" spans="2:8" outlineLevel="1">
      <c r="B52">
        <v>623</v>
      </c>
      <c r="C52" s="18"/>
      <c r="D52" s="272"/>
      <c r="E52" s="18"/>
    </row>
    <row r="53" spans="2:8" outlineLevel="1">
      <c r="B53">
        <v>624</v>
      </c>
      <c r="C53" s="18"/>
      <c r="D53" s="272">
        <v>2224203.4</v>
      </c>
      <c r="E53" s="18">
        <v>1528794.01</v>
      </c>
    </row>
    <row r="54" spans="2:8" outlineLevel="1">
      <c r="B54">
        <v>626</v>
      </c>
      <c r="C54" s="18"/>
      <c r="D54" s="272">
        <v>280328.63</v>
      </c>
      <c r="E54" s="18">
        <v>154764.66</v>
      </c>
    </row>
    <row r="55" spans="2:8" outlineLevel="1">
      <c r="B55">
        <v>628</v>
      </c>
      <c r="C55" s="18"/>
      <c r="D55" s="272">
        <v>54192.43</v>
      </c>
      <c r="E55" s="18">
        <v>140493.79999999999</v>
      </c>
    </row>
    <row r="56" spans="2:8" outlineLevel="1">
      <c r="B56">
        <v>634</v>
      </c>
      <c r="C56" s="18"/>
      <c r="D56" s="272">
        <v>22120</v>
      </c>
      <c r="E56" s="18">
        <v>22120</v>
      </c>
    </row>
    <row r="57" spans="2:8" outlineLevel="1">
      <c r="B57">
        <v>638</v>
      </c>
      <c r="C57" s="18"/>
      <c r="D57" s="272"/>
      <c r="E57" s="18">
        <v>1200</v>
      </c>
    </row>
    <row r="58" spans="2:8" outlineLevel="1">
      <c r="B58">
        <v>641</v>
      </c>
      <c r="C58" s="18"/>
      <c r="D58" s="272">
        <v>2562597</v>
      </c>
      <c r="E58" s="18">
        <v>2403442</v>
      </c>
    </row>
    <row r="59" spans="2:8" outlineLevel="1">
      <c r="B59">
        <v>644</v>
      </c>
      <c r="C59" s="18"/>
      <c r="D59" s="272">
        <v>186367</v>
      </c>
      <c r="E59" s="18">
        <v>179536</v>
      </c>
      <c r="G59" s="28">
        <f>SUM(D47:D59)</f>
        <v>5569050.3599999994</v>
      </c>
      <c r="H59" s="269">
        <f>G59/1000</f>
        <v>5569.0503599999993</v>
      </c>
    </row>
    <row r="60" spans="2:8" outlineLevel="1">
      <c r="B60">
        <v>654</v>
      </c>
      <c r="C60" s="18"/>
      <c r="D60" s="272">
        <v>316300</v>
      </c>
      <c r="E60" s="18">
        <v>2500</v>
      </c>
    </row>
    <row r="61" spans="2:8" outlineLevel="1">
      <c r="B61">
        <v>655</v>
      </c>
      <c r="C61" s="18"/>
      <c r="D61" s="272">
        <v>68792</v>
      </c>
      <c r="E61" s="18"/>
    </row>
    <row r="62" spans="2:8" outlineLevel="1">
      <c r="B62">
        <v>657</v>
      </c>
      <c r="C62" s="18"/>
      <c r="D62" s="272">
        <v>39859.67</v>
      </c>
      <c r="E62" s="18">
        <v>54453.95</v>
      </c>
    </row>
    <row r="63" spans="2:8" outlineLevel="1">
      <c r="B63">
        <v>658</v>
      </c>
      <c r="C63" s="18"/>
      <c r="D63" s="272">
        <v>12596.7</v>
      </c>
      <c r="E63" s="18">
        <f>C63</f>
        <v>0</v>
      </c>
    </row>
    <row r="64" spans="2:8" outlineLevel="1">
      <c r="B64">
        <v>666</v>
      </c>
      <c r="C64" s="18"/>
      <c r="D64" s="272"/>
      <c r="E64" s="18"/>
    </row>
    <row r="65" spans="2:5" outlineLevel="1">
      <c r="B65">
        <v>667</v>
      </c>
      <c r="C65" s="18"/>
      <c r="D65" s="272"/>
      <c r="E65" s="18"/>
    </row>
    <row r="66" spans="2:5" outlineLevel="1">
      <c r="B66">
        <v>669</v>
      </c>
      <c r="C66" s="18"/>
      <c r="D66" s="272">
        <v>2478711.11</v>
      </c>
      <c r="E66" s="18">
        <v>1740473.96</v>
      </c>
    </row>
    <row r="67" spans="2:5" outlineLevel="1">
      <c r="C67" s="18"/>
      <c r="D67" s="103">
        <f>SUM(D47:D66)</f>
        <v>8485309.8399999999</v>
      </c>
      <c r="E67" s="103">
        <f>SUM(E47:E64)</f>
        <v>4796508.09</v>
      </c>
    </row>
    <row r="68" spans="2:5" outlineLevel="1">
      <c r="D68" s="103">
        <f>D67-D45</f>
        <v>8157171.5199999996</v>
      </c>
    </row>
    <row r="69" spans="2:5" outlineLevel="1">
      <c r="D69" s="223"/>
    </row>
    <row r="70" spans="2:5" outlineLevel="1">
      <c r="C70" s="18"/>
      <c r="D70" s="18">
        <f>D67-D45</f>
        <v>8157171.5199999996</v>
      </c>
      <c r="E70" s="18">
        <f>E67-E45</f>
        <v>4541604.1099999994</v>
      </c>
    </row>
    <row r="71" spans="2:5" outlineLevel="1">
      <c r="C71" s="28"/>
    </row>
    <row r="72" spans="2:5">
      <c r="D72" s="269">
        <f>D68-D70</f>
        <v>0</v>
      </c>
    </row>
  </sheetData>
  <mergeCells count="6">
    <mergeCell ref="E4:E5"/>
    <mergeCell ref="B37:D37"/>
    <mergeCell ref="C1:D1"/>
    <mergeCell ref="A2:D2"/>
    <mergeCell ref="C4:C5"/>
    <mergeCell ref="D4:D5"/>
  </mergeCells>
  <phoneticPr fontId="10" type="noConversion"/>
  <pageMargins left="0.75" right="0.75" top="1" bottom="1" header="0.5" footer="0.5"/>
  <pageSetup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K32"/>
  <sheetViews>
    <sheetView workbookViewId="0">
      <selection activeCell="D36" sqref="D36"/>
    </sheetView>
  </sheetViews>
  <sheetFormatPr defaultRowHeight="13.5"/>
  <cols>
    <col min="2" max="2" width="23.28515625" bestFit="1" customWidth="1"/>
    <col min="3" max="3" width="12.7109375" customWidth="1"/>
    <col min="4" max="4" width="10.5703125" bestFit="1" customWidth="1"/>
    <col min="7" max="7" width="35.28515625" style="239" customWidth="1"/>
    <col min="8" max="9" width="13.28515625" style="239" bestFit="1" customWidth="1"/>
    <col min="11" max="11" width="10.28515625" bestFit="1" customWidth="1"/>
  </cols>
  <sheetData>
    <row r="2" spans="2:9" ht="15.75" thickBot="1">
      <c r="C2" s="245"/>
      <c r="H2" s="240">
        <v>2013</v>
      </c>
      <c r="I2" s="241">
        <v>2012</v>
      </c>
    </row>
    <row r="3" spans="2:9" ht="16.5" thickTop="1" thickBot="1">
      <c r="B3" s="107" t="s">
        <v>399</v>
      </c>
      <c r="C3" s="107"/>
      <c r="G3" s="247" t="s">
        <v>153</v>
      </c>
      <c r="H3" s="247" t="s">
        <v>154</v>
      </c>
      <c r="I3" s="247" t="s">
        <v>154</v>
      </c>
    </row>
    <row r="4" spans="2:9" ht="14.25" thickTop="1">
      <c r="B4" s="276" t="s">
        <v>453</v>
      </c>
      <c r="C4" s="272">
        <v>6000</v>
      </c>
      <c r="G4" s="239" t="s">
        <v>148</v>
      </c>
      <c r="H4" s="248">
        <v>0</v>
      </c>
      <c r="I4" s="248">
        <v>1215</v>
      </c>
    </row>
    <row r="5" spans="2:9">
      <c r="B5" s="276" t="s">
        <v>474</v>
      </c>
      <c r="C5" s="272">
        <v>120000</v>
      </c>
      <c r="G5" s="239" t="s">
        <v>393</v>
      </c>
      <c r="H5" s="248">
        <v>8500</v>
      </c>
      <c r="I5" s="248">
        <v>19966.669999999998</v>
      </c>
    </row>
    <row r="6" spans="2:9">
      <c r="B6" s="276" t="s">
        <v>473</v>
      </c>
      <c r="C6" s="272">
        <v>6000</v>
      </c>
      <c r="G6" s="239" t="s">
        <v>149</v>
      </c>
      <c r="H6" s="248">
        <v>163931.29999999999</v>
      </c>
      <c r="I6" s="248">
        <v>217189</v>
      </c>
    </row>
    <row r="7" spans="2:9">
      <c r="B7" s="276" t="s">
        <v>454</v>
      </c>
      <c r="C7" s="272">
        <v>648000</v>
      </c>
      <c r="G7" s="239" t="s">
        <v>402</v>
      </c>
      <c r="H7" s="249">
        <v>0</v>
      </c>
      <c r="I7" s="249">
        <v>70833</v>
      </c>
    </row>
    <row r="8" spans="2:9">
      <c r="B8" s="276" t="s">
        <v>475</v>
      </c>
      <c r="C8" s="272"/>
      <c r="G8" s="239" t="s">
        <v>469</v>
      </c>
      <c r="H8" s="249"/>
      <c r="I8" s="249"/>
    </row>
    <row r="9" spans="2:9">
      <c r="B9" s="276" t="s">
        <v>447</v>
      </c>
      <c r="C9" s="272"/>
      <c r="G9" s="239" t="s">
        <v>187</v>
      </c>
      <c r="H9" s="248">
        <v>1242523.3999999999</v>
      </c>
      <c r="I9" s="248">
        <f>'Fitim-Humbje'!E53</f>
        <v>1528794.01</v>
      </c>
    </row>
    <row r="10" spans="2:9">
      <c r="B10" s="276" t="s">
        <v>455</v>
      </c>
      <c r="C10" s="272"/>
      <c r="G10" s="239" t="s">
        <v>442</v>
      </c>
      <c r="H10" s="248">
        <v>210785.48</v>
      </c>
      <c r="I10" s="248">
        <f>'Fitim-Humbje'!E54</f>
        <v>154764.66</v>
      </c>
    </row>
    <row r="11" spans="2:9">
      <c r="B11" s="276" t="s">
        <v>472</v>
      </c>
      <c r="C11" s="272">
        <v>361700</v>
      </c>
      <c r="G11" s="239" t="s">
        <v>150</v>
      </c>
      <c r="H11" s="248">
        <v>38298.25</v>
      </c>
      <c r="I11" s="248">
        <f>'Fitim-Humbje'!E55</f>
        <v>140493.79999999999</v>
      </c>
    </row>
    <row r="12" spans="2:9">
      <c r="B12" s="276" t="s">
        <v>448</v>
      </c>
      <c r="C12" s="272"/>
      <c r="G12" s="239" t="s">
        <v>151</v>
      </c>
      <c r="H12" s="248">
        <v>22120</v>
      </c>
      <c r="I12" s="248">
        <f>'Fitim-Humbje'!E56</f>
        <v>22120</v>
      </c>
    </row>
    <row r="13" spans="2:9">
      <c r="B13" s="276" t="s">
        <v>488</v>
      </c>
      <c r="C13" s="272">
        <v>5020</v>
      </c>
      <c r="G13" s="239" t="s">
        <v>441</v>
      </c>
      <c r="H13" s="248">
        <v>28858.67</v>
      </c>
      <c r="I13" s="248">
        <f>'Fitim-Humbje'!E57</f>
        <v>1200</v>
      </c>
    </row>
    <row r="14" spans="2:9">
      <c r="B14" s="276" t="s">
        <v>398</v>
      </c>
      <c r="C14" s="272">
        <f>-(203781078.65-183781)</f>
        <v>-203597297.65000001</v>
      </c>
      <c r="G14" s="239" t="s">
        <v>152</v>
      </c>
      <c r="H14" s="248">
        <v>1921152</v>
      </c>
      <c r="I14" s="248">
        <f>'Fitim-Humbje'!E58</f>
        <v>2403442</v>
      </c>
    </row>
    <row r="15" spans="2:9">
      <c r="B15" s="276" t="s">
        <v>449</v>
      </c>
      <c r="C15" s="272">
        <v>-11001</v>
      </c>
      <c r="G15" s="239" t="s">
        <v>431</v>
      </c>
      <c r="H15" s="248">
        <v>138706</v>
      </c>
      <c r="I15" s="248">
        <f>'Fitim-Humbje'!E59</f>
        <v>179536</v>
      </c>
    </row>
    <row r="16" spans="2:9">
      <c r="B16" s="276" t="s">
        <v>487</v>
      </c>
      <c r="C16" s="272">
        <v>167874.4</v>
      </c>
      <c r="G16" s="239" t="s">
        <v>470</v>
      </c>
      <c r="H16" s="248">
        <v>275800</v>
      </c>
      <c r="I16" s="248"/>
    </row>
    <row r="17" spans="2:11">
      <c r="B17" s="109" t="s">
        <v>450</v>
      </c>
      <c r="C17" s="272">
        <v>670093.80000000005</v>
      </c>
      <c r="G17" s="239" t="s">
        <v>471</v>
      </c>
      <c r="H17" s="248">
        <v>60100</v>
      </c>
      <c r="I17" s="248"/>
    </row>
    <row r="18" spans="2:11" ht="15">
      <c r="B18" s="276" t="s">
        <v>400</v>
      </c>
      <c r="C18" s="272">
        <v>70685</v>
      </c>
      <c r="G18" s="239" t="s">
        <v>443</v>
      </c>
      <c r="H18" s="248">
        <v>7656.7</v>
      </c>
      <c r="I18" s="248">
        <f>'Fitim-Humbje'!E60+'Fitim-Humbje'!E62</f>
        <v>56953.95</v>
      </c>
    </row>
    <row r="19" spans="2:11">
      <c r="B19" s="276" t="s">
        <v>486</v>
      </c>
      <c r="C19" s="272">
        <v>40000</v>
      </c>
      <c r="G19" s="239" t="s">
        <v>446</v>
      </c>
      <c r="H19" s="248">
        <v>153.72</v>
      </c>
      <c r="I19" s="248">
        <f>'Fitim-Humbje'!E66</f>
        <v>1740473.96</v>
      </c>
    </row>
    <row r="20" spans="2:11" ht="15">
      <c r="B20" s="276" t="s">
        <v>451</v>
      </c>
      <c r="C20" s="272"/>
      <c r="G20" s="247" t="s">
        <v>50</v>
      </c>
      <c r="H20" s="250">
        <f>SUM(H4:H19)</f>
        <v>4118585.52</v>
      </c>
      <c r="I20" s="250">
        <f>SUM(I4:I19)</f>
        <v>6536982.0499999998</v>
      </c>
    </row>
    <row r="21" spans="2:11">
      <c r="B21" s="276" t="s">
        <v>452</v>
      </c>
      <c r="C21" s="272"/>
    </row>
    <row r="22" spans="2:11" ht="15">
      <c r="B22" s="276" t="s">
        <v>489</v>
      </c>
      <c r="C22" s="272">
        <v>8692</v>
      </c>
      <c r="G22" s="247" t="s">
        <v>188</v>
      </c>
      <c r="H22" s="247" t="s">
        <v>154</v>
      </c>
      <c r="I22" s="247" t="s">
        <v>154</v>
      </c>
      <c r="K22" s="28"/>
    </row>
    <row r="23" spans="2:11" ht="14.25" thickBot="1">
      <c r="B23" s="276" t="s">
        <v>456</v>
      </c>
      <c r="C23" s="272">
        <v>2122246.44</v>
      </c>
      <c r="G23" s="71" t="s">
        <v>445</v>
      </c>
      <c r="H23" s="262"/>
      <c r="I23" s="262">
        <f>'Fitim-Humbje'!E42</f>
        <v>251496</v>
      </c>
    </row>
    <row r="24" spans="2:11" ht="16.5" thickTop="1" thickBot="1">
      <c r="B24" s="107" t="s">
        <v>401</v>
      </c>
      <c r="C24" s="244">
        <f>SUM(C4:C23)</f>
        <v>-199381987.00999999</v>
      </c>
      <c r="F24" s="246"/>
      <c r="G24" s="239" t="s">
        <v>403</v>
      </c>
      <c r="H24" s="249">
        <v>301617.65000000002</v>
      </c>
      <c r="I24" s="249">
        <f>'Fitim-Humbje'!E43</f>
        <v>0</v>
      </c>
    </row>
    <row r="25" spans="2:11" ht="15.75" thickTop="1">
      <c r="F25" s="246"/>
      <c r="G25" s="239" t="s">
        <v>444</v>
      </c>
      <c r="H25" s="249">
        <v>14611.01</v>
      </c>
      <c r="I25" s="249">
        <f>'Fitim-Humbje'!E44</f>
        <v>3407.98</v>
      </c>
    </row>
    <row r="26" spans="2:11" ht="15">
      <c r="C26" s="13">
        <f>C24-Bilanci!D77+Bilanci!D28</f>
        <v>-204333679.46000001</v>
      </c>
      <c r="G26" s="247" t="s">
        <v>50</v>
      </c>
      <c r="H26" s="250">
        <f>SUM(H24:H25)</f>
        <v>316228.66000000003</v>
      </c>
      <c r="I26" s="250">
        <f>SUM(I23:I25)</f>
        <v>254903.98</v>
      </c>
    </row>
    <row r="28" spans="2:11" ht="15">
      <c r="G28" s="71" t="s">
        <v>404</v>
      </c>
      <c r="H28" s="253">
        <f>H26-H20</f>
        <v>-3802356.86</v>
      </c>
      <c r="I28" s="253">
        <f>I26-I20</f>
        <v>-6282078.0699999994</v>
      </c>
    </row>
    <row r="29" spans="2:11">
      <c r="H29" s="251">
        <f>H28-'Fitim-Humbje'!D32</f>
        <v>4354814.66</v>
      </c>
    </row>
    <row r="30" spans="2:11">
      <c r="I30" s="251"/>
    </row>
    <row r="31" spans="2:11">
      <c r="I31" s="251"/>
    </row>
    <row r="32" spans="2:11" ht="15">
      <c r="I32" s="25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IV202"/>
  <sheetViews>
    <sheetView zoomScaleNormal="100" workbookViewId="0">
      <selection activeCell="I34" sqref="I34"/>
    </sheetView>
  </sheetViews>
  <sheetFormatPr defaultRowHeight="15.75"/>
  <cols>
    <col min="1" max="1" width="6" style="369" customWidth="1"/>
    <col min="2" max="2" width="14.5703125" style="418" customWidth="1"/>
    <col min="3" max="3" width="2.42578125" style="369" customWidth="1"/>
    <col min="4" max="4" width="10.140625" style="369" customWidth="1"/>
    <col min="5" max="5" width="3.140625" style="369" customWidth="1"/>
    <col min="6" max="6" width="18.42578125" style="369" customWidth="1"/>
    <col min="7" max="7" width="17.28515625" style="369" customWidth="1"/>
    <col min="8" max="8" width="16" style="369" customWidth="1"/>
    <col min="9" max="9" width="14.85546875" style="369" bestFit="1" customWidth="1"/>
    <col min="10" max="10" width="13.7109375" style="369" customWidth="1"/>
    <col min="11" max="11" width="5.85546875" style="369" customWidth="1"/>
    <col min="12" max="12" width="16" style="369" customWidth="1"/>
    <col min="13" max="13" width="19.140625" style="369" customWidth="1"/>
    <col min="14" max="14" width="15.85546875" style="369" customWidth="1"/>
    <col min="15" max="15" width="19.85546875" style="324" customWidth="1"/>
    <col min="16" max="16" width="9.140625" style="324"/>
    <col min="17" max="17" width="11" style="324" bestFit="1" customWidth="1"/>
    <col min="18" max="16384" width="9.140625" style="324"/>
  </cols>
  <sheetData>
    <row r="2" spans="1:256">
      <c r="A2" s="322"/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323"/>
    </row>
    <row r="3" spans="1:256">
      <c r="A3" s="325"/>
      <c r="B3" s="800" t="s">
        <v>504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</row>
    <row r="4" spans="1:256">
      <c r="A4" s="325"/>
      <c r="B4" s="787" t="s">
        <v>588</v>
      </c>
      <c r="C4" s="787"/>
      <c r="D4" s="787"/>
      <c r="E4" s="787"/>
      <c r="F4" s="787"/>
      <c r="G4" s="787"/>
      <c r="H4" s="787"/>
      <c r="I4" s="787"/>
      <c r="J4" s="787"/>
      <c r="K4" s="787"/>
      <c r="L4" s="787"/>
      <c r="M4" s="787"/>
      <c r="N4" s="326"/>
    </row>
    <row r="5" spans="1:256">
      <c r="A5" s="325"/>
      <c r="B5" s="327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</row>
    <row r="6" spans="1:256">
      <c r="A6" s="807" t="s">
        <v>337</v>
      </c>
      <c r="B6" s="810" t="s">
        <v>505</v>
      </c>
      <c r="C6" s="805" t="s">
        <v>506</v>
      </c>
      <c r="D6" s="805" t="s">
        <v>507</v>
      </c>
      <c r="E6" s="805" t="s">
        <v>508</v>
      </c>
      <c r="F6" s="816" t="s">
        <v>509</v>
      </c>
      <c r="G6" s="817"/>
      <c r="H6" s="803" t="s">
        <v>510</v>
      </c>
      <c r="I6" s="818"/>
      <c r="J6" s="818"/>
      <c r="K6" s="804"/>
      <c r="L6" s="801" t="s">
        <v>511</v>
      </c>
      <c r="M6" s="801" t="s">
        <v>512</v>
      </c>
      <c r="N6" s="801" t="s">
        <v>513</v>
      </c>
      <c r="O6" s="780" t="s">
        <v>514</v>
      </c>
    </row>
    <row r="7" spans="1:256">
      <c r="A7" s="808"/>
      <c r="B7" s="811"/>
      <c r="C7" s="813"/>
      <c r="D7" s="815"/>
      <c r="E7" s="815"/>
      <c r="F7" s="801" t="s">
        <v>515</v>
      </c>
      <c r="G7" s="801" t="s">
        <v>516</v>
      </c>
      <c r="H7" s="801" t="s">
        <v>517</v>
      </c>
      <c r="I7" s="803" t="s">
        <v>518</v>
      </c>
      <c r="J7" s="804"/>
      <c r="K7" s="805" t="s">
        <v>519</v>
      </c>
      <c r="L7" s="819"/>
      <c r="M7" s="819"/>
      <c r="N7" s="819"/>
      <c r="O7" s="781"/>
    </row>
    <row r="8" spans="1:256" ht="44.25" customHeight="1">
      <c r="A8" s="809"/>
      <c r="B8" s="812"/>
      <c r="C8" s="814"/>
      <c r="D8" s="806"/>
      <c r="E8" s="806"/>
      <c r="F8" s="802"/>
      <c r="G8" s="802"/>
      <c r="H8" s="802"/>
      <c r="I8" s="328" t="s">
        <v>520</v>
      </c>
      <c r="J8" s="328" t="s">
        <v>521</v>
      </c>
      <c r="K8" s="806"/>
      <c r="L8" s="802"/>
      <c r="M8" s="802"/>
      <c r="N8" s="802"/>
      <c r="O8" s="782"/>
      <c r="P8" s="329"/>
    </row>
    <row r="9" spans="1:256">
      <c r="A9" s="330">
        <v>1</v>
      </c>
      <c r="B9" s="331" t="s">
        <v>522</v>
      </c>
      <c r="C9" s="332" t="s">
        <v>523</v>
      </c>
      <c r="D9" s="333">
        <v>9</v>
      </c>
      <c r="E9" s="334"/>
      <c r="F9" s="335">
        <v>209400</v>
      </c>
      <c r="G9" s="335">
        <v>91475</v>
      </c>
      <c r="H9" s="335">
        <f>I9+J9</f>
        <v>22411.375</v>
      </c>
      <c r="I9" s="335">
        <f>G9*15%</f>
        <v>13721.25</v>
      </c>
      <c r="J9" s="335">
        <f>G9*9.5%</f>
        <v>8690.125</v>
      </c>
      <c r="K9" s="336">
        <v>0</v>
      </c>
      <c r="L9" s="335">
        <f>G9*3.4%</f>
        <v>3110.15</v>
      </c>
      <c r="M9" s="335">
        <f>F9</f>
        <v>209400</v>
      </c>
      <c r="N9" s="337">
        <f>M9*0.1</f>
        <v>20940</v>
      </c>
      <c r="O9" s="337">
        <f>F9-J9-L9/2-N9</f>
        <v>178214.8</v>
      </c>
      <c r="P9" s="338"/>
    </row>
    <row r="10" spans="1:256">
      <c r="A10" s="330">
        <v>2</v>
      </c>
      <c r="B10" s="331" t="s">
        <v>524</v>
      </c>
      <c r="C10" s="339" t="s">
        <v>525</v>
      </c>
      <c r="D10" s="340">
        <v>9</v>
      </c>
      <c r="E10" s="340"/>
      <c r="F10" s="335">
        <v>209400</v>
      </c>
      <c r="G10" s="335">
        <v>91475</v>
      </c>
      <c r="H10" s="335">
        <f t="shared" ref="H10:H21" si="0">I10+J10</f>
        <v>22411.375</v>
      </c>
      <c r="I10" s="335">
        <f t="shared" ref="I10:I21" si="1">G10*15%</f>
        <v>13721.25</v>
      </c>
      <c r="J10" s="335">
        <f t="shared" ref="J10:J21" si="2">G10*9.5%</f>
        <v>8690.125</v>
      </c>
      <c r="K10" s="336">
        <v>0</v>
      </c>
      <c r="L10" s="335">
        <f t="shared" ref="L10:L23" si="3">G10*3.4%</f>
        <v>3110.15</v>
      </c>
      <c r="M10" s="335">
        <f t="shared" ref="M10:M20" si="4">F10</f>
        <v>209400</v>
      </c>
      <c r="N10" s="337">
        <f t="shared" ref="N10:N20" si="5">M10*0.1</f>
        <v>20940</v>
      </c>
      <c r="O10" s="337">
        <f>F10-J10-L10/2-N10</f>
        <v>178214.8</v>
      </c>
    </row>
    <row r="11" spans="1:256">
      <c r="A11" s="330">
        <v>3</v>
      </c>
      <c r="B11" s="341" t="s">
        <v>526</v>
      </c>
      <c r="C11" s="342"/>
      <c r="D11" s="333">
        <v>10</v>
      </c>
      <c r="E11" s="334"/>
      <c r="F11" s="335">
        <v>209400</v>
      </c>
      <c r="G11" s="335">
        <v>91475</v>
      </c>
      <c r="H11" s="335">
        <f t="shared" si="0"/>
        <v>22411.375</v>
      </c>
      <c r="I11" s="335">
        <f t="shared" si="1"/>
        <v>13721.25</v>
      </c>
      <c r="J11" s="335">
        <f t="shared" si="2"/>
        <v>8690.125</v>
      </c>
      <c r="K11" s="336">
        <v>0</v>
      </c>
      <c r="L11" s="335">
        <f t="shared" si="3"/>
        <v>3110.15</v>
      </c>
      <c r="M11" s="335">
        <f t="shared" si="4"/>
        <v>209400</v>
      </c>
      <c r="N11" s="337">
        <f t="shared" si="5"/>
        <v>20940</v>
      </c>
      <c r="O11" s="337">
        <f t="shared" ref="O11:O21" si="6">F11-J11-L11/2-N11</f>
        <v>178214.8</v>
      </c>
    </row>
    <row r="12" spans="1:256">
      <c r="A12" s="330">
        <v>4</v>
      </c>
      <c r="B12" s="331" t="s">
        <v>527</v>
      </c>
      <c r="C12" s="343"/>
      <c r="D12" s="330">
        <v>10</v>
      </c>
      <c r="E12" s="340"/>
      <c r="F12" s="335">
        <v>209400</v>
      </c>
      <c r="G12" s="335">
        <v>91475</v>
      </c>
      <c r="H12" s="335">
        <f t="shared" si="0"/>
        <v>22411.375</v>
      </c>
      <c r="I12" s="335">
        <f t="shared" si="1"/>
        <v>13721.25</v>
      </c>
      <c r="J12" s="335">
        <f t="shared" si="2"/>
        <v>8690.125</v>
      </c>
      <c r="K12" s="336"/>
      <c r="L12" s="335">
        <f t="shared" si="3"/>
        <v>3110.15</v>
      </c>
      <c r="M12" s="335">
        <f t="shared" si="4"/>
        <v>209400</v>
      </c>
      <c r="N12" s="337">
        <f t="shared" si="5"/>
        <v>20940</v>
      </c>
      <c r="O12" s="337">
        <f t="shared" si="6"/>
        <v>178214.8</v>
      </c>
    </row>
    <row r="13" spans="1:256">
      <c r="A13" s="330">
        <v>5</v>
      </c>
      <c r="B13" s="331" t="s">
        <v>528</v>
      </c>
      <c r="C13" s="344" t="s">
        <v>529</v>
      </c>
      <c r="D13" s="330">
        <v>10</v>
      </c>
      <c r="E13" s="340"/>
      <c r="F13" s="335">
        <v>209400</v>
      </c>
      <c r="G13" s="335">
        <v>91475</v>
      </c>
      <c r="H13" s="335">
        <f t="shared" si="0"/>
        <v>22411.375</v>
      </c>
      <c r="I13" s="335">
        <f t="shared" si="1"/>
        <v>13721.25</v>
      </c>
      <c r="J13" s="335">
        <f t="shared" si="2"/>
        <v>8690.125</v>
      </c>
      <c r="K13" s="336"/>
      <c r="L13" s="335">
        <f t="shared" si="3"/>
        <v>3110.15</v>
      </c>
      <c r="M13" s="335">
        <f t="shared" si="4"/>
        <v>209400</v>
      </c>
      <c r="N13" s="337">
        <f t="shared" si="5"/>
        <v>20940</v>
      </c>
      <c r="O13" s="337">
        <f t="shared" si="6"/>
        <v>178214.8</v>
      </c>
    </row>
    <row r="14" spans="1:256">
      <c r="A14" s="330">
        <v>6</v>
      </c>
      <c r="B14" s="331" t="s">
        <v>530</v>
      </c>
      <c r="C14" s="339" t="s">
        <v>523</v>
      </c>
      <c r="D14" s="340">
        <v>10</v>
      </c>
      <c r="E14" s="340"/>
      <c r="F14" s="335">
        <v>209400</v>
      </c>
      <c r="G14" s="335">
        <v>91475</v>
      </c>
      <c r="H14" s="335">
        <f t="shared" si="0"/>
        <v>22411.375</v>
      </c>
      <c r="I14" s="335">
        <f t="shared" si="1"/>
        <v>13721.25</v>
      </c>
      <c r="J14" s="335">
        <f t="shared" si="2"/>
        <v>8690.125</v>
      </c>
      <c r="K14" s="336"/>
      <c r="L14" s="335">
        <f t="shared" si="3"/>
        <v>3110.15</v>
      </c>
      <c r="M14" s="335">
        <f t="shared" si="4"/>
        <v>209400</v>
      </c>
      <c r="N14" s="337">
        <f t="shared" si="5"/>
        <v>20940</v>
      </c>
      <c r="O14" s="337">
        <f t="shared" si="6"/>
        <v>178214.8</v>
      </c>
      <c r="P14" s="345"/>
      <c r="Q14" s="346"/>
      <c r="R14" s="347"/>
    </row>
    <row r="15" spans="1:256">
      <c r="A15" s="330">
        <v>7</v>
      </c>
      <c r="B15" s="348" t="s">
        <v>531</v>
      </c>
      <c r="C15" s="349" t="s">
        <v>523</v>
      </c>
      <c r="D15" s="340">
        <v>10</v>
      </c>
      <c r="E15" s="350"/>
      <c r="F15" s="335">
        <v>209400</v>
      </c>
      <c r="G15" s="351">
        <v>91475</v>
      </c>
      <c r="H15" s="335">
        <f t="shared" si="0"/>
        <v>22411.375</v>
      </c>
      <c r="I15" s="335">
        <f t="shared" si="1"/>
        <v>13721.25</v>
      </c>
      <c r="J15" s="335">
        <f t="shared" si="2"/>
        <v>8690.125</v>
      </c>
      <c r="K15" s="336"/>
      <c r="L15" s="335">
        <f t="shared" si="3"/>
        <v>3110.15</v>
      </c>
      <c r="M15" s="335">
        <f t="shared" si="4"/>
        <v>209400</v>
      </c>
      <c r="N15" s="337">
        <f t="shared" si="5"/>
        <v>20940</v>
      </c>
      <c r="O15" s="337">
        <f t="shared" si="6"/>
        <v>178214.8</v>
      </c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352"/>
      <c r="CN15" s="352"/>
      <c r="CO15" s="352"/>
      <c r="CP15" s="352"/>
      <c r="CQ15" s="352"/>
      <c r="CR15" s="352"/>
      <c r="CS15" s="352"/>
      <c r="CT15" s="352"/>
      <c r="CU15" s="352"/>
      <c r="CV15" s="352"/>
      <c r="CW15" s="352"/>
      <c r="CX15" s="352"/>
      <c r="CY15" s="352"/>
      <c r="CZ15" s="352"/>
      <c r="DA15" s="352"/>
      <c r="DB15" s="352"/>
      <c r="DC15" s="352"/>
      <c r="DD15" s="352"/>
      <c r="DE15" s="352"/>
      <c r="DF15" s="352"/>
      <c r="DG15" s="352"/>
      <c r="DH15" s="352"/>
      <c r="DI15" s="352"/>
      <c r="DJ15" s="352"/>
      <c r="DK15" s="352"/>
      <c r="DL15" s="352"/>
      <c r="DM15" s="352"/>
      <c r="DN15" s="352"/>
      <c r="DO15" s="352"/>
      <c r="DP15" s="352"/>
      <c r="DQ15" s="352"/>
      <c r="DR15" s="352"/>
      <c r="DS15" s="352"/>
      <c r="DT15" s="352"/>
      <c r="DU15" s="352"/>
      <c r="DV15" s="352"/>
      <c r="DW15" s="352"/>
      <c r="DX15" s="352"/>
      <c r="DY15" s="352"/>
      <c r="DZ15" s="352"/>
      <c r="EA15" s="352"/>
      <c r="EB15" s="352"/>
      <c r="EC15" s="352"/>
      <c r="ED15" s="352"/>
      <c r="EE15" s="352"/>
      <c r="EF15" s="352"/>
      <c r="EG15" s="352"/>
      <c r="EH15" s="352"/>
      <c r="EI15" s="352"/>
      <c r="EJ15" s="352"/>
      <c r="EK15" s="352"/>
      <c r="EL15" s="352"/>
      <c r="EM15" s="352"/>
      <c r="EN15" s="352"/>
      <c r="EO15" s="352"/>
      <c r="EP15" s="352"/>
      <c r="EQ15" s="352"/>
      <c r="ER15" s="352"/>
      <c r="ES15" s="352"/>
      <c r="ET15" s="352"/>
      <c r="EU15" s="352"/>
      <c r="EV15" s="352"/>
      <c r="EW15" s="352"/>
      <c r="EX15" s="352"/>
      <c r="EY15" s="352"/>
      <c r="EZ15" s="352"/>
      <c r="FA15" s="352"/>
      <c r="FB15" s="352"/>
      <c r="FC15" s="352"/>
      <c r="FD15" s="352"/>
      <c r="FE15" s="352"/>
      <c r="FF15" s="352"/>
      <c r="FG15" s="352"/>
      <c r="FH15" s="352"/>
      <c r="FI15" s="352"/>
      <c r="FJ15" s="352"/>
      <c r="FK15" s="352"/>
      <c r="FL15" s="352"/>
      <c r="FM15" s="352"/>
      <c r="FN15" s="352"/>
      <c r="FO15" s="352"/>
      <c r="FP15" s="352"/>
      <c r="FQ15" s="352"/>
      <c r="FR15" s="352"/>
      <c r="FS15" s="352"/>
      <c r="FT15" s="352"/>
      <c r="FU15" s="352"/>
      <c r="FV15" s="352"/>
      <c r="FW15" s="352"/>
      <c r="FX15" s="352"/>
      <c r="FY15" s="352"/>
      <c r="FZ15" s="352"/>
      <c r="GA15" s="352"/>
      <c r="GB15" s="352"/>
      <c r="GC15" s="352"/>
      <c r="GD15" s="352"/>
      <c r="GE15" s="352"/>
      <c r="GF15" s="352"/>
      <c r="GG15" s="352"/>
      <c r="GH15" s="352"/>
      <c r="GI15" s="352"/>
      <c r="GJ15" s="352"/>
      <c r="GK15" s="352"/>
      <c r="GL15" s="352"/>
      <c r="GM15" s="352"/>
      <c r="GN15" s="352"/>
      <c r="GO15" s="352"/>
      <c r="GP15" s="352"/>
      <c r="GQ15" s="352"/>
      <c r="GR15" s="352"/>
      <c r="GS15" s="352"/>
      <c r="GT15" s="352"/>
      <c r="GU15" s="352"/>
      <c r="GV15" s="352"/>
      <c r="GW15" s="352"/>
      <c r="GX15" s="352"/>
      <c r="GY15" s="352"/>
      <c r="GZ15" s="352"/>
      <c r="HA15" s="352"/>
      <c r="HB15" s="352"/>
      <c r="HC15" s="352"/>
      <c r="HD15" s="352"/>
      <c r="HE15" s="352"/>
      <c r="HF15" s="352"/>
      <c r="HG15" s="352"/>
      <c r="HH15" s="352"/>
      <c r="HI15" s="352"/>
      <c r="HJ15" s="352"/>
      <c r="HK15" s="352"/>
      <c r="HL15" s="352"/>
      <c r="HM15" s="352"/>
      <c r="HN15" s="352"/>
      <c r="HO15" s="352"/>
      <c r="HP15" s="352"/>
      <c r="HQ15" s="352"/>
      <c r="HR15" s="352"/>
      <c r="HS15" s="352"/>
      <c r="HT15" s="352"/>
      <c r="HU15" s="352"/>
      <c r="HV15" s="352"/>
      <c r="HW15" s="352"/>
      <c r="HX15" s="352"/>
      <c r="HY15" s="352"/>
      <c r="HZ15" s="352"/>
      <c r="IA15" s="352"/>
      <c r="IB15" s="352"/>
      <c r="IC15" s="352"/>
      <c r="ID15" s="352"/>
      <c r="IE15" s="352"/>
      <c r="IF15" s="352"/>
      <c r="IG15" s="352"/>
      <c r="IH15" s="352"/>
      <c r="II15" s="352"/>
      <c r="IJ15" s="352"/>
      <c r="IK15" s="352"/>
      <c r="IL15" s="352"/>
      <c r="IM15" s="352"/>
      <c r="IN15" s="352"/>
      <c r="IO15" s="352"/>
      <c r="IP15" s="352"/>
      <c r="IQ15" s="352"/>
      <c r="IR15" s="352"/>
      <c r="IS15" s="352"/>
      <c r="IT15" s="352"/>
      <c r="IU15" s="352"/>
      <c r="IV15" s="352"/>
    </row>
    <row r="16" spans="1:256">
      <c r="A16" s="330">
        <v>8</v>
      </c>
      <c r="B16" s="348" t="s">
        <v>532</v>
      </c>
      <c r="C16" s="332" t="s">
        <v>525</v>
      </c>
      <c r="D16" s="333">
        <v>10</v>
      </c>
      <c r="E16" s="350"/>
      <c r="F16" s="335">
        <v>213815</v>
      </c>
      <c r="G16" s="351">
        <v>95130</v>
      </c>
      <c r="H16" s="335">
        <f t="shared" si="0"/>
        <v>23306.85</v>
      </c>
      <c r="I16" s="335">
        <f t="shared" si="1"/>
        <v>14269.5</v>
      </c>
      <c r="J16" s="335">
        <f t="shared" si="2"/>
        <v>9037.35</v>
      </c>
      <c r="K16" s="336"/>
      <c r="L16" s="335">
        <f t="shared" si="3"/>
        <v>3234.42</v>
      </c>
      <c r="M16" s="335">
        <f t="shared" si="4"/>
        <v>213815</v>
      </c>
      <c r="N16" s="337">
        <f t="shared" si="5"/>
        <v>21381.5</v>
      </c>
      <c r="O16" s="337">
        <f t="shared" si="6"/>
        <v>181778.94</v>
      </c>
    </row>
    <row r="17" spans="1:17">
      <c r="A17" s="330">
        <v>9</v>
      </c>
      <c r="B17" s="331" t="s">
        <v>533</v>
      </c>
      <c r="C17" s="349" t="s">
        <v>534</v>
      </c>
      <c r="D17" s="353">
        <v>10</v>
      </c>
      <c r="E17" s="350"/>
      <c r="F17" s="335">
        <v>241537</v>
      </c>
      <c r="G17" s="351">
        <v>95130</v>
      </c>
      <c r="H17" s="335">
        <f t="shared" si="0"/>
        <v>23306.85</v>
      </c>
      <c r="I17" s="335">
        <f t="shared" si="1"/>
        <v>14269.5</v>
      </c>
      <c r="J17" s="335">
        <f t="shared" si="2"/>
        <v>9037.35</v>
      </c>
      <c r="K17" s="336"/>
      <c r="L17" s="335">
        <f t="shared" si="3"/>
        <v>3234.42</v>
      </c>
      <c r="M17" s="335">
        <f t="shared" si="4"/>
        <v>241537</v>
      </c>
      <c r="N17" s="337">
        <f t="shared" si="5"/>
        <v>24153.7</v>
      </c>
      <c r="O17" s="337">
        <f t="shared" si="6"/>
        <v>206728.74</v>
      </c>
    </row>
    <row r="18" spans="1:17">
      <c r="A18" s="330">
        <v>10</v>
      </c>
      <c r="B18" s="331" t="s">
        <v>535</v>
      </c>
      <c r="C18" s="332" t="s">
        <v>525</v>
      </c>
      <c r="D18" s="333">
        <v>10</v>
      </c>
      <c r="E18" s="334"/>
      <c r="F18" s="335">
        <v>213815</v>
      </c>
      <c r="G18" s="335">
        <v>95130</v>
      </c>
      <c r="H18" s="335">
        <f t="shared" si="0"/>
        <v>23306.85</v>
      </c>
      <c r="I18" s="335">
        <f t="shared" si="1"/>
        <v>14269.5</v>
      </c>
      <c r="J18" s="335">
        <f t="shared" si="2"/>
        <v>9037.35</v>
      </c>
      <c r="K18" s="336"/>
      <c r="L18" s="335">
        <f t="shared" si="3"/>
        <v>3234.42</v>
      </c>
      <c r="M18" s="335">
        <f t="shared" si="4"/>
        <v>213815</v>
      </c>
      <c r="N18" s="337">
        <f t="shared" si="5"/>
        <v>21381.5</v>
      </c>
      <c r="O18" s="337">
        <f t="shared" si="6"/>
        <v>181778.94</v>
      </c>
    </row>
    <row r="19" spans="1:17">
      <c r="A19" s="330">
        <v>11</v>
      </c>
      <c r="B19" s="331" t="s">
        <v>536</v>
      </c>
      <c r="C19" s="332" t="s">
        <v>525</v>
      </c>
      <c r="D19" s="333">
        <v>9</v>
      </c>
      <c r="E19" s="334"/>
      <c r="F19" s="335">
        <v>213815</v>
      </c>
      <c r="G19" s="351">
        <v>95130</v>
      </c>
      <c r="H19" s="335">
        <f t="shared" si="0"/>
        <v>23306.85</v>
      </c>
      <c r="I19" s="335">
        <f t="shared" si="1"/>
        <v>14269.5</v>
      </c>
      <c r="J19" s="335">
        <f t="shared" si="2"/>
        <v>9037.35</v>
      </c>
      <c r="K19" s="336"/>
      <c r="L19" s="335">
        <f t="shared" si="3"/>
        <v>3234.42</v>
      </c>
      <c r="M19" s="335">
        <f t="shared" si="4"/>
        <v>213815</v>
      </c>
      <c r="N19" s="337">
        <f t="shared" si="5"/>
        <v>21381.5</v>
      </c>
      <c r="O19" s="337">
        <f t="shared" si="6"/>
        <v>181778.94</v>
      </c>
    </row>
    <row r="20" spans="1:17">
      <c r="A20" s="330">
        <v>12</v>
      </c>
      <c r="B20" s="348" t="s">
        <v>537</v>
      </c>
      <c r="C20" s="332" t="s">
        <v>538</v>
      </c>
      <c r="D20" s="333">
        <v>8</v>
      </c>
      <c r="E20" s="334"/>
      <c r="F20" s="335">
        <v>213815</v>
      </c>
      <c r="G20" s="335">
        <v>95130</v>
      </c>
      <c r="H20" s="335">
        <f t="shared" si="0"/>
        <v>23306.85</v>
      </c>
      <c r="I20" s="335">
        <f t="shared" si="1"/>
        <v>14269.5</v>
      </c>
      <c r="J20" s="335">
        <f t="shared" si="2"/>
        <v>9037.35</v>
      </c>
      <c r="K20" s="336"/>
      <c r="L20" s="335">
        <f t="shared" si="3"/>
        <v>3234.42</v>
      </c>
      <c r="M20" s="335">
        <f t="shared" si="4"/>
        <v>213815</v>
      </c>
      <c r="N20" s="337">
        <f t="shared" si="5"/>
        <v>21381.5</v>
      </c>
      <c r="O20" s="337">
        <f t="shared" si="6"/>
        <v>181778.94</v>
      </c>
    </row>
    <row r="21" spans="1:17">
      <c r="A21" s="354"/>
      <c r="B21" s="331"/>
      <c r="C21" s="355"/>
      <c r="D21" s="333"/>
      <c r="E21" s="334"/>
      <c r="F21" s="335"/>
      <c r="G21" s="351"/>
      <c r="H21" s="335">
        <f t="shared" si="0"/>
        <v>0</v>
      </c>
      <c r="I21" s="335">
        <f t="shared" si="1"/>
        <v>0</v>
      </c>
      <c r="J21" s="335">
        <f t="shared" si="2"/>
        <v>0</v>
      </c>
      <c r="K21" s="336">
        <v>0</v>
      </c>
      <c r="L21" s="335">
        <f t="shared" si="3"/>
        <v>0</v>
      </c>
      <c r="M21" s="335"/>
      <c r="N21" s="337">
        <f>M21*0.1</f>
        <v>0</v>
      </c>
      <c r="O21" s="337">
        <f t="shared" si="6"/>
        <v>0</v>
      </c>
    </row>
    <row r="22" spans="1:17">
      <c r="A22" s="354"/>
      <c r="B22" s="356" t="s">
        <v>171</v>
      </c>
      <c r="C22" s="357"/>
      <c r="D22" s="358">
        <f>SUM(D9:D21)</f>
        <v>115</v>
      </c>
      <c r="E22" s="359"/>
      <c r="F22" s="360">
        <f>SUM(F9:F21)</f>
        <v>2562597</v>
      </c>
      <c r="G22" s="360">
        <f t="shared" ref="G22:N22" si="7">SUM(G9:G21)</f>
        <v>1115975</v>
      </c>
      <c r="H22" s="360">
        <f t="shared" si="7"/>
        <v>273413.875</v>
      </c>
      <c r="I22" s="360">
        <f t="shared" si="7"/>
        <v>167396.25</v>
      </c>
      <c r="J22" s="360">
        <f t="shared" si="7"/>
        <v>106017.62500000003</v>
      </c>
      <c r="K22" s="360">
        <f t="shared" si="7"/>
        <v>0</v>
      </c>
      <c r="L22" s="360">
        <f t="shared" si="7"/>
        <v>37943.149999999994</v>
      </c>
      <c r="M22" s="360">
        <f t="shared" si="7"/>
        <v>2562597</v>
      </c>
      <c r="N22" s="360">
        <f t="shared" si="7"/>
        <v>256259.7</v>
      </c>
      <c r="O22" s="360">
        <f>SUM(O9:O21)</f>
        <v>2181348.1</v>
      </c>
    </row>
    <row r="23" spans="1:17">
      <c r="A23" s="361"/>
      <c r="B23" s="331" t="s">
        <v>539</v>
      </c>
      <c r="C23" s="355" t="s">
        <v>523</v>
      </c>
      <c r="D23" s="358">
        <f>D22/12</f>
        <v>9.5833333333333339</v>
      </c>
      <c r="E23" s="334"/>
      <c r="F23" s="336"/>
      <c r="G23" s="336"/>
      <c r="H23" s="335"/>
      <c r="I23" s="336"/>
      <c r="J23" s="336"/>
      <c r="K23" s="336"/>
      <c r="L23" s="335">
        <f t="shared" si="3"/>
        <v>0</v>
      </c>
      <c r="M23" s="362"/>
      <c r="N23" s="353"/>
      <c r="O23" s="337"/>
      <c r="Q23" s="338"/>
    </row>
    <row r="24" spans="1:17">
      <c r="A24" s="363"/>
      <c r="B24" s="364"/>
      <c r="C24" s="365"/>
      <c r="D24" s="365"/>
      <c r="E24" s="365"/>
      <c r="F24" s="366"/>
      <c r="G24" s="367"/>
      <c r="H24" s="367"/>
      <c r="I24" s="368"/>
      <c r="J24" s="776"/>
      <c r="K24" s="776"/>
      <c r="L24" s="367"/>
      <c r="M24" s="367"/>
      <c r="N24" s="367"/>
      <c r="O24" s="505">
        <v>2181350</v>
      </c>
      <c r="P24" s="324" t="s">
        <v>540</v>
      </c>
    </row>
    <row r="25" spans="1:17">
      <c r="B25" s="370"/>
      <c r="C25" s="371"/>
      <c r="D25" s="371"/>
      <c r="E25" s="371"/>
      <c r="F25" s="363"/>
      <c r="G25" s="372"/>
      <c r="H25" s="367"/>
      <c r="I25" s="368"/>
      <c r="J25" s="367"/>
      <c r="K25" s="367"/>
      <c r="L25" s="367"/>
      <c r="M25" s="367"/>
      <c r="N25" s="372"/>
      <c r="O25" s="338">
        <f>O22-O24</f>
        <v>-1.8999999999068677</v>
      </c>
      <c r="P25" s="324" t="s">
        <v>541</v>
      </c>
    </row>
    <row r="26" spans="1:17">
      <c r="B26" s="370"/>
      <c r="C26" s="371"/>
      <c r="D26" s="371"/>
      <c r="E26" s="371"/>
      <c r="F26" s="363"/>
      <c r="G26" s="367"/>
      <c r="H26" s="367"/>
      <c r="I26" s="367"/>
      <c r="J26" s="367"/>
      <c r="K26" s="367"/>
      <c r="L26" s="367"/>
      <c r="M26" s="367"/>
      <c r="N26" s="367"/>
      <c r="O26" s="338"/>
    </row>
    <row r="27" spans="1:17">
      <c r="B27" s="370"/>
      <c r="C27" s="371"/>
      <c r="D27" s="371"/>
      <c r="E27" s="371"/>
      <c r="F27" s="363"/>
      <c r="G27" s="367"/>
      <c r="H27" s="367"/>
      <c r="I27" s="368"/>
      <c r="J27" s="367"/>
      <c r="K27" s="367"/>
      <c r="L27" s="367"/>
      <c r="M27" s="367"/>
      <c r="N27" s="372"/>
    </row>
    <row r="28" spans="1:17">
      <c r="A28" s="322"/>
      <c r="B28" s="800"/>
      <c r="C28" s="800"/>
      <c r="D28" s="800"/>
      <c r="E28" s="800"/>
      <c r="F28" s="800"/>
      <c r="G28" s="800"/>
      <c r="H28" s="800"/>
      <c r="I28" s="800"/>
      <c r="J28" s="800"/>
      <c r="K28" s="800"/>
      <c r="L28" s="800"/>
      <c r="M28" s="800"/>
      <c r="N28" s="800"/>
    </row>
    <row r="29" spans="1:17">
      <c r="A29" s="325"/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</row>
    <row r="30" spans="1:17">
      <c r="A30" s="325"/>
      <c r="B30" s="327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</row>
    <row r="31" spans="1:17">
      <c r="A31" s="374"/>
      <c r="B31" s="374"/>
      <c r="C31" s="374"/>
      <c r="D31" s="374"/>
      <c r="E31" s="374"/>
      <c r="F31" s="374"/>
      <c r="G31" s="374"/>
      <c r="H31" s="374"/>
      <c r="I31" s="374"/>
      <c r="J31" s="374"/>
      <c r="K31" s="374"/>
      <c r="L31" s="374"/>
      <c r="M31" s="375"/>
      <c r="N31" s="375"/>
      <c r="O31" s="376"/>
    </row>
    <row r="32" spans="1:17">
      <c r="A32" s="374"/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5"/>
      <c r="N32" s="375"/>
      <c r="O32" s="376"/>
    </row>
    <row r="33" spans="1:15">
      <c r="A33" s="374"/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5"/>
      <c r="N33" s="375"/>
      <c r="O33" s="376"/>
    </row>
    <row r="34" spans="1:15">
      <c r="A34" s="377"/>
      <c r="B34" s="378"/>
      <c r="C34" s="379"/>
      <c r="D34" s="380"/>
      <c r="E34" s="381"/>
      <c r="F34" s="345"/>
      <c r="G34" s="345"/>
      <c r="H34" s="345"/>
      <c r="I34" s="345"/>
      <c r="J34" s="345"/>
      <c r="K34" s="345"/>
      <c r="L34" s="345"/>
      <c r="M34" s="382"/>
      <c r="N34" s="346"/>
      <c r="O34" s="347"/>
    </row>
    <row r="35" spans="1:15">
      <c r="A35" s="377"/>
      <c r="B35" s="378"/>
      <c r="C35" s="379"/>
      <c r="D35" s="380"/>
      <c r="E35" s="381"/>
      <c r="F35" s="345"/>
      <c r="G35" s="345"/>
      <c r="H35" s="345"/>
      <c r="I35" s="345"/>
      <c r="J35" s="345"/>
      <c r="K35" s="345"/>
      <c r="L35" s="345"/>
      <c r="M35" s="382"/>
      <c r="N35" s="346"/>
      <c r="O35" s="347"/>
    </row>
    <row r="36" spans="1:15">
      <c r="A36" s="377"/>
      <c r="B36" s="378"/>
      <c r="C36" s="379"/>
      <c r="D36" s="380"/>
      <c r="E36" s="381"/>
      <c r="F36" s="345"/>
      <c r="G36" s="345"/>
      <c r="H36" s="345"/>
      <c r="I36" s="345"/>
      <c r="J36" s="345"/>
      <c r="K36" s="345"/>
      <c r="L36" s="345"/>
      <c r="M36" s="382"/>
      <c r="N36" s="346"/>
      <c r="O36" s="347"/>
    </row>
    <row r="37" spans="1:15">
      <c r="A37" s="377"/>
      <c r="B37" s="378"/>
      <c r="C37" s="379"/>
      <c r="D37" s="380"/>
      <c r="E37" s="381"/>
      <c r="F37" s="345"/>
      <c r="G37" s="345"/>
      <c r="H37" s="345"/>
      <c r="I37" s="345"/>
      <c r="J37" s="345"/>
      <c r="K37" s="345"/>
      <c r="L37" s="345"/>
      <c r="M37" s="382"/>
      <c r="N37" s="346"/>
      <c r="O37" s="347"/>
    </row>
    <row r="38" spans="1:15">
      <c r="A38" s="377"/>
      <c r="B38" s="378"/>
      <c r="C38" s="379"/>
      <c r="D38" s="380"/>
      <c r="E38" s="381"/>
      <c r="F38" s="345"/>
      <c r="G38" s="345"/>
      <c r="H38" s="345"/>
      <c r="I38" s="345"/>
      <c r="J38" s="345"/>
      <c r="K38" s="345"/>
      <c r="L38" s="345"/>
      <c r="M38" s="382"/>
      <c r="N38" s="346"/>
      <c r="O38" s="347"/>
    </row>
    <row r="39" spans="1:15">
      <c r="A39" s="377"/>
      <c r="B39" s="378"/>
      <c r="C39" s="379"/>
      <c r="D39" s="380"/>
      <c r="E39" s="381"/>
      <c r="F39" s="345"/>
      <c r="G39" s="345"/>
      <c r="H39" s="345"/>
      <c r="I39" s="345"/>
      <c r="J39" s="345"/>
      <c r="K39" s="345"/>
      <c r="L39" s="345"/>
      <c r="M39" s="382"/>
      <c r="N39" s="346"/>
      <c r="O39" s="347"/>
    </row>
    <row r="40" spans="1:15">
      <c r="A40" s="377"/>
      <c r="B40" s="378"/>
      <c r="C40" s="379"/>
      <c r="D40" s="380"/>
      <c r="E40" s="381"/>
      <c r="F40" s="345"/>
      <c r="G40" s="345"/>
      <c r="H40" s="345"/>
      <c r="I40" s="345"/>
      <c r="J40" s="345"/>
      <c r="K40" s="345"/>
      <c r="L40" s="345"/>
      <c r="M40" s="382"/>
      <c r="N40" s="346"/>
      <c r="O40" s="347"/>
    </row>
    <row r="41" spans="1:15">
      <c r="A41" s="377"/>
      <c r="B41" s="378"/>
      <c r="C41" s="379"/>
      <c r="D41" s="380"/>
      <c r="E41" s="381"/>
      <c r="F41" s="345"/>
      <c r="G41" s="345"/>
      <c r="H41" s="345"/>
      <c r="I41" s="345"/>
      <c r="J41" s="345"/>
      <c r="K41" s="345"/>
      <c r="L41" s="345"/>
      <c r="M41" s="382"/>
      <c r="N41" s="346"/>
      <c r="O41" s="347"/>
    </row>
    <row r="42" spans="1:15">
      <c r="A42" s="377"/>
      <c r="B42" s="378"/>
      <c r="C42" s="379"/>
      <c r="D42" s="380"/>
      <c r="E42" s="381"/>
      <c r="F42" s="345"/>
      <c r="G42" s="345"/>
      <c r="H42" s="345"/>
      <c r="I42" s="345"/>
      <c r="J42" s="345"/>
      <c r="K42" s="345"/>
      <c r="L42" s="345"/>
      <c r="M42" s="382"/>
      <c r="N42" s="346"/>
      <c r="O42" s="347"/>
    </row>
    <row r="43" spans="1:15">
      <c r="A43" s="377"/>
      <c r="B43" s="378"/>
      <c r="C43" s="379"/>
      <c r="D43" s="380"/>
      <c r="E43" s="381"/>
      <c r="F43" s="345"/>
      <c r="G43" s="345"/>
      <c r="H43" s="345"/>
      <c r="I43" s="345"/>
      <c r="J43" s="345"/>
      <c r="K43" s="345"/>
      <c r="L43" s="345"/>
      <c r="M43" s="382"/>
      <c r="N43" s="346"/>
      <c r="O43" s="347"/>
    </row>
    <row r="44" spans="1:15">
      <c r="A44" s="377"/>
      <c r="B44" s="378"/>
      <c r="C44" s="379"/>
      <c r="D44" s="380"/>
      <c r="E44" s="381"/>
      <c r="F44" s="345"/>
      <c r="G44" s="345"/>
      <c r="H44" s="345"/>
      <c r="I44" s="345"/>
      <c r="J44" s="345"/>
      <c r="K44" s="345"/>
      <c r="L44" s="345"/>
      <c r="M44" s="382"/>
      <c r="N44" s="346"/>
      <c r="O44" s="347"/>
    </row>
    <row r="45" spans="1:15">
      <c r="A45" s="377"/>
      <c r="B45" s="378"/>
      <c r="C45" s="379"/>
      <c r="D45" s="380"/>
      <c r="E45" s="381"/>
      <c r="F45" s="345"/>
      <c r="G45" s="345"/>
      <c r="H45" s="345"/>
      <c r="I45" s="345"/>
      <c r="J45" s="345"/>
      <c r="K45" s="345"/>
      <c r="L45" s="345"/>
      <c r="M45" s="382"/>
      <c r="N45" s="346"/>
      <c r="O45" s="347"/>
    </row>
    <row r="46" spans="1:15">
      <c r="A46" s="377"/>
      <c r="B46" s="383"/>
      <c r="C46" s="383"/>
      <c r="D46" s="383"/>
      <c r="E46" s="383"/>
      <c r="F46" s="345"/>
      <c r="G46" s="345"/>
      <c r="H46" s="345"/>
      <c r="I46" s="345"/>
      <c r="J46" s="345"/>
      <c r="K46" s="345"/>
      <c r="L46" s="345"/>
      <c r="M46" s="382"/>
      <c r="N46" s="346"/>
      <c r="O46" s="347"/>
    </row>
    <row r="47" spans="1:15">
      <c r="A47" s="363"/>
      <c r="B47" s="383"/>
      <c r="C47" s="383"/>
      <c r="D47" s="383"/>
      <c r="E47" s="383"/>
      <c r="F47" s="363"/>
      <c r="G47" s="363"/>
      <c r="H47" s="363"/>
      <c r="I47" s="363"/>
      <c r="J47" s="363"/>
      <c r="K47" s="363"/>
      <c r="L47" s="363"/>
      <c r="M47" s="363"/>
      <c r="N47" s="363"/>
      <c r="O47" s="346"/>
    </row>
    <row r="48" spans="1:15">
      <c r="A48" s="363"/>
      <c r="B48" s="383"/>
      <c r="C48" s="383"/>
      <c r="D48" s="383"/>
      <c r="E48" s="383"/>
      <c r="F48" s="363"/>
      <c r="G48" s="363"/>
      <c r="H48" s="363"/>
      <c r="I48" s="363"/>
      <c r="J48" s="363"/>
      <c r="K48" s="363"/>
      <c r="L48" s="363"/>
      <c r="M48" s="363"/>
      <c r="N48" s="363"/>
      <c r="O48" s="363"/>
    </row>
    <row r="49" spans="1:15">
      <c r="A49" s="363"/>
      <c r="B49" s="383"/>
      <c r="C49" s="383"/>
      <c r="D49" s="383"/>
      <c r="E49" s="383"/>
      <c r="F49" s="363"/>
      <c r="G49" s="367"/>
      <c r="H49" s="367"/>
      <c r="I49" s="367"/>
      <c r="J49" s="384"/>
      <c r="K49" s="384"/>
      <c r="L49" s="367"/>
      <c r="M49" s="367"/>
      <c r="N49" s="367"/>
      <c r="O49" s="346"/>
    </row>
    <row r="50" spans="1:15">
      <c r="A50" s="363"/>
      <c r="B50" s="385"/>
      <c r="C50" s="385"/>
      <c r="D50" s="385"/>
      <c r="E50" s="385"/>
      <c r="F50" s="363"/>
      <c r="G50" s="384"/>
      <c r="H50" s="384"/>
      <c r="I50" s="384"/>
      <c r="J50" s="384"/>
      <c r="K50" s="384"/>
      <c r="L50" s="384"/>
      <c r="M50" s="384"/>
      <c r="N50" s="384"/>
      <c r="O50" s="346"/>
    </row>
    <row r="51" spans="1:15">
      <c r="B51" s="386"/>
      <c r="C51" s="386"/>
      <c r="D51" s="386"/>
      <c r="E51" s="386"/>
      <c r="F51" s="363"/>
      <c r="G51" s="384"/>
      <c r="H51" s="384"/>
      <c r="I51" s="384"/>
      <c r="J51" s="384"/>
      <c r="K51" s="384"/>
      <c r="L51" s="384"/>
      <c r="M51" s="384"/>
      <c r="N51" s="384"/>
      <c r="O51" s="346"/>
    </row>
    <row r="52" spans="1:15">
      <c r="B52" s="387"/>
      <c r="C52" s="387"/>
      <c r="D52" s="387"/>
      <c r="E52" s="387"/>
      <c r="F52" s="388"/>
      <c r="G52" s="384"/>
      <c r="H52" s="384"/>
      <c r="I52" s="384"/>
      <c r="J52" s="384"/>
      <c r="K52" s="384"/>
      <c r="L52" s="384"/>
      <c r="M52" s="384"/>
      <c r="N52" s="384"/>
      <c r="O52" s="346"/>
    </row>
    <row r="53" spans="1:15">
      <c r="B53" s="387"/>
      <c r="C53" s="387"/>
      <c r="D53" s="387"/>
      <c r="E53" s="387"/>
      <c r="F53" s="388"/>
      <c r="G53" s="384"/>
      <c r="H53" s="384"/>
      <c r="I53" s="384"/>
      <c r="J53" s="384"/>
      <c r="K53" s="384"/>
      <c r="L53" s="384"/>
      <c r="M53" s="384"/>
      <c r="N53" s="384"/>
      <c r="O53" s="346"/>
    </row>
    <row r="54" spans="1:15">
      <c r="B54" s="386"/>
      <c r="C54" s="386"/>
      <c r="D54" s="386"/>
      <c r="E54" s="386"/>
      <c r="F54" s="363"/>
      <c r="G54" s="384"/>
      <c r="H54" s="384"/>
      <c r="I54" s="384"/>
      <c r="J54" s="384"/>
      <c r="K54" s="384"/>
      <c r="L54" s="384"/>
      <c r="M54" s="384"/>
      <c r="N54" s="384"/>
      <c r="O54" s="346"/>
    </row>
    <row r="55" spans="1:15">
      <c r="B55" s="371"/>
      <c r="C55" s="371"/>
      <c r="D55" s="371"/>
      <c r="E55" s="371"/>
      <c r="F55" s="363"/>
      <c r="G55" s="367"/>
      <c r="H55" s="367"/>
      <c r="I55" s="367"/>
      <c r="J55" s="367"/>
      <c r="K55" s="367"/>
      <c r="L55" s="367"/>
      <c r="M55" s="367"/>
      <c r="N55" s="367"/>
    </row>
    <row r="56" spans="1:15">
      <c r="B56" s="370"/>
      <c r="C56" s="371"/>
      <c r="D56" s="371"/>
      <c r="E56" s="371"/>
      <c r="F56" s="363"/>
      <c r="G56" s="367"/>
      <c r="H56" s="367"/>
      <c r="I56" s="367"/>
      <c r="J56" s="367"/>
      <c r="K56" s="367"/>
      <c r="L56" s="367"/>
      <c r="M56" s="367"/>
      <c r="N56" s="367"/>
    </row>
    <row r="57" spans="1:15">
      <c r="B57" s="370"/>
      <c r="C57" s="371"/>
      <c r="D57" s="371"/>
      <c r="E57" s="371"/>
      <c r="F57" s="363"/>
      <c r="G57" s="367"/>
      <c r="H57" s="367"/>
      <c r="I57" s="367"/>
      <c r="J57" s="367"/>
      <c r="K57" s="367"/>
      <c r="L57" s="367"/>
      <c r="M57" s="367"/>
      <c r="N57" s="367"/>
    </row>
    <row r="58" spans="1:15">
      <c r="B58" s="371"/>
      <c r="C58" s="371"/>
      <c r="D58" s="371"/>
      <c r="E58" s="371"/>
      <c r="F58" s="363"/>
      <c r="G58" s="367"/>
      <c r="H58" s="367"/>
      <c r="I58" s="367"/>
      <c r="J58" s="367"/>
      <c r="K58" s="367"/>
      <c r="L58" s="367"/>
      <c r="M58" s="367"/>
      <c r="N58" s="367"/>
    </row>
    <row r="59" spans="1:15">
      <c r="B59" s="371"/>
      <c r="C59" s="371"/>
      <c r="D59" s="371"/>
      <c r="E59" s="371"/>
      <c r="F59" s="363"/>
      <c r="G59" s="367"/>
      <c r="H59" s="367"/>
      <c r="I59" s="367"/>
      <c r="J59" s="367"/>
      <c r="K59" s="367"/>
      <c r="L59" s="367"/>
      <c r="M59" s="367"/>
      <c r="N59" s="367"/>
    </row>
    <row r="60" spans="1:15">
      <c r="B60" s="371"/>
      <c r="C60" s="371"/>
      <c r="D60" s="371"/>
      <c r="E60" s="371"/>
      <c r="F60" s="363"/>
      <c r="G60" s="367"/>
      <c r="H60" s="367"/>
      <c r="I60" s="367"/>
      <c r="J60" s="367"/>
      <c r="K60" s="367"/>
      <c r="L60" s="367"/>
      <c r="M60" s="367"/>
      <c r="N60" s="367"/>
    </row>
    <row r="61" spans="1:15">
      <c r="A61" s="322"/>
      <c r="B61" s="326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</row>
    <row r="62" spans="1:15">
      <c r="A62" s="325"/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</row>
    <row r="63" spans="1:15">
      <c r="A63" s="325"/>
      <c r="B63" s="327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</row>
    <row r="64" spans="1:15">
      <c r="A64" s="374"/>
      <c r="B64" s="389"/>
      <c r="C64" s="375"/>
      <c r="D64" s="375"/>
      <c r="E64" s="375"/>
      <c r="F64" s="374"/>
      <c r="G64" s="374"/>
      <c r="H64" s="389"/>
      <c r="I64" s="389"/>
      <c r="J64" s="389"/>
      <c r="K64" s="389"/>
      <c r="L64" s="375"/>
      <c r="M64" s="375"/>
      <c r="N64" s="375"/>
      <c r="O64" s="376"/>
    </row>
    <row r="65" spans="1:15">
      <c r="A65" s="374"/>
      <c r="B65" s="389"/>
      <c r="C65" s="375"/>
      <c r="D65" s="375"/>
      <c r="E65" s="375"/>
      <c r="F65" s="375"/>
      <c r="G65" s="375"/>
      <c r="H65" s="375"/>
      <c r="I65" s="389"/>
      <c r="J65" s="389"/>
      <c r="K65" s="375"/>
      <c r="L65" s="375"/>
      <c r="M65" s="375"/>
      <c r="N65" s="375"/>
      <c r="O65" s="376"/>
    </row>
    <row r="66" spans="1:15">
      <c r="A66" s="374"/>
      <c r="B66" s="389"/>
      <c r="C66" s="375"/>
      <c r="D66" s="375"/>
      <c r="E66" s="375"/>
      <c r="F66" s="375"/>
      <c r="G66" s="375"/>
      <c r="H66" s="375"/>
      <c r="I66" s="390"/>
      <c r="J66" s="390"/>
      <c r="K66" s="375"/>
      <c r="L66" s="375"/>
      <c r="M66" s="375"/>
      <c r="N66" s="375"/>
      <c r="O66" s="376"/>
    </row>
    <row r="67" spans="1:15">
      <c r="A67" s="363"/>
      <c r="B67" s="378"/>
      <c r="C67" s="379"/>
      <c r="D67" s="380"/>
      <c r="E67" s="381"/>
      <c r="F67" s="345"/>
      <c r="G67" s="345"/>
      <c r="H67" s="345"/>
      <c r="I67" s="345"/>
      <c r="J67" s="345"/>
      <c r="K67" s="345"/>
      <c r="L67" s="345"/>
      <c r="M67" s="382"/>
      <c r="N67" s="346"/>
      <c r="O67" s="347"/>
    </row>
    <row r="68" spans="1:15">
      <c r="A68" s="363"/>
      <c r="B68" s="378"/>
      <c r="C68" s="379"/>
      <c r="D68" s="380"/>
      <c r="E68" s="381"/>
      <c r="F68" s="345"/>
      <c r="G68" s="345"/>
      <c r="H68" s="345"/>
      <c r="I68" s="345"/>
      <c r="J68" s="345"/>
      <c r="K68" s="345"/>
      <c r="L68" s="345"/>
      <c r="M68" s="382"/>
      <c r="N68" s="346"/>
      <c r="O68" s="347"/>
    </row>
    <row r="69" spans="1:15">
      <c r="A69" s="363"/>
      <c r="B69" s="383"/>
      <c r="C69" s="391"/>
      <c r="D69" s="346"/>
      <c r="E69" s="392"/>
      <c r="F69" s="393"/>
      <c r="G69" s="393"/>
      <c r="H69" s="393"/>
      <c r="I69" s="393"/>
      <c r="J69" s="393"/>
      <c r="K69" s="393"/>
      <c r="L69" s="393"/>
      <c r="M69" s="394"/>
      <c r="N69" s="346"/>
      <c r="O69" s="347"/>
    </row>
    <row r="70" spans="1:15">
      <c r="A70" s="363"/>
      <c r="B70" s="383"/>
      <c r="C70" s="391"/>
      <c r="D70" s="346"/>
      <c r="E70" s="392"/>
      <c r="F70" s="393"/>
      <c r="G70" s="393"/>
      <c r="H70" s="393"/>
      <c r="I70" s="393"/>
      <c r="J70" s="393"/>
      <c r="K70" s="393"/>
      <c r="L70" s="393"/>
      <c r="M70" s="394"/>
      <c r="N70" s="346"/>
      <c r="O70" s="347"/>
    </row>
    <row r="71" spans="1:15">
      <c r="A71" s="363"/>
      <c r="B71" s="383"/>
      <c r="C71" s="391"/>
      <c r="D71" s="346"/>
      <c r="E71" s="392"/>
      <c r="F71" s="393"/>
      <c r="G71" s="393"/>
      <c r="H71" s="393"/>
      <c r="I71" s="393"/>
      <c r="J71" s="393"/>
      <c r="K71" s="393"/>
      <c r="L71" s="393"/>
      <c r="M71" s="394"/>
      <c r="N71" s="346"/>
      <c r="O71" s="347"/>
    </row>
    <row r="72" spans="1:15">
      <c r="A72" s="363"/>
      <c r="B72" s="383"/>
      <c r="C72" s="391"/>
      <c r="D72" s="346"/>
      <c r="E72" s="392"/>
      <c r="F72" s="393"/>
      <c r="G72" s="393"/>
      <c r="H72" s="393"/>
      <c r="I72" s="393"/>
      <c r="J72" s="393"/>
      <c r="K72" s="393"/>
      <c r="L72" s="393"/>
      <c r="M72" s="394"/>
      <c r="N72" s="346"/>
      <c r="O72" s="347"/>
    </row>
    <row r="73" spans="1:15">
      <c r="A73" s="363"/>
      <c r="B73" s="383"/>
      <c r="C73" s="391"/>
      <c r="D73" s="346"/>
      <c r="E73" s="392"/>
      <c r="F73" s="393"/>
      <c r="G73" s="393"/>
      <c r="H73" s="393"/>
      <c r="I73" s="393"/>
      <c r="J73" s="393"/>
      <c r="K73" s="393"/>
      <c r="L73" s="393"/>
      <c r="M73" s="394"/>
      <c r="N73" s="346"/>
      <c r="O73" s="347"/>
    </row>
    <row r="74" spans="1:15">
      <c r="A74" s="363"/>
      <c r="B74" s="383"/>
      <c r="C74" s="379"/>
      <c r="D74" s="380"/>
      <c r="E74" s="392"/>
      <c r="F74" s="393"/>
      <c r="G74" s="393"/>
      <c r="H74" s="393"/>
      <c r="I74" s="393"/>
      <c r="J74" s="393"/>
      <c r="K74" s="393"/>
      <c r="L74" s="393"/>
      <c r="M74" s="394"/>
      <c r="N74" s="346"/>
      <c r="O74" s="347"/>
    </row>
    <row r="75" spans="1:15">
      <c r="A75" s="363"/>
      <c r="B75" s="383"/>
      <c r="C75" s="391"/>
      <c r="D75" s="346"/>
      <c r="E75" s="392"/>
      <c r="F75" s="393"/>
      <c r="G75" s="393"/>
      <c r="H75" s="393"/>
      <c r="I75" s="393"/>
      <c r="J75" s="393"/>
      <c r="K75" s="393"/>
      <c r="L75" s="393"/>
      <c r="M75" s="394"/>
      <c r="N75" s="346"/>
      <c r="O75" s="347"/>
    </row>
    <row r="76" spans="1:15">
      <c r="A76" s="363"/>
      <c r="B76" s="383"/>
      <c r="C76" s="391"/>
      <c r="D76" s="346"/>
      <c r="E76" s="392"/>
      <c r="F76" s="393"/>
      <c r="G76" s="393"/>
      <c r="H76" s="393"/>
      <c r="I76" s="393"/>
      <c r="J76" s="393"/>
      <c r="K76" s="393"/>
      <c r="L76" s="393"/>
      <c r="M76" s="394"/>
      <c r="N76" s="346"/>
      <c r="O76" s="347"/>
    </row>
    <row r="77" spans="1:15">
      <c r="A77" s="363"/>
      <c r="B77" s="383"/>
      <c r="C77" s="391"/>
      <c r="D77" s="346"/>
      <c r="E77" s="392"/>
      <c r="F77" s="393"/>
      <c r="G77" s="393"/>
      <c r="H77" s="393"/>
      <c r="I77" s="393"/>
      <c r="J77" s="393"/>
      <c r="K77" s="393"/>
      <c r="L77" s="393"/>
      <c r="M77" s="394"/>
      <c r="N77" s="346"/>
      <c r="O77" s="347"/>
    </row>
    <row r="78" spans="1:15">
      <c r="A78" s="363"/>
      <c r="B78" s="378"/>
      <c r="C78" s="391"/>
      <c r="D78" s="346"/>
      <c r="E78" s="392"/>
      <c r="F78" s="393"/>
      <c r="G78" s="393"/>
      <c r="H78" s="393"/>
      <c r="I78" s="393"/>
      <c r="J78" s="393"/>
      <c r="K78" s="393"/>
      <c r="L78" s="393"/>
      <c r="M78" s="394"/>
      <c r="N78" s="346"/>
      <c r="O78" s="347"/>
    </row>
    <row r="79" spans="1:15">
      <c r="A79" s="363"/>
      <c r="B79" s="378"/>
      <c r="C79" s="379"/>
      <c r="D79" s="380"/>
      <c r="E79" s="392"/>
      <c r="F79" s="393"/>
      <c r="G79" s="393"/>
      <c r="H79" s="393"/>
      <c r="I79" s="393"/>
      <c r="J79" s="393"/>
      <c r="K79" s="393"/>
      <c r="L79" s="393"/>
      <c r="M79" s="394"/>
      <c r="N79" s="346"/>
      <c r="O79" s="347"/>
    </row>
    <row r="80" spans="1:15">
      <c r="A80" s="363"/>
      <c r="B80" s="395"/>
      <c r="C80" s="395"/>
      <c r="D80" s="395"/>
      <c r="E80" s="395"/>
      <c r="F80" s="396"/>
      <c r="G80" s="396"/>
      <c r="H80" s="396"/>
      <c r="I80" s="396"/>
      <c r="J80" s="396"/>
      <c r="K80" s="396"/>
      <c r="L80" s="396"/>
      <c r="M80" s="396"/>
      <c r="N80" s="396"/>
      <c r="O80" s="347"/>
    </row>
    <row r="81" spans="1:15">
      <c r="A81" s="363"/>
      <c r="B81" s="395"/>
      <c r="C81" s="395"/>
      <c r="D81" s="395"/>
      <c r="E81" s="395"/>
      <c r="F81" s="363"/>
      <c r="G81" s="363"/>
      <c r="H81" s="363"/>
      <c r="I81" s="363"/>
      <c r="J81" s="363"/>
      <c r="K81" s="363"/>
      <c r="L81" s="363"/>
      <c r="M81" s="363"/>
      <c r="N81" s="363"/>
      <c r="O81" s="346"/>
    </row>
    <row r="82" spans="1:15">
      <c r="A82" s="363"/>
      <c r="B82" s="395"/>
      <c r="C82" s="395"/>
      <c r="D82" s="395"/>
      <c r="E82" s="395"/>
      <c r="F82" s="363"/>
      <c r="G82" s="363"/>
      <c r="H82" s="363"/>
      <c r="I82" s="363"/>
      <c r="J82" s="363"/>
      <c r="K82" s="363"/>
      <c r="L82" s="363"/>
      <c r="M82" s="363"/>
      <c r="N82" s="363"/>
      <c r="O82" s="346"/>
    </row>
    <row r="83" spans="1:15">
      <c r="A83" s="363"/>
      <c r="B83" s="395"/>
      <c r="C83" s="395"/>
      <c r="D83" s="395"/>
      <c r="E83" s="395"/>
      <c r="F83" s="363"/>
      <c r="G83" s="363"/>
      <c r="H83" s="363"/>
      <c r="I83" s="363"/>
      <c r="J83" s="363"/>
      <c r="K83" s="363"/>
      <c r="L83" s="363"/>
      <c r="M83" s="363"/>
      <c r="N83" s="363"/>
      <c r="O83" s="363"/>
    </row>
    <row r="84" spans="1:15">
      <c r="A84" s="363"/>
      <c r="B84" s="364"/>
      <c r="C84" s="365"/>
      <c r="D84" s="365"/>
      <c r="E84" s="365"/>
      <c r="F84" s="363"/>
      <c r="G84" s="367"/>
      <c r="H84" s="367"/>
      <c r="I84" s="367"/>
      <c r="J84" s="384"/>
      <c r="K84" s="384"/>
      <c r="L84" s="367"/>
      <c r="M84" s="367"/>
      <c r="N84" s="367"/>
      <c r="O84" s="346"/>
    </row>
    <row r="85" spans="1:15">
      <c r="A85" s="363"/>
      <c r="B85" s="385"/>
      <c r="C85" s="385"/>
      <c r="D85" s="385"/>
      <c r="E85" s="385"/>
      <c r="F85" s="363"/>
      <c r="G85" s="384"/>
      <c r="H85" s="384"/>
      <c r="I85" s="384"/>
      <c r="J85" s="384"/>
      <c r="K85" s="384"/>
      <c r="L85" s="384"/>
      <c r="M85" s="384"/>
      <c r="N85" s="384"/>
      <c r="O85" s="346"/>
    </row>
    <row r="86" spans="1:15">
      <c r="A86" s="363"/>
      <c r="B86" s="384"/>
      <c r="C86" s="384"/>
      <c r="D86" s="384"/>
      <c r="E86" s="384"/>
      <c r="F86" s="363"/>
      <c r="G86" s="384"/>
      <c r="H86" s="384"/>
      <c r="I86" s="384"/>
      <c r="J86" s="384"/>
      <c r="K86" s="384"/>
      <c r="L86" s="384"/>
      <c r="M86" s="384"/>
      <c r="N86" s="384"/>
      <c r="O86" s="346"/>
    </row>
    <row r="87" spans="1:15">
      <c r="A87" s="363"/>
      <c r="B87" s="367"/>
      <c r="C87" s="367"/>
      <c r="D87" s="367"/>
      <c r="E87" s="367"/>
      <c r="F87" s="363"/>
      <c r="G87" s="384"/>
      <c r="H87" s="384"/>
      <c r="I87" s="384"/>
      <c r="J87" s="384"/>
      <c r="K87" s="384"/>
      <c r="L87" s="384"/>
      <c r="M87" s="384"/>
      <c r="N87" s="384"/>
      <c r="O87" s="346"/>
    </row>
    <row r="88" spans="1:15">
      <c r="A88" s="363"/>
      <c r="B88" s="384"/>
      <c r="C88" s="384"/>
      <c r="D88" s="384"/>
      <c r="E88" s="384"/>
      <c r="F88" s="363"/>
      <c r="G88" s="384"/>
      <c r="H88" s="384"/>
      <c r="I88" s="384"/>
      <c r="J88" s="384"/>
      <c r="K88" s="384"/>
      <c r="L88" s="384"/>
      <c r="M88" s="384"/>
      <c r="N88" s="384"/>
      <c r="O88" s="346"/>
    </row>
    <row r="89" spans="1:15">
      <c r="B89" s="371"/>
      <c r="C89" s="371"/>
      <c r="D89" s="371"/>
      <c r="E89" s="371"/>
      <c r="F89" s="363"/>
      <c r="G89" s="367"/>
      <c r="H89" s="367"/>
      <c r="I89" s="367"/>
      <c r="J89" s="367"/>
      <c r="K89" s="367"/>
      <c r="L89" s="367"/>
      <c r="M89" s="367"/>
      <c r="N89" s="367"/>
    </row>
    <row r="90" spans="1:15">
      <c r="B90" s="370"/>
      <c r="C90" s="370"/>
      <c r="D90" s="371"/>
      <c r="E90" s="371"/>
      <c r="F90" s="363"/>
      <c r="G90" s="367"/>
      <c r="H90" s="367"/>
      <c r="I90" s="367"/>
      <c r="J90" s="367"/>
      <c r="K90" s="367"/>
      <c r="L90" s="367"/>
      <c r="M90" s="367"/>
      <c r="N90" s="367"/>
    </row>
    <row r="91" spans="1:15">
      <c r="B91" s="371"/>
      <c r="C91" s="371"/>
      <c r="D91" s="371"/>
      <c r="E91" s="371"/>
      <c r="F91" s="363"/>
      <c r="G91" s="367"/>
      <c r="H91" s="367"/>
      <c r="I91" s="367"/>
      <c r="J91" s="367"/>
      <c r="K91" s="367"/>
      <c r="L91" s="367"/>
      <c r="M91" s="367"/>
      <c r="N91" s="367"/>
    </row>
    <row r="92" spans="1:15">
      <c r="B92" s="371"/>
      <c r="C92" s="371"/>
      <c r="D92" s="371"/>
      <c r="E92" s="371"/>
      <c r="F92" s="363"/>
      <c r="G92" s="367"/>
      <c r="H92" s="367"/>
      <c r="I92" s="367"/>
      <c r="J92" s="367"/>
      <c r="K92" s="367"/>
      <c r="L92" s="367"/>
      <c r="M92" s="367"/>
      <c r="N92" s="367"/>
    </row>
    <row r="93" spans="1:15">
      <c r="B93" s="371"/>
      <c r="C93" s="371"/>
      <c r="D93" s="371"/>
      <c r="E93" s="371"/>
      <c r="F93" s="363"/>
      <c r="G93" s="367"/>
      <c r="H93" s="367"/>
      <c r="I93" s="367"/>
      <c r="J93" s="367"/>
      <c r="K93" s="367"/>
      <c r="L93" s="367"/>
      <c r="M93" s="367"/>
      <c r="N93" s="367"/>
    </row>
    <row r="94" spans="1:15">
      <c r="B94" s="371"/>
      <c r="C94" s="371"/>
      <c r="D94" s="371"/>
      <c r="E94" s="371"/>
      <c r="F94" s="363"/>
      <c r="G94" s="367"/>
      <c r="H94" s="367"/>
      <c r="I94" s="367"/>
      <c r="J94" s="367"/>
      <c r="K94" s="367"/>
      <c r="L94" s="367"/>
      <c r="M94" s="367"/>
      <c r="N94" s="367"/>
    </row>
    <row r="95" spans="1:15">
      <c r="B95" s="371"/>
      <c r="C95" s="371"/>
      <c r="D95" s="371"/>
      <c r="E95" s="371"/>
      <c r="F95" s="363"/>
      <c r="G95" s="367"/>
      <c r="H95" s="367"/>
      <c r="I95" s="367"/>
      <c r="J95" s="367"/>
      <c r="K95" s="367"/>
      <c r="L95" s="367"/>
      <c r="M95" s="367"/>
      <c r="N95" s="367"/>
    </row>
    <row r="96" spans="1:15">
      <c r="B96" s="371"/>
      <c r="C96" s="371"/>
      <c r="D96" s="371"/>
      <c r="E96" s="371"/>
      <c r="F96" s="363"/>
      <c r="G96" s="367"/>
      <c r="H96" s="367"/>
      <c r="I96" s="367"/>
      <c r="J96" s="367"/>
      <c r="K96" s="367"/>
      <c r="L96" s="367"/>
      <c r="M96" s="367"/>
      <c r="N96" s="367"/>
    </row>
    <row r="97" spans="1:15">
      <c r="A97" s="322"/>
      <c r="B97" s="326"/>
      <c r="C97" s="326"/>
      <c r="D97" s="326"/>
      <c r="E97" s="326"/>
      <c r="F97" s="326"/>
      <c r="G97" s="326"/>
      <c r="H97" s="326"/>
      <c r="I97" s="326"/>
      <c r="J97" s="326"/>
      <c r="K97" s="326"/>
      <c r="L97" s="326"/>
      <c r="M97" s="326"/>
      <c r="N97" s="326"/>
    </row>
    <row r="98" spans="1:15">
      <c r="A98" s="325"/>
      <c r="B98" s="326"/>
      <c r="C98" s="326"/>
      <c r="D98" s="326"/>
      <c r="E98" s="326"/>
      <c r="F98" s="326"/>
      <c r="G98" s="326"/>
      <c r="H98" s="326"/>
      <c r="I98" s="326"/>
      <c r="J98" s="326"/>
      <c r="K98" s="326"/>
      <c r="L98" s="326"/>
      <c r="M98" s="326"/>
      <c r="N98" s="326"/>
    </row>
    <row r="99" spans="1:15">
      <c r="A99" s="325"/>
      <c r="B99" s="327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</row>
    <row r="100" spans="1:15">
      <c r="A100" s="374"/>
      <c r="B100" s="389"/>
      <c r="C100" s="375"/>
      <c r="D100" s="375"/>
      <c r="E100" s="375"/>
      <c r="F100" s="374"/>
      <c r="G100" s="374"/>
      <c r="H100" s="389"/>
      <c r="I100" s="389"/>
      <c r="J100" s="389"/>
      <c r="K100" s="389"/>
      <c r="L100" s="375"/>
      <c r="M100" s="375"/>
      <c r="N100" s="375"/>
      <c r="O100" s="376"/>
    </row>
    <row r="101" spans="1:15">
      <c r="A101" s="374"/>
      <c r="B101" s="389"/>
      <c r="C101" s="375"/>
      <c r="D101" s="375"/>
      <c r="E101" s="375"/>
      <c r="F101" s="375"/>
      <c r="G101" s="375"/>
      <c r="H101" s="375"/>
      <c r="I101" s="389"/>
      <c r="J101" s="389"/>
      <c r="K101" s="375"/>
      <c r="L101" s="375"/>
      <c r="M101" s="375"/>
      <c r="N101" s="375"/>
      <c r="O101" s="376"/>
    </row>
    <row r="102" spans="1:15">
      <c r="A102" s="374"/>
      <c r="B102" s="389"/>
      <c r="C102" s="375"/>
      <c r="D102" s="375"/>
      <c r="E102" s="375"/>
      <c r="F102" s="375"/>
      <c r="G102" s="375"/>
      <c r="H102" s="375"/>
      <c r="I102" s="390"/>
      <c r="J102" s="390"/>
      <c r="K102" s="375"/>
      <c r="L102" s="375"/>
      <c r="M102" s="375"/>
      <c r="N102" s="375"/>
      <c r="O102" s="376"/>
    </row>
    <row r="103" spans="1:15">
      <c r="A103" s="377"/>
      <c r="B103" s="397"/>
      <c r="C103" s="379"/>
      <c r="D103" s="380"/>
      <c r="E103" s="381"/>
      <c r="F103" s="345"/>
      <c r="G103" s="345"/>
      <c r="H103" s="345"/>
      <c r="I103" s="345"/>
      <c r="J103" s="345"/>
      <c r="K103" s="345"/>
      <c r="L103" s="345"/>
      <c r="M103" s="382"/>
      <c r="N103" s="346"/>
      <c r="O103" s="347"/>
    </row>
    <row r="104" spans="1:15">
      <c r="A104" s="377"/>
      <c r="B104" s="378"/>
      <c r="C104" s="379"/>
      <c r="D104" s="380"/>
      <c r="E104" s="381"/>
      <c r="F104" s="345"/>
      <c r="G104" s="345"/>
      <c r="H104" s="345"/>
      <c r="I104" s="345"/>
      <c r="J104" s="345"/>
      <c r="K104" s="345"/>
      <c r="L104" s="345"/>
      <c r="M104" s="382"/>
      <c r="N104" s="346"/>
      <c r="O104" s="347"/>
    </row>
    <row r="105" spans="1:15">
      <c r="A105" s="377"/>
      <c r="B105" s="398"/>
      <c r="C105" s="379"/>
      <c r="D105" s="380"/>
      <c r="E105" s="381"/>
      <c r="F105" s="345"/>
      <c r="G105" s="345"/>
      <c r="H105" s="345"/>
      <c r="I105" s="345"/>
      <c r="J105" s="345"/>
      <c r="K105" s="345"/>
      <c r="L105" s="345"/>
      <c r="M105" s="382"/>
      <c r="N105" s="346"/>
      <c r="O105" s="347"/>
    </row>
    <row r="106" spans="1:15">
      <c r="A106" s="377"/>
      <c r="B106" s="398"/>
      <c r="C106" s="379"/>
      <c r="D106" s="380"/>
      <c r="E106" s="381"/>
      <c r="F106" s="345"/>
      <c r="G106" s="345"/>
      <c r="H106" s="345"/>
      <c r="I106" s="345"/>
      <c r="J106" s="345"/>
      <c r="K106" s="345"/>
      <c r="L106" s="345"/>
      <c r="M106" s="382"/>
      <c r="N106" s="346"/>
      <c r="O106" s="347"/>
    </row>
    <row r="107" spans="1:15">
      <c r="A107" s="377"/>
      <c r="B107" s="383"/>
      <c r="C107" s="379"/>
      <c r="D107" s="380"/>
      <c r="E107" s="381"/>
      <c r="F107" s="345"/>
      <c r="G107" s="345"/>
      <c r="H107" s="345"/>
      <c r="I107" s="345"/>
      <c r="J107" s="345"/>
      <c r="K107" s="345"/>
      <c r="L107" s="345"/>
      <c r="M107" s="382"/>
      <c r="N107" s="346"/>
      <c r="O107" s="347"/>
    </row>
    <row r="108" spans="1:15">
      <c r="A108" s="377"/>
      <c r="B108" s="383"/>
      <c r="C108" s="379"/>
      <c r="D108" s="380"/>
      <c r="E108" s="381"/>
      <c r="F108" s="345"/>
      <c r="G108" s="345"/>
      <c r="H108" s="345"/>
      <c r="I108" s="345"/>
      <c r="J108" s="345"/>
      <c r="K108" s="345"/>
      <c r="L108" s="345"/>
      <c r="M108" s="382"/>
      <c r="N108" s="346"/>
      <c r="O108" s="347"/>
    </row>
    <row r="109" spans="1:15">
      <c r="A109" s="377"/>
      <c r="B109" s="383"/>
      <c r="C109" s="379"/>
      <c r="D109" s="380"/>
      <c r="E109" s="381"/>
      <c r="F109" s="345"/>
      <c r="G109" s="345"/>
      <c r="H109" s="345"/>
      <c r="I109" s="345"/>
      <c r="J109" s="345"/>
      <c r="K109" s="345"/>
      <c r="L109" s="345"/>
      <c r="M109" s="382"/>
      <c r="N109" s="346"/>
      <c r="O109" s="347"/>
    </row>
    <row r="110" spans="1:15">
      <c r="A110" s="377"/>
      <c r="B110" s="398"/>
      <c r="C110" s="379"/>
      <c r="D110" s="399"/>
      <c r="E110" s="400"/>
      <c r="F110" s="401"/>
      <c r="G110" s="401"/>
      <c r="H110" s="401"/>
      <c r="I110" s="401"/>
      <c r="J110" s="401"/>
      <c r="K110" s="401"/>
      <c r="L110" s="401"/>
      <c r="M110" s="402"/>
      <c r="N110" s="403"/>
      <c r="O110" s="404"/>
    </row>
    <row r="111" spans="1:15">
      <c r="A111" s="377"/>
      <c r="B111" s="378"/>
      <c r="C111" s="379"/>
      <c r="D111" s="380"/>
      <c r="E111" s="381"/>
      <c r="F111" s="345"/>
      <c r="G111" s="345"/>
      <c r="H111" s="345"/>
      <c r="I111" s="345"/>
      <c r="J111" s="345"/>
      <c r="K111" s="345"/>
      <c r="L111" s="345"/>
      <c r="M111" s="382"/>
      <c r="N111" s="346"/>
      <c r="O111" s="347"/>
    </row>
    <row r="112" spans="1:15">
      <c r="A112" s="377"/>
      <c r="B112" s="378"/>
      <c r="C112" s="379"/>
      <c r="D112" s="380"/>
      <c r="E112" s="381"/>
      <c r="F112" s="345"/>
      <c r="G112" s="345"/>
      <c r="H112" s="345"/>
      <c r="I112" s="345"/>
      <c r="J112" s="345"/>
      <c r="K112" s="345"/>
      <c r="L112" s="345"/>
      <c r="M112" s="382"/>
      <c r="N112" s="346"/>
      <c r="O112" s="347"/>
    </row>
    <row r="113" spans="1:256">
      <c r="A113" s="377"/>
      <c r="B113" s="383"/>
      <c r="C113" s="379"/>
      <c r="D113" s="380"/>
      <c r="E113" s="381"/>
      <c r="F113" s="345"/>
      <c r="G113" s="345"/>
      <c r="H113" s="345"/>
      <c r="I113" s="345"/>
      <c r="J113" s="345"/>
      <c r="K113" s="345"/>
      <c r="L113" s="345"/>
      <c r="M113" s="382"/>
      <c r="N113" s="346"/>
      <c r="O113" s="347"/>
    </row>
    <row r="114" spans="1:256">
      <c r="A114" s="377"/>
      <c r="B114" s="383"/>
      <c r="C114" s="379"/>
      <c r="D114" s="380"/>
      <c r="E114" s="381"/>
      <c r="F114" s="345"/>
      <c r="G114" s="345"/>
      <c r="H114" s="345"/>
      <c r="I114" s="345"/>
      <c r="J114" s="345"/>
      <c r="K114" s="345"/>
      <c r="L114" s="345"/>
      <c r="M114" s="382"/>
      <c r="N114" s="346"/>
      <c r="O114" s="347"/>
    </row>
    <row r="115" spans="1:256">
      <c r="A115" s="377"/>
      <c r="B115" s="405"/>
      <c r="C115" s="379"/>
      <c r="D115" s="380"/>
      <c r="E115" s="381"/>
      <c r="F115" s="345"/>
      <c r="G115" s="345"/>
      <c r="H115" s="345"/>
      <c r="I115" s="345"/>
      <c r="J115" s="345"/>
      <c r="K115" s="345"/>
      <c r="L115" s="345"/>
      <c r="M115" s="382"/>
      <c r="N115" s="346"/>
      <c r="O115" s="347"/>
    </row>
    <row r="116" spans="1:256">
      <c r="A116" s="377"/>
      <c r="B116" s="405"/>
      <c r="C116" s="379"/>
      <c r="D116" s="380"/>
      <c r="E116" s="381"/>
      <c r="F116" s="345"/>
      <c r="G116" s="345"/>
      <c r="H116" s="345"/>
      <c r="I116" s="345"/>
      <c r="J116" s="345"/>
      <c r="K116" s="345"/>
      <c r="L116" s="345"/>
      <c r="M116" s="382"/>
      <c r="N116" s="346"/>
      <c r="O116" s="347"/>
    </row>
    <row r="117" spans="1:256">
      <c r="A117" s="377"/>
      <c r="B117" s="405"/>
      <c r="C117" s="379"/>
      <c r="D117" s="380"/>
      <c r="E117" s="381"/>
      <c r="F117" s="345"/>
      <c r="G117" s="345"/>
      <c r="H117" s="345"/>
      <c r="I117" s="345"/>
      <c r="J117" s="345"/>
      <c r="K117" s="345"/>
      <c r="L117" s="345"/>
      <c r="M117" s="382"/>
      <c r="N117" s="346"/>
      <c r="O117" s="347"/>
    </row>
    <row r="118" spans="1:256">
      <c r="A118" s="377"/>
      <c r="B118" s="378"/>
      <c r="C118" s="379"/>
      <c r="D118" s="380"/>
      <c r="E118" s="381"/>
      <c r="F118" s="345"/>
      <c r="G118" s="345"/>
      <c r="H118" s="345"/>
      <c r="I118" s="345"/>
      <c r="J118" s="345"/>
      <c r="K118" s="345"/>
      <c r="L118" s="345"/>
      <c r="M118" s="382"/>
      <c r="N118" s="346"/>
      <c r="O118" s="347"/>
    </row>
    <row r="119" spans="1:256">
      <c r="A119" s="377"/>
      <c r="B119" s="378"/>
      <c r="C119" s="379"/>
      <c r="D119" s="380"/>
      <c r="E119" s="381"/>
      <c r="F119" s="345"/>
      <c r="G119" s="345"/>
      <c r="H119" s="345"/>
      <c r="I119" s="345"/>
      <c r="J119" s="345"/>
      <c r="K119" s="345"/>
      <c r="L119" s="345"/>
      <c r="M119" s="382"/>
      <c r="N119" s="346"/>
      <c r="O119" s="347"/>
    </row>
    <row r="120" spans="1:256">
      <c r="A120" s="377"/>
      <c r="B120" s="378"/>
      <c r="C120" s="379"/>
      <c r="D120" s="380"/>
      <c r="E120" s="381"/>
      <c r="F120" s="345"/>
      <c r="G120" s="345"/>
      <c r="H120" s="345"/>
      <c r="I120" s="345"/>
      <c r="J120" s="345"/>
      <c r="K120" s="345"/>
      <c r="L120" s="345"/>
      <c r="M120" s="382"/>
      <c r="N120" s="346"/>
      <c r="O120" s="347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52"/>
      <c r="AT120" s="352"/>
      <c r="AU120" s="352"/>
      <c r="AV120" s="352"/>
      <c r="AW120" s="352"/>
      <c r="AX120" s="352"/>
      <c r="AY120" s="352"/>
      <c r="AZ120" s="352"/>
      <c r="BA120" s="352"/>
      <c r="BB120" s="352"/>
      <c r="BC120" s="352"/>
      <c r="BD120" s="352"/>
      <c r="BE120" s="352"/>
      <c r="BF120" s="352"/>
      <c r="BG120" s="352"/>
      <c r="BH120" s="352"/>
      <c r="BI120" s="352"/>
      <c r="BJ120" s="352"/>
      <c r="BK120" s="352"/>
      <c r="BL120" s="352"/>
      <c r="BM120" s="352"/>
      <c r="BN120" s="352"/>
      <c r="BO120" s="352"/>
      <c r="BP120" s="352"/>
      <c r="BQ120" s="352"/>
      <c r="BR120" s="352"/>
      <c r="BS120" s="352"/>
      <c r="BT120" s="352"/>
      <c r="BU120" s="352"/>
      <c r="BV120" s="352"/>
      <c r="BW120" s="352"/>
      <c r="BX120" s="352"/>
      <c r="BY120" s="352"/>
      <c r="BZ120" s="352"/>
      <c r="CA120" s="352"/>
      <c r="CB120" s="352"/>
      <c r="CC120" s="352"/>
      <c r="CD120" s="352"/>
      <c r="CE120" s="352"/>
      <c r="CF120" s="352"/>
      <c r="CG120" s="352"/>
      <c r="CH120" s="352"/>
      <c r="CI120" s="352"/>
      <c r="CJ120" s="352"/>
      <c r="CK120" s="352"/>
      <c r="CL120" s="352"/>
      <c r="CM120" s="352"/>
      <c r="CN120" s="352"/>
      <c r="CO120" s="352"/>
      <c r="CP120" s="352"/>
      <c r="CQ120" s="352"/>
      <c r="CR120" s="352"/>
      <c r="CS120" s="352"/>
      <c r="CT120" s="352"/>
      <c r="CU120" s="352"/>
      <c r="CV120" s="352"/>
      <c r="CW120" s="352"/>
      <c r="CX120" s="352"/>
      <c r="CY120" s="352"/>
      <c r="CZ120" s="352"/>
      <c r="DA120" s="352"/>
      <c r="DB120" s="352"/>
      <c r="DC120" s="352"/>
      <c r="DD120" s="352"/>
      <c r="DE120" s="352"/>
      <c r="DF120" s="352"/>
      <c r="DG120" s="352"/>
      <c r="DH120" s="352"/>
      <c r="DI120" s="352"/>
      <c r="DJ120" s="352"/>
      <c r="DK120" s="352"/>
      <c r="DL120" s="352"/>
      <c r="DM120" s="352"/>
      <c r="DN120" s="352"/>
      <c r="DO120" s="352"/>
      <c r="DP120" s="352"/>
      <c r="DQ120" s="352"/>
      <c r="DR120" s="352"/>
      <c r="DS120" s="352"/>
      <c r="DT120" s="352"/>
      <c r="DU120" s="352"/>
      <c r="DV120" s="352"/>
      <c r="DW120" s="352"/>
      <c r="DX120" s="352"/>
      <c r="DY120" s="352"/>
      <c r="DZ120" s="352"/>
      <c r="EA120" s="352"/>
      <c r="EB120" s="352"/>
      <c r="EC120" s="352"/>
      <c r="ED120" s="352"/>
      <c r="EE120" s="352"/>
      <c r="EF120" s="352"/>
      <c r="EG120" s="352"/>
      <c r="EH120" s="352"/>
      <c r="EI120" s="352"/>
      <c r="EJ120" s="352"/>
      <c r="EK120" s="352"/>
      <c r="EL120" s="352"/>
      <c r="EM120" s="352"/>
      <c r="EN120" s="352"/>
      <c r="EO120" s="352"/>
      <c r="EP120" s="352"/>
      <c r="EQ120" s="352"/>
      <c r="ER120" s="352"/>
      <c r="ES120" s="352"/>
      <c r="ET120" s="352"/>
      <c r="EU120" s="352"/>
      <c r="EV120" s="352"/>
      <c r="EW120" s="352"/>
      <c r="EX120" s="352"/>
      <c r="EY120" s="352"/>
      <c r="EZ120" s="352"/>
      <c r="FA120" s="352"/>
      <c r="FB120" s="352"/>
      <c r="FC120" s="352"/>
      <c r="FD120" s="352"/>
      <c r="FE120" s="352"/>
      <c r="FF120" s="352"/>
      <c r="FG120" s="352"/>
      <c r="FH120" s="352"/>
      <c r="FI120" s="352"/>
      <c r="FJ120" s="352"/>
      <c r="FK120" s="352"/>
      <c r="FL120" s="352"/>
      <c r="FM120" s="352"/>
      <c r="FN120" s="352"/>
      <c r="FO120" s="352"/>
      <c r="FP120" s="352"/>
      <c r="FQ120" s="352"/>
      <c r="FR120" s="352"/>
      <c r="FS120" s="352"/>
      <c r="FT120" s="352"/>
      <c r="FU120" s="352"/>
      <c r="FV120" s="352"/>
      <c r="FW120" s="352"/>
      <c r="FX120" s="352"/>
      <c r="FY120" s="352"/>
      <c r="FZ120" s="352"/>
      <c r="GA120" s="352"/>
      <c r="GB120" s="352"/>
      <c r="GC120" s="352"/>
      <c r="GD120" s="352"/>
      <c r="GE120" s="352"/>
      <c r="GF120" s="352"/>
      <c r="GG120" s="352"/>
      <c r="GH120" s="352"/>
      <c r="GI120" s="352"/>
      <c r="GJ120" s="352"/>
      <c r="GK120" s="352"/>
      <c r="GL120" s="352"/>
      <c r="GM120" s="352"/>
      <c r="GN120" s="352"/>
      <c r="GO120" s="352"/>
      <c r="GP120" s="352"/>
      <c r="GQ120" s="352"/>
      <c r="GR120" s="352"/>
      <c r="GS120" s="352"/>
      <c r="GT120" s="352"/>
      <c r="GU120" s="352"/>
      <c r="GV120" s="352"/>
      <c r="GW120" s="352"/>
      <c r="GX120" s="352"/>
      <c r="GY120" s="352"/>
      <c r="GZ120" s="352"/>
      <c r="HA120" s="352"/>
      <c r="HB120" s="352"/>
      <c r="HC120" s="352"/>
      <c r="HD120" s="352"/>
      <c r="HE120" s="352"/>
      <c r="HF120" s="352"/>
      <c r="HG120" s="352"/>
      <c r="HH120" s="352"/>
      <c r="HI120" s="352"/>
      <c r="HJ120" s="352"/>
      <c r="HK120" s="352"/>
      <c r="HL120" s="352"/>
      <c r="HM120" s="352"/>
      <c r="HN120" s="352"/>
      <c r="HO120" s="352"/>
      <c r="HP120" s="352"/>
      <c r="HQ120" s="352"/>
      <c r="HR120" s="352"/>
      <c r="HS120" s="352"/>
      <c r="HT120" s="352"/>
      <c r="HU120" s="352"/>
      <c r="HV120" s="352"/>
      <c r="HW120" s="352"/>
      <c r="HX120" s="352"/>
      <c r="HY120" s="352"/>
      <c r="HZ120" s="352"/>
      <c r="IA120" s="352"/>
      <c r="IB120" s="352"/>
      <c r="IC120" s="352"/>
      <c r="ID120" s="352"/>
      <c r="IE120" s="352"/>
      <c r="IF120" s="352"/>
      <c r="IG120" s="352"/>
      <c r="IH120" s="352"/>
      <c r="II120" s="352"/>
      <c r="IJ120" s="352"/>
      <c r="IK120" s="352"/>
      <c r="IL120" s="352"/>
      <c r="IM120" s="352"/>
      <c r="IN120" s="352"/>
      <c r="IO120" s="352"/>
      <c r="IP120" s="352"/>
      <c r="IQ120" s="352"/>
      <c r="IR120" s="352"/>
      <c r="IS120" s="352"/>
      <c r="IT120" s="352"/>
      <c r="IU120" s="352"/>
      <c r="IV120" s="352"/>
    </row>
    <row r="121" spans="1:256">
      <c r="A121" s="363"/>
      <c r="B121" s="406"/>
      <c r="C121" s="407"/>
      <c r="D121" s="407"/>
      <c r="E121" s="407"/>
      <c r="F121" s="396"/>
      <c r="G121" s="396"/>
      <c r="H121" s="396"/>
      <c r="I121" s="396"/>
      <c r="J121" s="396"/>
      <c r="K121" s="396"/>
      <c r="L121" s="396"/>
      <c r="M121" s="396"/>
      <c r="N121" s="396"/>
      <c r="O121" s="347"/>
    </row>
    <row r="122" spans="1:256">
      <c r="A122" s="363"/>
      <c r="B122" s="406"/>
      <c r="C122" s="407"/>
      <c r="D122" s="407"/>
      <c r="E122" s="407"/>
      <c r="F122" s="363"/>
      <c r="G122" s="363"/>
      <c r="H122" s="363"/>
      <c r="I122" s="363"/>
      <c r="J122" s="363"/>
      <c r="K122" s="363"/>
      <c r="L122" s="363"/>
      <c r="M122" s="363"/>
      <c r="N122" s="363"/>
      <c r="O122" s="346"/>
    </row>
    <row r="123" spans="1:256">
      <c r="A123" s="363"/>
      <c r="B123" s="406"/>
      <c r="C123" s="407"/>
      <c r="D123" s="407"/>
      <c r="E123" s="407"/>
      <c r="F123" s="363"/>
      <c r="G123" s="363"/>
      <c r="H123" s="363"/>
      <c r="I123" s="363"/>
      <c r="J123" s="363"/>
      <c r="K123" s="363"/>
      <c r="L123" s="363"/>
      <c r="M123" s="363"/>
      <c r="N123" s="363"/>
      <c r="O123" s="346"/>
    </row>
    <row r="124" spans="1:256">
      <c r="A124" s="363"/>
      <c r="B124" s="406"/>
      <c r="C124" s="407"/>
      <c r="D124" s="407"/>
      <c r="E124" s="407"/>
      <c r="F124" s="363"/>
      <c r="G124" s="363"/>
      <c r="H124" s="363"/>
      <c r="I124" s="363"/>
      <c r="J124" s="363"/>
      <c r="K124" s="363"/>
      <c r="L124" s="363"/>
      <c r="M124" s="363"/>
      <c r="N124" s="363"/>
      <c r="O124" s="346"/>
    </row>
    <row r="125" spans="1:256">
      <c r="A125" s="363"/>
      <c r="B125" s="364"/>
      <c r="C125" s="365"/>
      <c r="D125" s="365"/>
      <c r="E125" s="365"/>
      <c r="F125" s="363"/>
      <c r="G125" s="367"/>
      <c r="H125" s="367"/>
      <c r="I125" s="367"/>
      <c r="J125" s="384"/>
      <c r="K125" s="384"/>
      <c r="L125" s="367"/>
      <c r="M125" s="367"/>
      <c r="N125" s="367"/>
    </row>
    <row r="126" spans="1:256">
      <c r="A126" s="363"/>
      <c r="B126" s="385"/>
      <c r="C126" s="385"/>
      <c r="D126" s="385"/>
      <c r="E126" s="385"/>
      <c r="F126" s="363"/>
      <c r="G126" s="384"/>
      <c r="H126" s="384"/>
      <c r="I126" s="384"/>
      <c r="J126" s="384"/>
      <c r="K126" s="384"/>
      <c r="L126" s="384"/>
      <c r="M126" s="384"/>
      <c r="N126" s="384"/>
    </row>
    <row r="127" spans="1:256">
      <c r="B127" s="384"/>
      <c r="C127" s="384"/>
      <c r="D127" s="384"/>
      <c r="E127" s="384"/>
      <c r="F127" s="363"/>
      <c r="G127" s="384"/>
      <c r="H127" s="384"/>
      <c r="I127" s="384"/>
      <c r="J127" s="384"/>
      <c r="K127" s="384"/>
      <c r="L127" s="384"/>
      <c r="M127" s="384"/>
      <c r="N127" s="384"/>
    </row>
    <row r="128" spans="1:256">
      <c r="B128" s="386"/>
      <c r="C128" s="386"/>
      <c r="D128" s="386"/>
      <c r="E128" s="386"/>
      <c r="F128" s="363"/>
      <c r="G128" s="384"/>
      <c r="H128" s="384"/>
      <c r="I128" s="384"/>
      <c r="J128" s="384"/>
      <c r="K128" s="384"/>
      <c r="L128" s="384"/>
      <c r="M128" s="384"/>
      <c r="N128" s="384"/>
    </row>
    <row r="129" spans="1:256">
      <c r="B129" s="371"/>
      <c r="C129" s="371"/>
      <c r="D129" s="371"/>
      <c r="E129" s="371"/>
      <c r="F129" s="363"/>
      <c r="G129" s="367"/>
      <c r="H129" s="367"/>
      <c r="I129" s="367"/>
      <c r="J129" s="367"/>
      <c r="K129" s="367"/>
      <c r="L129" s="367"/>
      <c r="M129" s="367"/>
      <c r="N129" s="367"/>
    </row>
    <row r="130" spans="1:256">
      <c r="B130" s="371"/>
      <c r="C130" s="371"/>
      <c r="D130" s="371"/>
      <c r="E130" s="371"/>
      <c r="F130" s="363"/>
      <c r="G130" s="367"/>
      <c r="H130" s="367"/>
      <c r="I130" s="367"/>
      <c r="J130" s="367"/>
      <c r="K130" s="367"/>
      <c r="L130" s="367"/>
      <c r="M130" s="367"/>
      <c r="N130" s="367"/>
    </row>
    <row r="131" spans="1:256">
      <c r="B131" s="371"/>
      <c r="C131" s="371"/>
      <c r="D131" s="371"/>
      <c r="E131" s="371"/>
      <c r="F131" s="363"/>
      <c r="G131" s="367"/>
      <c r="H131" s="367"/>
      <c r="I131" s="367"/>
      <c r="J131" s="367"/>
      <c r="K131" s="367"/>
      <c r="L131" s="367"/>
      <c r="M131" s="367"/>
      <c r="N131" s="367"/>
    </row>
    <row r="132" spans="1:256">
      <c r="B132" s="371"/>
      <c r="C132" s="371"/>
      <c r="D132" s="371"/>
      <c r="E132" s="371"/>
      <c r="F132" s="363"/>
      <c r="G132" s="367"/>
      <c r="H132" s="367"/>
      <c r="I132" s="367"/>
      <c r="J132" s="367"/>
      <c r="K132" s="367"/>
      <c r="L132" s="367"/>
      <c r="M132" s="367"/>
      <c r="N132" s="367"/>
    </row>
    <row r="133" spans="1:256">
      <c r="B133" s="370"/>
    </row>
    <row r="134" spans="1:256">
      <c r="B134" s="370"/>
    </row>
    <row r="135" spans="1:256">
      <c r="A135" s="322"/>
      <c r="B135" s="326"/>
      <c r="C135" s="326"/>
      <c r="D135" s="326"/>
      <c r="E135" s="326"/>
      <c r="F135" s="326"/>
      <c r="G135" s="326"/>
      <c r="H135" s="326"/>
      <c r="I135" s="326"/>
      <c r="J135" s="326"/>
      <c r="K135" s="326"/>
      <c r="L135" s="326"/>
      <c r="M135" s="326"/>
      <c r="N135" s="326"/>
    </row>
    <row r="136" spans="1:256">
      <c r="A136" s="325"/>
      <c r="B136" s="326"/>
      <c r="C136" s="326"/>
      <c r="D136" s="326"/>
      <c r="E136" s="326"/>
      <c r="F136" s="326"/>
      <c r="G136" s="326"/>
      <c r="H136" s="326"/>
      <c r="I136" s="326"/>
      <c r="J136" s="326"/>
      <c r="K136" s="326"/>
      <c r="L136" s="326"/>
      <c r="M136" s="326"/>
      <c r="N136" s="326"/>
    </row>
    <row r="137" spans="1:256">
      <c r="A137" s="325"/>
      <c r="B137" s="327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</row>
    <row r="138" spans="1:256">
      <c r="A138" s="374"/>
      <c r="B138" s="389"/>
      <c r="C138" s="375"/>
      <c r="D138" s="375"/>
      <c r="E138" s="375"/>
      <c r="F138" s="374"/>
      <c r="G138" s="374"/>
      <c r="H138" s="389"/>
      <c r="I138" s="389"/>
      <c r="J138" s="389"/>
      <c r="K138" s="389"/>
      <c r="L138" s="375"/>
      <c r="M138" s="375"/>
      <c r="N138" s="375"/>
      <c r="O138" s="376"/>
    </row>
    <row r="139" spans="1:256">
      <c r="A139" s="374"/>
      <c r="B139" s="389"/>
      <c r="C139" s="375"/>
      <c r="D139" s="375"/>
      <c r="E139" s="375"/>
      <c r="F139" s="375"/>
      <c r="G139" s="375"/>
      <c r="H139" s="375"/>
      <c r="I139" s="389"/>
      <c r="J139" s="389"/>
      <c r="K139" s="375"/>
      <c r="L139" s="375"/>
      <c r="M139" s="375"/>
      <c r="N139" s="375"/>
      <c r="O139" s="376"/>
    </row>
    <row r="140" spans="1:256">
      <c r="A140" s="374"/>
      <c r="B140" s="389"/>
      <c r="C140" s="375"/>
      <c r="D140" s="375"/>
      <c r="E140" s="375"/>
      <c r="F140" s="375"/>
      <c r="G140" s="375"/>
      <c r="H140" s="375"/>
      <c r="I140" s="390"/>
      <c r="J140" s="390"/>
      <c r="K140" s="375"/>
      <c r="L140" s="375"/>
      <c r="M140" s="375"/>
      <c r="N140" s="375"/>
      <c r="O140" s="376"/>
    </row>
    <row r="141" spans="1:256">
      <c r="A141" s="377"/>
      <c r="B141" s="378"/>
      <c r="C141" s="379"/>
      <c r="D141" s="380"/>
      <c r="E141" s="381"/>
      <c r="F141" s="345"/>
      <c r="G141" s="345"/>
      <c r="H141" s="345"/>
      <c r="I141" s="345"/>
      <c r="J141" s="345"/>
      <c r="K141" s="345"/>
      <c r="L141" s="345"/>
      <c r="M141" s="382"/>
      <c r="N141" s="346"/>
      <c r="O141" s="347"/>
      <c r="AH141" s="352"/>
      <c r="AI141" s="352"/>
      <c r="AJ141" s="352"/>
      <c r="AK141" s="352"/>
      <c r="AL141" s="352"/>
      <c r="AM141" s="352"/>
      <c r="AN141" s="352"/>
      <c r="AO141" s="352"/>
      <c r="AP141" s="352"/>
      <c r="AQ141" s="352"/>
      <c r="AR141" s="352"/>
      <c r="AS141" s="352"/>
      <c r="AT141" s="352"/>
      <c r="AU141" s="352"/>
      <c r="AV141" s="352"/>
      <c r="AW141" s="352"/>
      <c r="AX141" s="352"/>
      <c r="AY141" s="352"/>
      <c r="AZ141" s="352"/>
      <c r="BA141" s="352"/>
      <c r="BB141" s="352"/>
      <c r="BC141" s="352"/>
      <c r="BD141" s="352"/>
      <c r="BE141" s="352"/>
      <c r="BF141" s="352"/>
      <c r="BG141" s="352"/>
      <c r="BH141" s="352"/>
      <c r="BI141" s="352"/>
      <c r="BJ141" s="352"/>
      <c r="BK141" s="352"/>
      <c r="BL141" s="352"/>
      <c r="BM141" s="352"/>
      <c r="BN141" s="352"/>
      <c r="BO141" s="352"/>
      <c r="BP141" s="352"/>
      <c r="BQ141" s="352"/>
      <c r="BR141" s="352"/>
      <c r="BS141" s="352"/>
      <c r="BT141" s="352"/>
      <c r="BU141" s="352"/>
      <c r="BV141" s="352"/>
      <c r="BW141" s="352"/>
      <c r="BX141" s="352"/>
      <c r="BY141" s="352"/>
      <c r="BZ141" s="352"/>
      <c r="CA141" s="352"/>
      <c r="CB141" s="352"/>
      <c r="CC141" s="352"/>
      <c r="CD141" s="352"/>
      <c r="CE141" s="352"/>
      <c r="CF141" s="352"/>
      <c r="CG141" s="352"/>
      <c r="CH141" s="352"/>
      <c r="CI141" s="352"/>
      <c r="CJ141" s="352"/>
      <c r="CK141" s="352"/>
      <c r="CL141" s="352"/>
      <c r="CM141" s="352"/>
      <c r="CN141" s="352"/>
      <c r="CO141" s="352"/>
      <c r="CP141" s="352"/>
      <c r="CQ141" s="352"/>
      <c r="CR141" s="352"/>
      <c r="CS141" s="352"/>
      <c r="CT141" s="352"/>
      <c r="CU141" s="352"/>
      <c r="CV141" s="352"/>
      <c r="CW141" s="352"/>
      <c r="CX141" s="352"/>
      <c r="CY141" s="352"/>
      <c r="CZ141" s="352"/>
      <c r="DA141" s="352"/>
      <c r="DB141" s="352"/>
      <c r="DC141" s="352"/>
      <c r="DD141" s="352"/>
      <c r="DE141" s="352"/>
      <c r="DF141" s="352"/>
      <c r="DG141" s="352"/>
      <c r="DH141" s="352"/>
      <c r="DI141" s="352"/>
      <c r="DJ141" s="352"/>
      <c r="DK141" s="352"/>
      <c r="DL141" s="352"/>
      <c r="DM141" s="352"/>
      <c r="DN141" s="352"/>
      <c r="DO141" s="352"/>
      <c r="DP141" s="352"/>
      <c r="DQ141" s="352"/>
      <c r="DR141" s="352"/>
      <c r="DS141" s="352"/>
      <c r="DT141" s="352"/>
      <c r="DU141" s="352"/>
      <c r="DV141" s="352"/>
      <c r="DW141" s="352"/>
      <c r="DX141" s="352"/>
      <c r="DY141" s="352"/>
      <c r="DZ141" s="352"/>
      <c r="EA141" s="352"/>
      <c r="EB141" s="352"/>
      <c r="EC141" s="352"/>
      <c r="ED141" s="352"/>
      <c r="EE141" s="352"/>
      <c r="EF141" s="352"/>
      <c r="EG141" s="352"/>
      <c r="EH141" s="352"/>
      <c r="EI141" s="352"/>
      <c r="EJ141" s="352"/>
      <c r="EK141" s="352"/>
      <c r="EL141" s="352"/>
      <c r="EM141" s="352"/>
      <c r="EN141" s="352"/>
      <c r="EO141" s="352"/>
      <c r="EP141" s="352"/>
      <c r="EQ141" s="352"/>
      <c r="ER141" s="352"/>
      <c r="ES141" s="352"/>
      <c r="ET141" s="352"/>
      <c r="EU141" s="352"/>
      <c r="EV141" s="352"/>
      <c r="EW141" s="352"/>
      <c r="EX141" s="352"/>
      <c r="EY141" s="352"/>
      <c r="EZ141" s="352"/>
      <c r="FA141" s="352"/>
      <c r="FB141" s="352"/>
      <c r="FC141" s="352"/>
      <c r="FD141" s="352"/>
      <c r="FE141" s="352"/>
      <c r="FF141" s="352"/>
      <c r="FG141" s="352"/>
      <c r="FH141" s="352"/>
      <c r="FI141" s="352"/>
      <c r="FJ141" s="352"/>
      <c r="FK141" s="352"/>
      <c r="FL141" s="352"/>
      <c r="FM141" s="352"/>
      <c r="FN141" s="352"/>
      <c r="FO141" s="352"/>
      <c r="FP141" s="352"/>
      <c r="FQ141" s="352"/>
      <c r="FR141" s="352"/>
      <c r="FS141" s="352"/>
      <c r="FT141" s="352"/>
      <c r="FU141" s="352"/>
      <c r="FV141" s="352"/>
      <c r="FW141" s="352"/>
      <c r="FX141" s="352"/>
      <c r="FY141" s="352"/>
      <c r="FZ141" s="352"/>
      <c r="GA141" s="352"/>
      <c r="GB141" s="352"/>
      <c r="GC141" s="352"/>
      <c r="GD141" s="352"/>
      <c r="GE141" s="352"/>
      <c r="GF141" s="352"/>
      <c r="GG141" s="352"/>
      <c r="GH141" s="352"/>
      <c r="GI141" s="352"/>
      <c r="GJ141" s="352"/>
      <c r="GK141" s="352"/>
      <c r="GL141" s="352"/>
      <c r="GM141" s="352"/>
      <c r="GN141" s="352"/>
      <c r="GO141" s="352"/>
      <c r="GP141" s="352"/>
      <c r="GQ141" s="352"/>
      <c r="GR141" s="352"/>
      <c r="GS141" s="352"/>
      <c r="GT141" s="352"/>
      <c r="GU141" s="352"/>
      <c r="GV141" s="352"/>
      <c r="GW141" s="352"/>
      <c r="GX141" s="352"/>
      <c r="GY141" s="352"/>
      <c r="GZ141" s="352"/>
      <c r="HA141" s="352"/>
      <c r="HB141" s="352"/>
      <c r="HC141" s="352"/>
      <c r="HD141" s="352"/>
      <c r="HE141" s="352"/>
      <c r="HF141" s="352"/>
      <c r="HG141" s="352"/>
      <c r="HH141" s="352"/>
      <c r="HI141" s="352"/>
      <c r="HJ141" s="352"/>
      <c r="HK141" s="352"/>
      <c r="HL141" s="352"/>
      <c r="HM141" s="352"/>
      <c r="HN141" s="352"/>
      <c r="HO141" s="352"/>
      <c r="HP141" s="352"/>
      <c r="HQ141" s="352"/>
      <c r="HR141" s="352"/>
      <c r="HS141" s="352"/>
      <c r="HT141" s="352"/>
      <c r="HU141" s="352"/>
      <c r="HV141" s="352"/>
      <c r="HW141" s="352"/>
      <c r="HX141" s="352"/>
      <c r="HY141" s="352"/>
      <c r="HZ141" s="352"/>
      <c r="IA141" s="352"/>
      <c r="IB141" s="352"/>
      <c r="IC141" s="352"/>
      <c r="ID141" s="352"/>
      <c r="IE141" s="352"/>
      <c r="IF141" s="352"/>
      <c r="IG141" s="352"/>
      <c r="IH141" s="352"/>
      <c r="II141" s="352"/>
      <c r="IJ141" s="352"/>
      <c r="IK141" s="352"/>
      <c r="IL141" s="352"/>
      <c r="IM141" s="352"/>
      <c r="IN141" s="352"/>
      <c r="IO141" s="352"/>
      <c r="IP141" s="352"/>
      <c r="IQ141" s="352"/>
      <c r="IR141" s="352"/>
      <c r="IS141" s="352"/>
      <c r="IT141" s="352"/>
      <c r="IU141" s="352"/>
      <c r="IV141" s="352"/>
    </row>
    <row r="142" spans="1:256">
      <c r="A142" s="377"/>
      <c r="B142" s="378"/>
      <c r="C142" s="379"/>
      <c r="D142" s="380"/>
      <c r="E142" s="381"/>
      <c r="F142" s="345"/>
      <c r="G142" s="345"/>
      <c r="H142" s="345"/>
      <c r="I142" s="345"/>
      <c r="J142" s="345"/>
      <c r="K142" s="345"/>
      <c r="L142" s="345"/>
      <c r="M142" s="382"/>
      <c r="N142" s="346"/>
      <c r="O142" s="347"/>
      <c r="AH142" s="352"/>
      <c r="AI142" s="352"/>
      <c r="AJ142" s="352"/>
      <c r="AK142" s="352"/>
      <c r="AL142" s="352"/>
      <c r="AM142" s="352"/>
      <c r="AN142" s="352"/>
      <c r="AO142" s="352"/>
      <c r="AP142" s="352"/>
      <c r="AQ142" s="352"/>
      <c r="AR142" s="352"/>
      <c r="AS142" s="352"/>
      <c r="AT142" s="352"/>
      <c r="AU142" s="352"/>
      <c r="AV142" s="352"/>
      <c r="AW142" s="352"/>
      <c r="AX142" s="352"/>
      <c r="AY142" s="352"/>
      <c r="AZ142" s="352"/>
      <c r="BA142" s="352"/>
      <c r="BB142" s="352"/>
      <c r="BC142" s="352"/>
      <c r="BD142" s="352"/>
      <c r="BE142" s="352"/>
      <c r="BF142" s="352"/>
      <c r="BG142" s="352"/>
      <c r="BH142" s="352"/>
      <c r="BI142" s="352"/>
      <c r="BJ142" s="352"/>
      <c r="BK142" s="352"/>
      <c r="BL142" s="352"/>
      <c r="BM142" s="352"/>
      <c r="BN142" s="352"/>
      <c r="BO142" s="352"/>
      <c r="BP142" s="352"/>
      <c r="BQ142" s="352"/>
      <c r="BR142" s="352"/>
      <c r="BS142" s="352"/>
      <c r="BT142" s="352"/>
      <c r="BU142" s="352"/>
      <c r="BV142" s="352"/>
      <c r="BW142" s="352"/>
      <c r="BX142" s="352"/>
      <c r="BY142" s="352"/>
      <c r="BZ142" s="352"/>
      <c r="CA142" s="352"/>
      <c r="CB142" s="352"/>
      <c r="CC142" s="352"/>
      <c r="CD142" s="352"/>
      <c r="CE142" s="352"/>
      <c r="CF142" s="352"/>
      <c r="CG142" s="352"/>
      <c r="CH142" s="352"/>
      <c r="CI142" s="352"/>
      <c r="CJ142" s="352"/>
      <c r="CK142" s="352"/>
      <c r="CL142" s="352"/>
      <c r="CM142" s="352"/>
      <c r="CN142" s="352"/>
      <c r="CO142" s="352"/>
      <c r="CP142" s="352"/>
      <c r="CQ142" s="352"/>
      <c r="CR142" s="352"/>
      <c r="CS142" s="352"/>
      <c r="CT142" s="352"/>
      <c r="CU142" s="352"/>
      <c r="CV142" s="352"/>
      <c r="CW142" s="352"/>
      <c r="CX142" s="352"/>
      <c r="CY142" s="352"/>
      <c r="CZ142" s="352"/>
      <c r="DA142" s="352"/>
      <c r="DB142" s="352"/>
      <c r="DC142" s="352"/>
      <c r="DD142" s="352"/>
      <c r="DE142" s="352"/>
      <c r="DF142" s="352"/>
      <c r="DG142" s="352"/>
      <c r="DH142" s="352"/>
      <c r="DI142" s="352"/>
      <c r="DJ142" s="352"/>
      <c r="DK142" s="352"/>
      <c r="DL142" s="352"/>
      <c r="DM142" s="352"/>
      <c r="DN142" s="352"/>
      <c r="DO142" s="352"/>
      <c r="DP142" s="352"/>
      <c r="DQ142" s="352"/>
      <c r="DR142" s="352"/>
      <c r="DS142" s="352"/>
      <c r="DT142" s="352"/>
      <c r="DU142" s="352"/>
      <c r="DV142" s="352"/>
      <c r="DW142" s="352"/>
      <c r="DX142" s="352"/>
      <c r="DY142" s="352"/>
      <c r="DZ142" s="352"/>
      <c r="EA142" s="352"/>
      <c r="EB142" s="352"/>
      <c r="EC142" s="352"/>
      <c r="ED142" s="352"/>
      <c r="EE142" s="352"/>
      <c r="EF142" s="352"/>
      <c r="EG142" s="352"/>
      <c r="EH142" s="352"/>
      <c r="EI142" s="352"/>
      <c r="EJ142" s="352"/>
      <c r="EK142" s="352"/>
      <c r="EL142" s="352"/>
      <c r="EM142" s="352"/>
      <c r="EN142" s="352"/>
      <c r="EO142" s="352"/>
      <c r="EP142" s="352"/>
      <c r="EQ142" s="352"/>
      <c r="ER142" s="352"/>
      <c r="ES142" s="352"/>
      <c r="ET142" s="352"/>
      <c r="EU142" s="352"/>
      <c r="EV142" s="352"/>
      <c r="EW142" s="352"/>
      <c r="EX142" s="352"/>
      <c r="EY142" s="352"/>
      <c r="EZ142" s="352"/>
      <c r="FA142" s="352"/>
      <c r="FB142" s="352"/>
      <c r="FC142" s="352"/>
      <c r="FD142" s="352"/>
      <c r="FE142" s="352"/>
      <c r="FF142" s="352"/>
      <c r="FG142" s="352"/>
      <c r="FH142" s="352"/>
      <c r="FI142" s="352"/>
      <c r="FJ142" s="352"/>
      <c r="FK142" s="352"/>
      <c r="FL142" s="352"/>
      <c r="FM142" s="352"/>
      <c r="FN142" s="352"/>
      <c r="FO142" s="352"/>
      <c r="FP142" s="352"/>
      <c r="FQ142" s="352"/>
      <c r="FR142" s="352"/>
      <c r="FS142" s="352"/>
      <c r="FT142" s="352"/>
      <c r="FU142" s="352"/>
      <c r="FV142" s="352"/>
      <c r="FW142" s="352"/>
      <c r="FX142" s="352"/>
      <c r="FY142" s="352"/>
      <c r="FZ142" s="352"/>
      <c r="GA142" s="352"/>
      <c r="GB142" s="352"/>
      <c r="GC142" s="352"/>
      <c r="GD142" s="352"/>
      <c r="GE142" s="352"/>
      <c r="GF142" s="352"/>
      <c r="GG142" s="352"/>
      <c r="GH142" s="352"/>
      <c r="GI142" s="352"/>
      <c r="GJ142" s="352"/>
      <c r="GK142" s="352"/>
      <c r="GL142" s="352"/>
      <c r="GM142" s="352"/>
      <c r="GN142" s="352"/>
      <c r="GO142" s="352"/>
      <c r="GP142" s="352"/>
      <c r="GQ142" s="352"/>
      <c r="GR142" s="352"/>
      <c r="GS142" s="352"/>
      <c r="GT142" s="352"/>
      <c r="GU142" s="352"/>
      <c r="GV142" s="352"/>
      <c r="GW142" s="352"/>
      <c r="GX142" s="352"/>
      <c r="GY142" s="352"/>
      <c r="GZ142" s="352"/>
      <c r="HA142" s="352"/>
      <c r="HB142" s="352"/>
      <c r="HC142" s="352"/>
      <c r="HD142" s="352"/>
      <c r="HE142" s="352"/>
      <c r="HF142" s="352"/>
      <c r="HG142" s="352"/>
      <c r="HH142" s="352"/>
      <c r="HI142" s="352"/>
      <c r="HJ142" s="352"/>
      <c r="HK142" s="352"/>
      <c r="HL142" s="352"/>
      <c r="HM142" s="352"/>
      <c r="HN142" s="352"/>
      <c r="HO142" s="352"/>
      <c r="HP142" s="352"/>
      <c r="HQ142" s="352"/>
      <c r="HR142" s="352"/>
      <c r="HS142" s="352"/>
      <c r="HT142" s="352"/>
      <c r="HU142" s="352"/>
      <c r="HV142" s="352"/>
      <c r="HW142" s="352"/>
      <c r="HX142" s="352"/>
      <c r="HY142" s="352"/>
      <c r="HZ142" s="352"/>
      <c r="IA142" s="352"/>
      <c r="IB142" s="352"/>
      <c r="IC142" s="352"/>
      <c r="ID142" s="352"/>
      <c r="IE142" s="352"/>
      <c r="IF142" s="352"/>
      <c r="IG142" s="352"/>
      <c r="IH142" s="352"/>
      <c r="II142" s="352"/>
      <c r="IJ142" s="352"/>
      <c r="IK142" s="352"/>
      <c r="IL142" s="352"/>
      <c r="IM142" s="352"/>
      <c r="IN142" s="352"/>
      <c r="IO142" s="352"/>
      <c r="IP142" s="352"/>
      <c r="IQ142" s="352"/>
      <c r="IR142" s="352"/>
      <c r="IS142" s="352"/>
      <c r="IT142" s="352"/>
      <c r="IU142" s="352"/>
      <c r="IV142" s="352"/>
    </row>
    <row r="143" spans="1:256">
      <c r="A143" s="377"/>
      <c r="B143" s="378"/>
      <c r="C143" s="379"/>
      <c r="D143" s="380"/>
      <c r="E143" s="381"/>
      <c r="F143" s="345"/>
      <c r="G143" s="345"/>
      <c r="H143" s="345"/>
      <c r="I143" s="345"/>
      <c r="J143" s="345"/>
      <c r="K143" s="345"/>
      <c r="L143" s="345"/>
      <c r="M143" s="382"/>
      <c r="N143" s="346"/>
      <c r="O143" s="347"/>
      <c r="AH143" s="352"/>
      <c r="AI143" s="352"/>
      <c r="AJ143" s="352"/>
      <c r="AK143" s="352"/>
      <c r="AL143" s="352"/>
      <c r="AM143" s="352"/>
      <c r="AN143" s="352"/>
      <c r="AO143" s="352"/>
      <c r="AP143" s="352"/>
      <c r="AQ143" s="352"/>
      <c r="AR143" s="352"/>
      <c r="AS143" s="352"/>
      <c r="AT143" s="352"/>
      <c r="AU143" s="352"/>
      <c r="AV143" s="352"/>
      <c r="AW143" s="352"/>
      <c r="AX143" s="352"/>
      <c r="AY143" s="352"/>
      <c r="AZ143" s="352"/>
      <c r="BA143" s="352"/>
      <c r="BB143" s="352"/>
      <c r="BC143" s="352"/>
      <c r="BD143" s="352"/>
      <c r="BE143" s="352"/>
      <c r="BF143" s="352"/>
      <c r="BG143" s="352"/>
      <c r="BH143" s="352"/>
      <c r="BI143" s="352"/>
      <c r="BJ143" s="352"/>
      <c r="BK143" s="352"/>
      <c r="BL143" s="352"/>
      <c r="BM143" s="352"/>
      <c r="BN143" s="352"/>
      <c r="BO143" s="352"/>
      <c r="BP143" s="352"/>
      <c r="BQ143" s="352"/>
      <c r="BR143" s="352"/>
      <c r="BS143" s="352"/>
      <c r="BT143" s="352"/>
      <c r="BU143" s="352"/>
      <c r="BV143" s="352"/>
      <c r="BW143" s="352"/>
      <c r="BX143" s="352"/>
      <c r="BY143" s="352"/>
      <c r="BZ143" s="352"/>
      <c r="CA143" s="352"/>
      <c r="CB143" s="352"/>
      <c r="CC143" s="352"/>
      <c r="CD143" s="352"/>
      <c r="CE143" s="352"/>
      <c r="CF143" s="352"/>
      <c r="CG143" s="352"/>
      <c r="CH143" s="352"/>
      <c r="CI143" s="352"/>
      <c r="CJ143" s="352"/>
      <c r="CK143" s="352"/>
      <c r="CL143" s="352"/>
      <c r="CM143" s="352"/>
      <c r="CN143" s="352"/>
      <c r="CO143" s="352"/>
      <c r="CP143" s="352"/>
      <c r="CQ143" s="352"/>
      <c r="CR143" s="352"/>
      <c r="CS143" s="352"/>
      <c r="CT143" s="352"/>
      <c r="CU143" s="352"/>
      <c r="CV143" s="352"/>
      <c r="CW143" s="352"/>
      <c r="CX143" s="352"/>
      <c r="CY143" s="352"/>
      <c r="CZ143" s="352"/>
      <c r="DA143" s="352"/>
      <c r="DB143" s="352"/>
      <c r="DC143" s="352"/>
      <c r="DD143" s="352"/>
      <c r="DE143" s="352"/>
      <c r="DF143" s="352"/>
      <c r="DG143" s="352"/>
      <c r="DH143" s="352"/>
      <c r="DI143" s="352"/>
      <c r="DJ143" s="352"/>
      <c r="DK143" s="352"/>
      <c r="DL143" s="352"/>
      <c r="DM143" s="352"/>
      <c r="DN143" s="352"/>
      <c r="DO143" s="352"/>
      <c r="DP143" s="352"/>
      <c r="DQ143" s="352"/>
      <c r="DR143" s="352"/>
      <c r="DS143" s="352"/>
      <c r="DT143" s="352"/>
      <c r="DU143" s="352"/>
      <c r="DV143" s="352"/>
      <c r="DW143" s="352"/>
      <c r="DX143" s="352"/>
      <c r="DY143" s="352"/>
      <c r="DZ143" s="352"/>
      <c r="EA143" s="352"/>
      <c r="EB143" s="352"/>
      <c r="EC143" s="352"/>
      <c r="ED143" s="352"/>
      <c r="EE143" s="352"/>
      <c r="EF143" s="352"/>
      <c r="EG143" s="352"/>
      <c r="EH143" s="352"/>
      <c r="EI143" s="352"/>
      <c r="EJ143" s="352"/>
      <c r="EK143" s="352"/>
      <c r="EL143" s="352"/>
      <c r="EM143" s="352"/>
      <c r="EN143" s="352"/>
      <c r="EO143" s="352"/>
      <c r="EP143" s="352"/>
      <c r="EQ143" s="352"/>
      <c r="ER143" s="352"/>
      <c r="ES143" s="352"/>
      <c r="ET143" s="352"/>
      <c r="EU143" s="352"/>
      <c r="EV143" s="352"/>
      <c r="EW143" s="352"/>
      <c r="EX143" s="352"/>
      <c r="EY143" s="352"/>
      <c r="EZ143" s="352"/>
      <c r="FA143" s="352"/>
      <c r="FB143" s="352"/>
      <c r="FC143" s="352"/>
      <c r="FD143" s="352"/>
      <c r="FE143" s="352"/>
      <c r="FF143" s="352"/>
      <c r="FG143" s="352"/>
      <c r="FH143" s="352"/>
      <c r="FI143" s="352"/>
      <c r="FJ143" s="352"/>
      <c r="FK143" s="352"/>
      <c r="FL143" s="352"/>
      <c r="FM143" s="352"/>
      <c r="FN143" s="352"/>
      <c r="FO143" s="352"/>
      <c r="FP143" s="352"/>
      <c r="FQ143" s="352"/>
      <c r="FR143" s="352"/>
      <c r="FS143" s="352"/>
      <c r="FT143" s="352"/>
      <c r="FU143" s="352"/>
      <c r="FV143" s="352"/>
      <c r="FW143" s="352"/>
      <c r="FX143" s="352"/>
      <c r="FY143" s="352"/>
      <c r="FZ143" s="352"/>
      <c r="GA143" s="352"/>
      <c r="GB143" s="352"/>
      <c r="GC143" s="352"/>
      <c r="GD143" s="352"/>
      <c r="GE143" s="352"/>
      <c r="GF143" s="352"/>
      <c r="GG143" s="352"/>
      <c r="GH143" s="352"/>
      <c r="GI143" s="352"/>
      <c r="GJ143" s="352"/>
      <c r="GK143" s="352"/>
      <c r="GL143" s="352"/>
      <c r="GM143" s="352"/>
      <c r="GN143" s="352"/>
      <c r="GO143" s="352"/>
      <c r="GP143" s="352"/>
      <c r="GQ143" s="352"/>
      <c r="GR143" s="352"/>
      <c r="GS143" s="352"/>
      <c r="GT143" s="352"/>
      <c r="GU143" s="352"/>
      <c r="GV143" s="352"/>
      <c r="GW143" s="352"/>
      <c r="GX143" s="352"/>
      <c r="GY143" s="352"/>
      <c r="GZ143" s="352"/>
      <c r="HA143" s="352"/>
      <c r="HB143" s="352"/>
      <c r="HC143" s="352"/>
      <c r="HD143" s="352"/>
      <c r="HE143" s="352"/>
      <c r="HF143" s="352"/>
      <c r="HG143" s="352"/>
      <c r="HH143" s="352"/>
      <c r="HI143" s="352"/>
      <c r="HJ143" s="352"/>
      <c r="HK143" s="352"/>
      <c r="HL143" s="352"/>
      <c r="HM143" s="352"/>
      <c r="HN143" s="352"/>
      <c r="HO143" s="352"/>
      <c r="HP143" s="352"/>
      <c r="HQ143" s="352"/>
      <c r="HR143" s="352"/>
      <c r="HS143" s="352"/>
      <c r="HT143" s="352"/>
      <c r="HU143" s="352"/>
      <c r="HV143" s="352"/>
      <c r="HW143" s="352"/>
      <c r="HX143" s="352"/>
      <c r="HY143" s="352"/>
      <c r="HZ143" s="352"/>
      <c r="IA143" s="352"/>
      <c r="IB143" s="352"/>
      <c r="IC143" s="352"/>
      <c r="ID143" s="352"/>
      <c r="IE143" s="352"/>
      <c r="IF143" s="352"/>
      <c r="IG143" s="352"/>
      <c r="IH143" s="352"/>
      <c r="II143" s="352"/>
      <c r="IJ143" s="352"/>
      <c r="IK143" s="352"/>
      <c r="IL143" s="352"/>
      <c r="IM143" s="352"/>
      <c r="IN143" s="352"/>
      <c r="IO143" s="352"/>
      <c r="IP143" s="352"/>
      <c r="IQ143" s="352"/>
      <c r="IR143" s="352"/>
      <c r="IS143" s="352"/>
      <c r="IT143" s="352"/>
      <c r="IU143" s="352"/>
      <c r="IV143" s="352"/>
    </row>
    <row r="144" spans="1:256">
      <c r="A144" s="377"/>
      <c r="B144" s="378"/>
      <c r="C144" s="379"/>
      <c r="D144" s="380"/>
      <c r="E144" s="381"/>
      <c r="F144" s="345"/>
      <c r="G144" s="345"/>
      <c r="H144" s="345"/>
      <c r="I144" s="345"/>
      <c r="J144" s="345"/>
      <c r="K144" s="345"/>
      <c r="L144" s="345"/>
      <c r="M144" s="382"/>
      <c r="N144" s="346"/>
      <c r="O144" s="347"/>
      <c r="AH144" s="352"/>
      <c r="AI144" s="352"/>
      <c r="AJ144" s="352"/>
      <c r="AK144" s="352"/>
      <c r="AL144" s="352"/>
      <c r="AM144" s="352"/>
      <c r="AN144" s="352"/>
      <c r="AO144" s="352"/>
      <c r="AP144" s="352"/>
      <c r="AQ144" s="352"/>
      <c r="AR144" s="352"/>
      <c r="AS144" s="352"/>
      <c r="AT144" s="352"/>
      <c r="AU144" s="352"/>
      <c r="AV144" s="352"/>
      <c r="AW144" s="352"/>
      <c r="AX144" s="352"/>
      <c r="AY144" s="352"/>
      <c r="AZ144" s="352"/>
      <c r="BA144" s="352"/>
      <c r="BB144" s="352"/>
      <c r="BC144" s="352"/>
      <c r="BD144" s="352"/>
      <c r="BE144" s="352"/>
      <c r="BF144" s="352"/>
      <c r="BG144" s="352"/>
      <c r="BH144" s="352"/>
      <c r="BI144" s="352"/>
      <c r="BJ144" s="352"/>
      <c r="BK144" s="352"/>
      <c r="BL144" s="352"/>
      <c r="BM144" s="352"/>
      <c r="BN144" s="352"/>
      <c r="BO144" s="352"/>
      <c r="BP144" s="352"/>
      <c r="BQ144" s="352"/>
      <c r="BR144" s="352"/>
      <c r="BS144" s="352"/>
      <c r="BT144" s="352"/>
      <c r="BU144" s="352"/>
      <c r="BV144" s="352"/>
      <c r="BW144" s="352"/>
      <c r="BX144" s="352"/>
      <c r="BY144" s="352"/>
      <c r="BZ144" s="352"/>
      <c r="CA144" s="352"/>
      <c r="CB144" s="352"/>
      <c r="CC144" s="352"/>
      <c r="CD144" s="352"/>
      <c r="CE144" s="352"/>
      <c r="CF144" s="352"/>
      <c r="CG144" s="352"/>
      <c r="CH144" s="352"/>
      <c r="CI144" s="352"/>
      <c r="CJ144" s="352"/>
      <c r="CK144" s="352"/>
      <c r="CL144" s="352"/>
      <c r="CM144" s="352"/>
      <c r="CN144" s="352"/>
      <c r="CO144" s="352"/>
      <c r="CP144" s="352"/>
      <c r="CQ144" s="352"/>
      <c r="CR144" s="352"/>
      <c r="CS144" s="352"/>
      <c r="CT144" s="352"/>
      <c r="CU144" s="352"/>
      <c r="CV144" s="352"/>
      <c r="CW144" s="352"/>
      <c r="CX144" s="352"/>
      <c r="CY144" s="352"/>
      <c r="CZ144" s="352"/>
      <c r="DA144" s="352"/>
      <c r="DB144" s="352"/>
      <c r="DC144" s="352"/>
      <c r="DD144" s="352"/>
      <c r="DE144" s="352"/>
      <c r="DF144" s="352"/>
      <c r="DG144" s="352"/>
      <c r="DH144" s="352"/>
      <c r="DI144" s="352"/>
      <c r="DJ144" s="352"/>
      <c r="DK144" s="352"/>
      <c r="DL144" s="352"/>
      <c r="DM144" s="352"/>
      <c r="DN144" s="352"/>
      <c r="DO144" s="352"/>
      <c r="DP144" s="352"/>
      <c r="DQ144" s="352"/>
      <c r="DR144" s="352"/>
      <c r="DS144" s="352"/>
      <c r="DT144" s="352"/>
      <c r="DU144" s="352"/>
      <c r="DV144" s="352"/>
      <c r="DW144" s="352"/>
      <c r="DX144" s="352"/>
      <c r="DY144" s="352"/>
      <c r="DZ144" s="352"/>
      <c r="EA144" s="352"/>
      <c r="EB144" s="352"/>
      <c r="EC144" s="352"/>
      <c r="ED144" s="352"/>
      <c r="EE144" s="352"/>
      <c r="EF144" s="352"/>
      <c r="EG144" s="352"/>
      <c r="EH144" s="352"/>
      <c r="EI144" s="352"/>
      <c r="EJ144" s="352"/>
      <c r="EK144" s="352"/>
      <c r="EL144" s="352"/>
      <c r="EM144" s="352"/>
      <c r="EN144" s="352"/>
      <c r="EO144" s="352"/>
      <c r="EP144" s="352"/>
      <c r="EQ144" s="352"/>
      <c r="ER144" s="352"/>
      <c r="ES144" s="352"/>
      <c r="ET144" s="352"/>
      <c r="EU144" s="352"/>
      <c r="EV144" s="352"/>
      <c r="EW144" s="352"/>
      <c r="EX144" s="352"/>
      <c r="EY144" s="352"/>
      <c r="EZ144" s="352"/>
      <c r="FA144" s="352"/>
      <c r="FB144" s="352"/>
      <c r="FC144" s="352"/>
      <c r="FD144" s="352"/>
      <c r="FE144" s="352"/>
      <c r="FF144" s="352"/>
      <c r="FG144" s="352"/>
      <c r="FH144" s="352"/>
      <c r="FI144" s="352"/>
      <c r="FJ144" s="352"/>
      <c r="FK144" s="352"/>
      <c r="FL144" s="352"/>
      <c r="FM144" s="352"/>
      <c r="FN144" s="352"/>
      <c r="FO144" s="352"/>
      <c r="FP144" s="352"/>
      <c r="FQ144" s="352"/>
      <c r="FR144" s="352"/>
      <c r="FS144" s="352"/>
      <c r="FT144" s="352"/>
      <c r="FU144" s="352"/>
      <c r="FV144" s="352"/>
      <c r="FW144" s="352"/>
      <c r="FX144" s="352"/>
      <c r="FY144" s="352"/>
      <c r="FZ144" s="352"/>
      <c r="GA144" s="352"/>
      <c r="GB144" s="352"/>
      <c r="GC144" s="352"/>
      <c r="GD144" s="352"/>
      <c r="GE144" s="352"/>
      <c r="GF144" s="352"/>
      <c r="GG144" s="352"/>
      <c r="GH144" s="352"/>
      <c r="GI144" s="352"/>
      <c r="GJ144" s="352"/>
      <c r="GK144" s="352"/>
      <c r="GL144" s="352"/>
      <c r="GM144" s="352"/>
      <c r="GN144" s="352"/>
      <c r="GO144" s="352"/>
      <c r="GP144" s="352"/>
      <c r="GQ144" s="352"/>
      <c r="GR144" s="352"/>
      <c r="GS144" s="352"/>
      <c r="GT144" s="352"/>
      <c r="GU144" s="352"/>
      <c r="GV144" s="352"/>
      <c r="GW144" s="352"/>
      <c r="GX144" s="352"/>
      <c r="GY144" s="352"/>
      <c r="GZ144" s="352"/>
      <c r="HA144" s="352"/>
      <c r="HB144" s="352"/>
      <c r="HC144" s="352"/>
      <c r="HD144" s="352"/>
      <c r="HE144" s="352"/>
      <c r="HF144" s="352"/>
      <c r="HG144" s="352"/>
      <c r="HH144" s="352"/>
      <c r="HI144" s="352"/>
      <c r="HJ144" s="352"/>
      <c r="HK144" s="352"/>
      <c r="HL144" s="352"/>
      <c r="HM144" s="352"/>
      <c r="HN144" s="352"/>
      <c r="HO144" s="352"/>
      <c r="HP144" s="352"/>
      <c r="HQ144" s="352"/>
      <c r="HR144" s="352"/>
      <c r="HS144" s="352"/>
      <c r="HT144" s="352"/>
      <c r="HU144" s="352"/>
      <c r="HV144" s="352"/>
      <c r="HW144" s="352"/>
      <c r="HX144" s="352"/>
      <c r="HY144" s="352"/>
      <c r="HZ144" s="352"/>
      <c r="IA144" s="352"/>
      <c r="IB144" s="352"/>
      <c r="IC144" s="352"/>
      <c r="ID144" s="352"/>
      <c r="IE144" s="352"/>
      <c r="IF144" s="352"/>
      <c r="IG144" s="352"/>
      <c r="IH144" s="352"/>
      <c r="II144" s="352"/>
      <c r="IJ144" s="352"/>
      <c r="IK144" s="352"/>
      <c r="IL144" s="352"/>
      <c r="IM144" s="352"/>
      <c r="IN144" s="352"/>
      <c r="IO144" s="352"/>
      <c r="IP144" s="352"/>
      <c r="IQ144" s="352"/>
      <c r="IR144" s="352"/>
      <c r="IS144" s="352"/>
      <c r="IT144" s="352"/>
      <c r="IU144" s="352"/>
      <c r="IV144" s="352"/>
    </row>
    <row r="145" spans="1:256">
      <c r="A145" s="377"/>
      <c r="B145" s="378"/>
      <c r="C145" s="379"/>
      <c r="D145" s="380"/>
      <c r="E145" s="381"/>
      <c r="F145" s="345"/>
      <c r="G145" s="345"/>
      <c r="H145" s="345"/>
      <c r="I145" s="345"/>
      <c r="J145" s="345"/>
      <c r="K145" s="345"/>
      <c r="L145" s="345"/>
      <c r="M145" s="382"/>
      <c r="N145" s="346"/>
      <c r="O145" s="347"/>
      <c r="AH145" s="352"/>
      <c r="AI145" s="352"/>
      <c r="AJ145" s="352"/>
      <c r="AK145" s="352"/>
      <c r="AL145" s="352"/>
      <c r="AM145" s="352"/>
      <c r="AN145" s="352"/>
      <c r="AO145" s="352"/>
      <c r="AP145" s="352"/>
      <c r="AQ145" s="352"/>
      <c r="AR145" s="352"/>
      <c r="AS145" s="352"/>
      <c r="AT145" s="352"/>
      <c r="AU145" s="352"/>
      <c r="AV145" s="352"/>
      <c r="AW145" s="352"/>
      <c r="AX145" s="352"/>
      <c r="AY145" s="352"/>
      <c r="AZ145" s="352"/>
      <c r="BA145" s="352"/>
      <c r="BB145" s="352"/>
      <c r="BC145" s="352"/>
      <c r="BD145" s="352"/>
      <c r="BE145" s="352"/>
      <c r="BF145" s="352"/>
      <c r="BG145" s="352"/>
      <c r="BH145" s="352"/>
      <c r="BI145" s="352"/>
      <c r="BJ145" s="352"/>
      <c r="BK145" s="352"/>
      <c r="BL145" s="352"/>
      <c r="BM145" s="352"/>
      <c r="BN145" s="352"/>
      <c r="BO145" s="352"/>
      <c r="BP145" s="352"/>
      <c r="BQ145" s="352"/>
      <c r="BR145" s="352"/>
      <c r="BS145" s="352"/>
      <c r="BT145" s="352"/>
      <c r="BU145" s="352"/>
      <c r="BV145" s="352"/>
      <c r="BW145" s="352"/>
      <c r="BX145" s="352"/>
      <c r="BY145" s="352"/>
      <c r="BZ145" s="352"/>
      <c r="CA145" s="352"/>
      <c r="CB145" s="352"/>
      <c r="CC145" s="352"/>
      <c r="CD145" s="352"/>
      <c r="CE145" s="352"/>
      <c r="CF145" s="352"/>
      <c r="CG145" s="352"/>
      <c r="CH145" s="352"/>
      <c r="CI145" s="352"/>
      <c r="CJ145" s="352"/>
      <c r="CK145" s="352"/>
      <c r="CL145" s="352"/>
      <c r="CM145" s="352"/>
      <c r="CN145" s="352"/>
      <c r="CO145" s="352"/>
      <c r="CP145" s="352"/>
      <c r="CQ145" s="352"/>
      <c r="CR145" s="352"/>
      <c r="CS145" s="352"/>
      <c r="CT145" s="352"/>
      <c r="CU145" s="352"/>
      <c r="CV145" s="352"/>
      <c r="CW145" s="352"/>
      <c r="CX145" s="352"/>
      <c r="CY145" s="352"/>
      <c r="CZ145" s="352"/>
      <c r="DA145" s="352"/>
      <c r="DB145" s="352"/>
      <c r="DC145" s="352"/>
      <c r="DD145" s="352"/>
      <c r="DE145" s="352"/>
      <c r="DF145" s="352"/>
      <c r="DG145" s="352"/>
      <c r="DH145" s="352"/>
      <c r="DI145" s="352"/>
      <c r="DJ145" s="352"/>
      <c r="DK145" s="352"/>
      <c r="DL145" s="352"/>
      <c r="DM145" s="352"/>
      <c r="DN145" s="352"/>
      <c r="DO145" s="352"/>
      <c r="DP145" s="352"/>
      <c r="DQ145" s="352"/>
      <c r="DR145" s="352"/>
      <c r="DS145" s="352"/>
      <c r="DT145" s="352"/>
      <c r="DU145" s="352"/>
      <c r="DV145" s="352"/>
      <c r="DW145" s="352"/>
      <c r="DX145" s="352"/>
      <c r="DY145" s="352"/>
      <c r="DZ145" s="352"/>
      <c r="EA145" s="352"/>
      <c r="EB145" s="352"/>
      <c r="EC145" s="352"/>
      <c r="ED145" s="352"/>
      <c r="EE145" s="352"/>
      <c r="EF145" s="352"/>
      <c r="EG145" s="352"/>
      <c r="EH145" s="352"/>
      <c r="EI145" s="352"/>
      <c r="EJ145" s="352"/>
      <c r="EK145" s="352"/>
      <c r="EL145" s="352"/>
      <c r="EM145" s="352"/>
      <c r="EN145" s="352"/>
      <c r="EO145" s="352"/>
      <c r="EP145" s="352"/>
      <c r="EQ145" s="352"/>
      <c r="ER145" s="352"/>
      <c r="ES145" s="352"/>
      <c r="ET145" s="352"/>
      <c r="EU145" s="352"/>
      <c r="EV145" s="352"/>
      <c r="EW145" s="352"/>
      <c r="EX145" s="352"/>
      <c r="EY145" s="352"/>
      <c r="EZ145" s="352"/>
      <c r="FA145" s="352"/>
      <c r="FB145" s="352"/>
      <c r="FC145" s="352"/>
      <c r="FD145" s="352"/>
      <c r="FE145" s="352"/>
      <c r="FF145" s="352"/>
      <c r="FG145" s="352"/>
      <c r="FH145" s="352"/>
      <c r="FI145" s="352"/>
      <c r="FJ145" s="352"/>
      <c r="FK145" s="352"/>
      <c r="FL145" s="352"/>
      <c r="FM145" s="352"/>
      <c r="FN145" s="352"/>
      <c r="FO145" s="352"/>
      <c r="FP145" s="352"/>
      <c r="FQ145" s="352"/>
      <c r="FR145" s="352"/>
      <c r="FS145" s="352"/>
      <c r="FT145" s="352"/>
      <c r="FU145" s="352"/>
      <c r="FV145" s="352"/>
      <c r="FW145" s="352"/>
      <c r="FX145" s="352"/>
      <c r="FY145" s="352"/>
      <c r="FZ145" s="352"/>
      <c r="GA145" s="352"/>
      <c r="GB145" s="352"/>
      <c r="GC145" s="352"/>
      <c r="GD145" s="352"/>
      <c r="GE145" s="352"/>
      <c r="GF145" s="352"/>
      <c r="GG145" s="352"/>
      <c r="GH145" s="352"/>
      <c r="GI145" s="352"/>
      <c r="GJ145" s="352"/>
      <c r="GK145" s="352"/>
      <c r="GL145" s="352"/>
      <c r="GM145" s="352"/>
      <c r="GN145" s="352"/>
      <c r="GO145" s="352"/>
      <c r="GP145" s="352"/>
      <c r="GQ145" s="352"/>
      <c r="GR145" s="352"/>
      <c r="GS145" s="352"/>
      <c r="GT145" s="352"/>
      <c r="GU145" s="352"/>
      <c r="GV145" s="352"/>
      <c r="GW145" s="352"/>
      <c r="GX145" s="352"/>
      <c r="GY145" s="352"/>
      <c r="GZ145" s="352"/>
      <c r="HA145" s="352"/>
      <c r="HB145" s="352"/>
      <c r="HC145" s="352"/>
      <c r="HD145" s="352"/>
      <c r="HE145" s="352"/>
      <c r="HF145" s="352"/>
      <c r="HG145" s="352"/>
      <c r="HH145" s="352"/>
      <c r="HI145" s="352"/>
      <c r="HJ145" s="352"/>
      <c r="HK145" s="352"/>
      <c r="HL145" s="352"/>
      <c r="HM145" s="352"/>
      <c r="HN145" s="352"/>
      <c r="HO145" s="352"/>
      <c r="HP145" s="352"/>
      <c r="HQ145" s="352"/>
      <c r="HR145" s="352"/>
      <c r="HS145" s="352"/>
      <c r="HT145" s="352"/>
      <c r="HU145" s="352"/>
      <c r="HV145" s="352"/>
      <c r="HW145" s="352"/>
      <c r="HX145" s="352"/>
      <c r="HY145" s="352"/>
      <c r="HZ145" s="352"/>
      <c r="IA145" s="352"/>
      <c r="IB145" s="352"/>
      <c r="IC145" s="352"/>
      <c r="ID145" s="352"/>
      <c r="IE145" s="352"/>
      <c r="IF145" s="352"/>
      <c r="IG145" s="352"/>
      <c r="IH145" s="352"/>
      <c r="II145" s="352"/>
      <c r="IJ145" s="352"/>
      <c r="IK145" s="352"/>
      <c r="IL145" s="352"/>
      <c r="IM145" s="352"/>
      <c r="IN145" s="352"/>
      <c r="IO145" s="352"/>
      <c r="IP145" s="352"/>
      <c r="IQ145" s="352"/>
      <c r="IR145" s="352"/>
      <c r="IS145" s="352"/>
      <c r="IT145" s="352"/>
      <c r="IU145" s="352"/>
      <c r="IV145" s="352"/>
    </row>
    <row r="146" spans="1:256">
      <c r="A146" s="377"/>
      <c r="B146" s="378"/>
      <c r="C146" s="379"/>
      <c r="D146" s="380"/>
      <c r="E146" s="381"/>
      <c r="F146" s="345"/>
      <c r="G146" s="345"/>
      <c r="H146" s="345"/>
      <c r="I146" s="345"/>
      <c r="J146" s="345"/>
      <c r="K146" s="345"/>
      <c r="L146" s="345"/>
      <c r="M146" s="382"/>
      <c r="N146" s="346"/>
      <c r="O146" s="347"/>
      <c r="AH146" s="352"/>
      <c r="AI146" s="352"/>
      <c r="AJ146" s="352"/>
      <c r="AK146" s="352"/>
      <c r="AL146" s="352"/>
      <c r="AM146" s="352"/>
      <c r="AN146" s="352"/>
      <c r="AO146" s="352"/>
      <c r="AP146" s="352"/>
      <c r="AQ146" s="352"/>
      <c r="AR146" s="352"/>
      <c r="AS146" s="352"/>
      <c r="AT146" s="352"/>
      <c r="AU146" s="352"/>
      <c r="AV146" s="352"/>
      <c r="AW146" s="352"/>
      <c r="AX146" s="352"/>
      <c r="AY146" s="352"/>
      <c r="AZ146" s="352"/>
      <c r="BA146" s="352"/>
      <c r="BB146" s="352"/>
      <c r="BC146" s="352"/>
      <c r="BD146" s="352"/>
      <c r="BE146" s="352"/>
      <c r="BF146" s="352"/>
      <c r="BG146" s="352"/>
      <c r="BH146" s="352"/>
      <c r="BI146" s="352"/>
      <c r="BJ146" s="352"/>
      <c r="BK146" s="352"/>
      <c r="BL146" s="352"/>
      <c r="BM146" s="352"/>
      <c r="BN146" s="352"/>
      <c r="BO146" s="352"/>
      <c r="BP146" s="352"/>
      <c r="BQ146" s="352"/>
      <c r="BR146" s="352"/>
      <c r="BS146" s="352"/>
      <c r="BT146" s="352"/>
      <c r="BU146" s="352"/>
      <c r="BV146" s="352"/>
      <c r="BW146" s="352"/>
      <c r="BX146" s="352"/>
      <c r="BY146" s="352"/>
      <c r="BZ146" s="352"/>
      <c r="CA146" s="352"/>
      <c r="CB146" s="352"/>
      <c r="CC146" s="352"/>
      <c r="CD146" s="352"/>
      <c r="CE146" s="352"/>
      <c r="CF146" s="352"/>
      <c r="CG146" s="352"/>
      <c r="CH146" s="352"/>
      <c r="CI146" s="352"/>
      <c r="CJ146" s="352"/>
      <c r="CK146" s="352"/>
      <c r="CL146" s="352"/>
      <c r="CM146" s="352"/>
      <c r="CN146" s="352"/>
      <c r="CO146" s="352"/>
      <c r="CP146" s="352"/>
      <c r="CQ146" s="352"/>
      <c r="CR146" s="352"/>
      <c r="CS146" s="352"/>
      <c r="CT146" s="352"/>
      <c r="CU146" s="352"/>
      <c r="CV146" s="352"/>
      <c r="CW146" s="352"/>
      <c r="CX146" s="352"/>
      <c r="CY146" s="352"/>
      <c r="CZ146" s="352"/>
      <c r="DA146" s="352"/>
      <c r="DB146" s="352"/>
      <c r="DC146" s="352"/>
      <c r="DD146" s="352"/>
      <c r="DE146" s="352"/>
      <c r="DF146" s="352"/>
      <c r="DG146" s="352"/>
      <c r="DH146" s="352"/>
      <c r="DI146" s="352"/>
      <c r="DJ146" s="352"/>
      <c r="DK146" s="352"/>
      <c r="DL146" s="352"/>
      <c r="DM146" s="352"/>
      <c r="DN146" s="352"/>
      <c r="DO146" s="352"/>
      <c r="DP146" s="352"/>
      <c r="DQ146" s="352"/>
      <c r="DR146" s="352"/>
      <c r="DS146" s="352"/>
      <c r="DT146" s="352"/>
      <c r="DU146" s="352"/>
      <c r="DV146" s="352"/>
      <c r="DW146" s="352"/>
      <c r="DX146" s="352"/>
      <c r="DY146" s="352"/>
      <c r="DZ146" s="352"/>
      <c r="EA146" s="352"/>
      <c r="EB146" s="352"/>
      <c r="EC146" s="352"/>
      <c r="ED146" s="352"/>
      <c r="EE146" s="352"/>
      <c r="EF146" s="352"/>
      <c r="EG146" s="352"/>
      <c r="EH146" s="352"/>
      <c r="EI146" s="352"/>
      <c r="EJ146" s="352"/>
      <c r="EK146" s="352"/>
      <c r="EL146" s="352"/>
      <c r="EM146" s="352"/>
      <c r="EN146" s="352"/>
      <c r="EO146" s="352"/>
      <c r="EP146" s="352"/>
      <c r="EQ146" s="352"/>
      <c r="ER146" s="352"/>
      <c r="ES146" s="352"/>
      <c r="ET146" s="352"/>
      <c r="EU146" s="352"/>
      <c r="EV146" s="352"/>
      <c r="EW146" s="352"/>
      <c r="EX146" s="352"/>
      <c r="EY146" s="352"/>
      <c r="EZ146" s="352"/>
      <c r="FA146" s="352"/>
      <c r="FB146" s="352"/>
      <c r="FC146" s="352"/>
      <c r="FD146" s="352"/>
      <c r="FE146" s="352"/>
      <c r="FF146" s="352"/>
      <c r="FG146" s="352"/>
      <c r="FH146" s="352"/>
      <c r="FI146" s="352"/>
      <c r="FJ146" s="352"/>
      <c r="FK146" s="352"/>
      <c r="FL146" s="352"/>
      <c r="FM146" s="352"/>
      <c r="FN146" s="352"/>
      <c r="FO146" s="352"/>
      <c r="FP146" s="352"/>
      <c r="FQ146" s="352"/>
      <c r="FR146" s="352"/>
      <c r="FS146" s="352"/>
      <c r="FT146" s="352"/>
      <c r="FU146" s="352"/>
      <c r="FV146" s="352"/>
      <c r="FW146" s="352"/>
      <c r="FX146" s="352"/>
      <c r="FY146" s="352"/>
      <c r="FZ146" s="352"/>
      <c r="GA146" s="352"/>
      <c r="GB146" s="352"/>
      <c r="GC146" s="352"/>
      <c r="GD146" s="352"/>
      <c r="GE146" s="352"/>
      <c r="GF146" s="352"/>
      <c r="GG146" s="352"/>
      <c r="GH146" s="352"/>
      <c r="GI146" s="352"/>
      <c r="GJ146" s="352"/>
      <c r="GK146" s="352"/>
      <c r="GL146" s="352"/>
      <c r="GM146" s="352"/>
      <c r="GN146" s="352"/>
      <c r="GO146" s="352"/>
      <c r="GP146" s="352"/>
      <c r="GQ146" s="352"/>
      <c r="GR146" s="352"/>
      <c r="GS146" s="352"/>
      <c r="GT146" s="352"/>
      <c r="GU146" s="352"/>
      <c r="GV146" s="352"/>
      <c r="GW146" s="352"/>
      <c r="GX146" s="352"/>
      <c r="GY146" s="352"/>
      <c r="GZ146" s="352"/>
      <c r="HA146" s="352"/>
      <c r="HB146" s="352"/>
      <c r="HC146" s="352"/>
      <c r="HD146" s="352"/>
      <c r="HE146" s="352"/>
      <c r="HF146" s="352"/>
      <c r="HG146" s="352"/>
      <c r="HH146" s="352"/>
      <c r="HI146" s="352"/>
      <c r="HJ146" s="352"/>
      <c r="HK146" s="352"/>
      <c r="HL146" s="352"/>
      <c r="HM146" s="352"/>
      <c r="HN146" s="352"/>
      <c r="HO146" s="352"/>
      <c r="HP146" s="352"/>
      <c r="HQ146" s="352"/>
      <c r="HR146" s="352"/>
      <c r="HS146" s="352"/>
      <c r="HT146" s="352"/>
      <c r="HU146" s="352"/>
      <c r="HV146" s="352"/>
      <c r="HW146" s="352"/>
      <c r="HX146" s="352"/>
      <c r="HY146" s="352"/>
      <c r="HZ146" s="352"/>
      <c r="IA146" s="352"/>
      <c r="IB146" s="352"/>
      <c r="IC146" s="352"/>
      <c r="ID146" s="352"/>
      <c r="IE146" s="352"/>
      <c r="IF146" s="352"/>
      <c r="IG146" s="352"/>
      <c r="IH146" s="352"/>
      <c r="II146" s="352"/>
      <c r="IJ146" s="352"/>
      <c r="IK146" s="352"/>
      <c r="IL146" s="352"/>
      <c r="IM146" s="352"/>
      <c r="IN146" s="352"/>
      <c r="IO146" s="352"/>
      <c r="IP146" s="352"/>
      <c r="IQ146" s="352"/>
      <c r="IR146" s="352"/>
      <c r="IS146" s="352"/>
      <c r="IT146" s="352"/>
      <c r="IU146" s="352"/>
      <c r="IV146" s="352"/>
    </row>
    <row r="147" spans="1:256">
      <c r="A147" s="377"/>
      <c r="B147" s="378"/>
      <c r="C147" s="379"/>
      <c r="D147" s="380"/>
      <c r="E147" s="381"/>
      <c r="F147" s="345"/>
      <c r="G147" s="345"/>
      <c r="H147" s="345"/>
      <c r="I147" s="345"/>
      <c r="J147" s="345"/>
      <c r="K147" s="345"/>
      <c r="L147" s="345"/>
      <c r="M147" s="382"/>
      <c r="N147" s="346"/>
      <c r="O147" s="347"/>
      <c r="AH147" s="352"/>
      <c r="AI147" s="352"/>
      <c r="AJ147" s="352"/>
      <c r="AK147" s="352"/>
      <c r="AL147" s="352"/>
      <c r="AM147" s="352"/>
      <c r="AN147" s="352"/>
      <c r="AO147" s="352"/>
      <c r="AP147" s="352"/>
      <c r="AQ147" s="352"/>
      <c r="AR147" s="352"/>
      <c r="AS147" s="352"/>
      <c r="AT147" s="352"/>
      <c r="AU147" s="352"/>
      <c r="AV147" s="352"/>
      <c r="AW147" s="352"/>
      <c r="AX147" s="352"/>
      <c r="AY147" s="352"/>
      <c r="AZ147" s="352"/>
      <c r="BA147" s="352"/>
      <c r="BB147" s="352"/>
      <c r="BC147" s="352"/>
      <c r="BD147" s="352"/>
      <c r="BE147" s="352"/>
      <c r="BF147" s="352"/>
      <c r="BG147" s="352"/>
      <c r="BH147" s="352"/>
      <c r="BI147" s="352"/>
      <c r="BJ147" s="352"/>
      <c r="BK147" s="352"/>
      <c r="BL147" s="352"/>
      <c r="BM147" s="352"/>
      <c r="BN147" s="352"/>
      <c r="BO147" s="352"/>
      <c r="BP147" s="352"/>
      <c r="BQ147" s="352"/>
      <c r="BR147" s="352"/>
      <c r="BS147" s="352"/>
      <c r="BT147" s="352"/>
      <c r="BU147" s="352"/>
      <c r="BV147" s="352"/>
      <c r="BW147" s="352"/>
      <c r="BX147" s="352"/>
      <c r="BY147" s="352"/>
      <c r="BZ147" s="352"/>
      <c r="CA147" s="352"/>
      <c r="CB147" s="352"/>
      <c r="CC147" s="352"/>
      <c r="CD147" s="352"/>
      <c r="CE147" s="352"/>
      <c r="CF147" s="352"/>
      <c r="CG147" s="352"/>
      <c r="CH147" s="352"/>
      <c r="CI147" s="352"/>
      <c r="CJ147" s="352"/>
      <c r="CK147" s="352"/>
      <c r="CL147" s="352"/>
      <c r="CM147" s="352"/>
      <c r="CN147" s="352"/>
      <c r="CO147" s="352"/>
      <c r="CP147" s="352"/>
      <c r="CQ147" s="352"/>
      <c r="CR147" s="352"/>
      <c r="CS147" s="352"/>
      <c r="CT147" s="352"/>
      <c r="CU147" s="352"/>
      <c r="CV147" s="352"/>
      <c r="CW147" s="352"/>
      <c r="CX147" s="352"/>
      <c r="CY147" s="352"/>
      <c r="CZ147" s="352"/>
      <c r="DA147" s="352"/>
      <c r="DB147" s="352"/>
      <c r="DC147" s="352"/>
      <c r="DD147" s="352"/>
      <c r="DE147" s="352"/>
      <c r="DF147" s="352"/>
      <c r="DG147" s="352"/>
      <c r="DH147" s="352"/>
      <c r="DI147" s="352"/>
      <c r="DJ147" s="352"/>
      <c r="DK147" s="352"/>
      <c r="DL147" s="352"/>
      <c r="DM147" s="352"/>
      <c r="DN147" s="352"/>
      <c r="DO147" s="352"/>
      <c r="DP147" s="352"/>
      <c r="DQ147" s="352"/>
      <c r="DR147" s="352"/>
      <c r="DS147" s="352"/>
      <c r="DT147" s="352"/>
      <c r="DU147" s="352"/>
      <c r="DV147" s="352"/>
      <c r="DW147" s="352"/>
      <c r="DX147" s="352"/>
      <c r="DY147" s="352"/>
      <c r="DZ147" s="352"/>
      <c r="EA147" s="352"/>
      <c r="EB147" s="352"/>
      <c r="EC147" s="352"/>
      <c r="ED147" s="352"/>
      <c r="EE147" s="352"/>
      <c r="EF147" s="352"/>
      <c r="EG147" s="352"/>
      <c r="EH147" s="352"/>
      <c r="EI147" s="352"/>
      <c r="EJ147" s="352"/>
      <c r="EK147" s="352"/>
      <c r="EL147" s="352"/>
      <c r="EM147" s="352"/>
      <c r="EN147" s="352"/>
      <c r="EO147" s="352"/>
      <c r="EP147" s="352"/>
      <c r="EQ147" s="352"/>
      <c r="ER147" s="352"/>
      <c r="ES147" s="352"/>
      <c r="ET147" s="352"/>
      <c r="EU147" s="352"/>
      <c r="EV147" s="352"/>
      <c r="EW147" s="352"/>
      <c r="EX147" s="352"/>
      <c r="EY147" s="352"/>
      <c r="EZ147" s="352"/>
      <c r="FA147" s="352"/>
      <c r="FB147" s="352"/>
      <c r="FC147" s="352"/>
      <c r="FD147" s="352"/>
      <c r="FE147" s="352"/>
      <c r="FF147" s="352"/>
      <c r="FG147" s="352"/>
      <c r="FH147" s="352"/>
      <c r="FI147" s="352"/>
      <c r="FJ147" s="352"/>
      <c r="FK147" s="352"/>
      <c r="FL147" s="352"/>
      <c r="FM147" s="352"/>
      <c r="FN147" s="352"/>
      <c r="FO147" s="352"/>
      <c r="FP147" s="352"/>
      <c r="FQ147" s="352"/>
      <c r="FR147" s="352"/>
      <c r="FS147" s="352"/>
      <c r="FT147" s="352"/>
      <c r="FU147" s="352"/>
      <c r="FV147" s="352"/>
      <c r="FW147" s="352"/>
      <c r="FX147" s="352"/>
      <c r="FY147" s="352"/>
      <c r="FZ147" s="352"/>
      <c r="GA147" s="352"/>
      <c r="GB147" s="352"/>
      <c r="GC147" s="352"/>
      <c r="GD147" s="352"/>
      <c r="GE147" s="352"/>
      <c r="GF147" s="352"/>
      <c r="GG147" s="352"/>
      <c r="GH147" s="352"/>
      <c r="GI147" s="352"/>
      <c r="GJ147" s="352"/>
      <c r="GK147" s="352"/>
      <c r="GL147" s="352"/>
      <c r="GM147" s="352"/>
      <c r="GN147" s="352"/>
      <c r="GO147" s="352"/>
      <c r="GP147" s="352"/>
      <c r="GQ147" s="352"/>
      <c r="GR147" s="352"/>
      <c r="GS147" s="352"/>
      <c r="GT147" s="352"/>
      <c r="GU147" s="352"/>
      <c r="GV147" s="352"/>
      <c r="GW147" s="352"/>
      <c r="GX147" s="352"/>
      <c r="GY147" s="352"/>
      <c r="GZ147" s="352"/>
      <c r="HA147" s="352"/>
      <c r="HB147" s="352"/>
      <c r="HC147" s="352"/>
      <c r="HD147" s="352"/>
      <c r="HE147" s="352"/>
      <c r="HF147" s="352"/>
      <c r="HG147" s="352"/>
      <c r="HH147" s="352"/>
      <c r="HI147" s="352"/>
      <c r="HJ147" s="352"/>
      <c r="HK147" s="352"/>
      <c r="HL147" s="352"/>
      <c r="HM147" s="352"/>
      <c r="HN147" s="352"/>
      <c r="HO147" s="352"/>
      <c r="HP147" s="352"/>
      <c r="HQ147" s="352"/>
      <c r="HR147" s="352"/>
      <c r="HS147" s="352"/>
      <c r="HT147" s="352"/>
      <c r="HU147" s="352"/>
      <c r="HV147" s="352"/>
      <c r="HW147" s="352"/>
      <c r="HX147" s="352"/>
      <c r="HY147" s="352"/>
      <c r="HZ147" s="352"/>
      <c r="IA147" s="352"/>
      <c r="IB147" s="352"/>
      <c r="IC147" s="352"/>
      <c r="ID147" s="352"/>
      <c r="IE147" s="352"/>
      <c r="IF147" s="352"/>
      <c r="IG147" s="352"/>
      <c r="IH147" s="352"/>
      <c r="II147" s="352"/>
      <c r="IJ147" s="352"/>
      <c r="IK147" s="352"/>
      <c r="IL147" s="352"/>
      <c r="IM147" s="352"/>
      <c r="IN147" s="352"/>
      <c r="IO147" s="352"/>
      <c r="IP147" s="352"/>
      <c r="IQ147" s="352"/>
      <c r="IR147" s="352"/>
      <c r="IS147" s="352"/>
      <c r="IT147" s="352"/>
      <c r="IU147" s="352"/>
      <c r="IV147" s="352"/>
    </row>
    <row r="148" spans="1:256">
      <c r="A148" s="377"/>
      <c r="B148" s="378"/>
      <c r="C148" s="379"/>
      <c r="D148" s="380"/>
      <c r="E148" s="381"/>
      <c r="F148" s="345"/>
      <c r="G148" s="345"/>
      <c r="H148" s="345"/>
      <c r="I148" s="345"/>
      <c r="J148" s="345"/>
      <c r="K148" s="345"/>
      <c r="L148" s="345"/>
      <c r="M148" s="382"/>
      <c r="N148" s="346"/>
      <c r="O148" s="347"/>
      <c r="AH148" s="352"/>
      <c r="AI148" s="352"/>
      <c r="AJ148" s="352"/>
      <c r="AK148" s="352"/>
      <c r="AL148" s="352"/>
      <c r="AM148" s="352"/>
      <c r="AN148" s="352"/>
      <c r="AO148" s="352"/>
      <c r="AP148" s="352"/>
      <c r="AQ148" s="352"/>
      <c r="AR148" s="352"/>
      <c r="AS148" s="352"/>
      <c r="AT148" s="352"/>
      <c r="AU148" s="352"/>
      <c r="AV148" s="352"/>
      <c r="AW148" s="352"/>
      <c r="AX148" s="352"/>
      <c r="AY148" s="352"/>
      <c r="AZ148" s="352"/>
      <c r="BA148" s="352"/>
      <c r="BB148" s="352"/>
      <c r="BC148" s="352"/>
      <c r="BD148" s="352"/>
      <c r="BE148" s="352"/>
      <c r="BF148" s="352"/>
      <c r="BG148" s="352"/>
      <c r="BH148" s="352"/>
      <c r="BI148" s="352"/>
      <c r="BJ148" s="352"/>
      <c r="BK148" s="352"/>
      <c r="BL148" s="352"/>
      <c r="BM148" s="352"/>
      <c r="BN148" s="352"/>
      <c r="BO148" s="352"/>
      <c r="BP148" s="352"/>
      <c r="BQ148" s="352"/>
      <c r="BR148" s="352"/>
      <c r="BS148" s="352"/>
      <c r="BT148" s="352"/>
      <c r="BU148" s="352"/>
      <c r="BV148" s="352"/>
      <c r="BW148" s="352"/>
      <c r="BX148" s="352"/>
      <c r="BY148" s="352"/>
      <c r="BZ148" s="352"/>
      <c r="CA148" s="352"/>
      <c r="CB148" s="352"/>
      <c r="CC148" s="352"/>
      <c r="CD148" s="352"/>
      <c r="CE148" s="352"/>
      <c r="CF148" s="352"/>
      <c r="CG148" s="352"/>
      <c r="CH148" s="352"/>
      <c r="CI148" s="352"/>
      <c r="CJ148" s="352"/>
      <c r="CK148" s="352"/>
      <c r="CL148" s="352"/>
      <c r="CM148" s="352"/>
      <c r="CN148" s="352"/>
      <c r="CO148" s="352"/>
      <c r="CP148" s="352"/>
      <c r="CQ148" s="352"/>
      <c r="CR148" s="352"/>
      <c r="CS148" s="352"/>
      <c r="CT148" s="352"/>
      <c r="CU148" s="352"/>
      <c r="CV148" s="352"/>
      <c r="CW148" s="352"/>
      <c r="CX148" s="352"/>
      <c r="CY148" s="352"/>
      <c r="CZ148" s="352"/>
      <c r="DA148" s="352"/>
      <c r="DB148" s="352"/>
      <c r="DC148" s="352"/>
      <c r="DD148" s="352"/>
      <c r="DE148" s="352"/>
      <c r="DF148" s="352"/>
      <c r="DG148" s="352"/>
      <c r="DH148" s="352"/>
      <c r="DI148" s="352"/>
      <c r="DJ148" s="352"/>
      <c r="DK148" s="352"/>
      <c r="DL148" s="352"/>
      <c r="DM148" s="352"/>
      <c r="DN148" s="352"/>
      <c r="DO148" s="352"/>
      <c r="DP148" s="352"/>
      <c r="DQ148" s="352"/>
      <c r="DR148" s="352"/>
      <c r="DS148" s="352"/>
      <c r="DT148" s="352"/>
      <c r="DU148" s="352"/>
      <c r="DV148" s="352"/>
      <c r="DW148" s="352"/>
      <c r="DX148" s="352"/>
      <c r="DY148" s="352"/>
      <c r="DZ148" s="352"/>
      <c r="EA148" s="352"/>
      <c r="EB148" s="352"/>
      <c r="EC148" s="352"/>
      <c r="ED148" s="352"/>
      <c r="EE148" s="352"/>
      <c r="EF148" s="352"/>
      <c r="EG148" s="352"/>
      <c r="EH148" s="352"/>
      <c r="EI148" s="352"/>
      <c r="EJ148" s="352"/>
      <c r="EK148" s="352"/>
      <c r="EL148" s="352"/>
      <c r="EM148" s="352"/>
      <c r="EN148" s="352"/>
      <c r="EO148" s="352"/>
      <c r="EP148" s="352"/>
      <c r="EQ148" s="352"/>
      <c r="ER148" s="352"/>
      <c r="ES148" s="352"/>
      <c r="ET148" s="352"/>
      <c r="EU148" s="352"/>
      <c r="EV148" s="352"/>
      <c r="EW148" s="352"/>
      <c r="EX148" s="352"/>
      <c r="EY148" s="352"/>
      <c r="EZ148" s="352"/>
      <c r="FA148" s="352"/>
      <c r="FB148" s="352"/>
      <c r="FC148" s="352"/>
      <c r="FD148" s="352"/>
      <c r="FE148" s="352"/>
      <c r="FF148" s="352"/>
      <c r="FG148" s="352"/>
      <c r="FH148" s="352"/>
      <c r="FI148" s="352"/>
      <c r="FJ148" s="352"/>
      <c r="FK148" s="352"/>
      <c r="FL148" s="352"/>
      <c r="FM148" s="352"/>
      <c r="FN148" s="352"/>
      <c r="FO148" s="352"/>
      <c r="FP148" s="352"/>
      <c r="FQ148" s="352"/>
      <c r="FR148" s="352"/>
      <c r="FS148" s="352"/>
      <c r="FT148" s="352"/>
      <c r="FU148" s="352"/>
      <c r="FV148" s="352"/>
      <c r="FW148" s="352"/>
      <c r="FX148" s="352"/>
      <c r="FY148" s="352"/>
      <c r="FZ148" s="352"/>
      <c r="GA148" s="352"/>
      <c r="GB148" s="352"/>
      <c r="GC148" s="352"/>
      <c r="GD148" s="352"/>
      <c r="GE148" s="352"/>
      <c r="GF148" s="352"/>
      <c r="GG148" s="352"/>
      <c r="GH148" s="352"/>
      <c r="GI148" s="352"/>
      <c r="GJ148" s="352"/>
      <c r="GK148" s="352"/>
      <c r="GL148" s="352"/>
      <c r="GM148" s="352"/>
      <c r="GN148" s="352"/>
      <c r="GO148" s="352"/>
      <c r="GP148" s="352"/>
      <c r="GQ148" s="352"/>
      <c r="GR148" s="352"/>
      <c r="GS148" s="352"/>
      <c r="GT148" s="352"/>
      <c r="GU148" s="352"/>
      <c r="GV148" s="352"/>
      <c r="GW148" s="352"/>
      <c r="GX148" s="352"/>
      <c r="GY148" s="352"/>
      <c r="GZ148" s="352"/>
      <c r="HA148" s="352"/>
      <c r="HB148" s="352"/>
      <c r="HC148" s="352"/>
      <c r="HD148" s="352"/>
      <c r="HE148" s="352"/>
      <c r="HF148" s="352"/>
      <c r="HG148" s="352"/>
      <c r="HH148" s="352"/>
      <c r="HI148" s="352"/>
      <c r="HJ148" s="352"/>
      <c r="HK148" s="352"/>
      <c r="HL148" s="352"/>
      <c r="HM148" s="352"/>
      <c r="HN148" s="352"/>
      <c r="HO148" s="352"/>
      <c r="HP148" s="352"/>
      <c r="HQ148" s="352"/>
      <c r="HR148" s="352"/>
      <c r="HS148" s="352"/>
      <c r="HT148" s="352"/>
      <c r="HU148" s="352"/>
      <c r="HV148" s="352"/>
      <c r="HW148" s="352"/>
      <c r="HX148" s="352"/>
      <c r="HY148" s="352"/>
      <c r="HZ148" s="352"/>
      <c r="IA148" s="352"/>
      <c r="IB148" s="352"/>
      <c r="IC148" s="352"/>
      <c r="ID148" s="352"/>
      <c r="IE148" s="352"/>
      <c r="IF148" s="352"/>
      <c r="IG148" s="352"/>
      <c r="IH148" s="352"/>
      <c r="II148" s="352"/>
      <c r="IJ148" s="352"/>
      <c r="IK148" s="352"/>
      <c r="IL148" s="352"/>
      <c r="IM148" s="352"/>
      <c r="IN148" s="352"/>
      <c r="IO148" s="352"/>
      <c r="IP148" s="352"/>
      <c r="IQ148" s="352"/>
      <c r="IR148" s="352"/>
      <c r="IS148" s="352"/>
      <c r="IT148" s="352"/>
      <c r="IU148" s="352"/>
      <c r="IV148" s="352"/>
    </row>
    <row r="149" spans="1:256">
      <c r="A149" s="377"/>
      <c r="B149" s="378"/>
      <c r="C149" s="379"/>
      <c r="D149" s="380"/>
      <c r="E149" s="381"/>
      <c r="F149" s="345"/>
      <c r="G149" s="345"/>
      <c r="H149" s="345"/>
      <c r="I149" s="345"/>
      <c r="J149" s="345"/>
      <c r="K149" s="345"/>
      <c r="L149" s="345"/>
      <c r="M149" s="382"/>
      <c r="N149" s="346"/>
      <c r="O149" s="347"/>
      <c r="AH149" s="352"/>
      <c r="AI149" s="352"/>
      <c r="AJ149" s="352"/>
      <c r="AK149" s="352"/>
      <c r="AL149" s="352"/>
      <c r="AM149" s="352"/>
      <c r="AN149" s="352"/>
      <c r="AO149" s="352"/>
      <c r="AP149" s="352"/>
      <c r="AQ149" s="352"/>
      <c r="AR149" s="352"/>
      <c r="AS149" s="352"/>
      <c r="AT149" s="352"/>
      <c r="AU149" s="352"/>
      <c r="AV149" s="352"/>
      <c r="AW149" s="352"/>
      <c r="AX149" s="352"/>
      <c r="AY149" s="352"/>
      <c r="AZ149" s="352"/>
      <c r="BA149" s="352"/>
      <c r="BB149" s="352"/>
      <c r="BC149" s="352"/>
      <c r="BD149" s="352"/>
      <c r="BE149" s="352"/>
      <c r="BF149" s="352"/>
      <c r="BG149" s="352"/>
      <c r="BH149" s="352"/>
      <c r="BI149" s="352"/>
      <c r="BJ149" s="352"/>
      <c r="BK149" s="352"/>
      <c r="BL149" s="352"/>
      <c r="BM149" s="352"/>
      <c r="BN149" s="352"/>
      <c r="BO149" s="352"/>
      <c r="BP149" s="352"/>
      <c r="BQ149" s="352"/>
      <c r="BR149" s="352"/>
      <c r="BS149" s="352"/>
      <c r="BT149" s="352"/>
      <c r="BU149" s="352"/>
      <c r="BV149" s="352"/>
      <c r="BW149" s="352"/>
      <c r="BX149" s="352"/>
      <c r="BY149" s="352"/>
      <c r="BZ149" s="352"/>
      <c r="CA149" s="352"/>
      <c r="CB149" s="352"/>
      <c r="CC149" s="352"/>
      <c r="CD149" s="352"/>
      <c r="CE149" s="352"/>
      <c r="CF149" s="352"/>
      <c r="CG149" s="352"/>
      <c r="CH149" s="352"/>
      <c r="CI149" s="352"/>
      <c r="CJ149" s="352"/>
      <c r="CK149" s="352"/>
      <c r="CL149" s="352"/>
      <c r="CM149" s="352"/>
      <c r="CN149" s="352"/>
      <c r="CO149" s="352"/>
      <c r="CP149" s="352"/>
      <c r="CQ149" s="352"/>
      <c r="CR149" s="352"/>
      <c r="CS149" s="352"/>
      <c r="CT149" s="352"/>
      <c r="CU149" s="352"/>
      <c r="CV149" s="352"/>
      <c r="CW149" s="352"/>
      <c r="CX149" s="352"/>
      <c r="CY149" s="352"/>
      <c r="CZ149" s="352"/>
      <c r="DA149" s="352"/>
      <c r="DB149" s="352"/>
      <c r="DC149" s="352"/>
      <c r="DD149" s="352"/>
      <c r="DE149" s="352"/>
      <c r="DF149" s="352"/>
      <c r="DG149" s="352"/>
      <c r="DH149" s="352"/>
      <c r="DI149" s="352"/>
      <c r="DJ149" s="352"/>
      <c r="DK149" s="352"/>
      <c r="DL149" s="352"/>
      <c r="DM149" s="352"/>
      <c r="DN149" s="352"/>
      <c r="DO149" s="352"/>
      <c r="DP149" s="352"/>
      <c r="DQ149" s="352"/>
      <c r="DR149" s="352"/>
      <c r="DS149" s="352"/>
      <c r="DT149" s="352"/>
      <c r="DU149" s="352"/>
      <c r="DV149" s="352"/>
      <c r="DW149" s="352"/>
      <c r="DX149" s="352"/>
      <c r="DY149" s="352"/>
      <c r="DZ149" s="352"/>
      <c r="EA149" s="352"/>
      <c r="EB149" s="352"/>
      <c r="EC149" s="352"/>
      <c r="ED149" s="352"/>
      <c r="EE149" s="352"/>
      <c r="EF149" s="352"/>
      <c r="EG149" s="352"/>
      <c r="EH149" s="352"/>
      <c r="EI149" s="352"/>
      <c r="EJ149" s="352"/>
      <c r="EK149" s="352"/>
      <c r="EL149" s="352"/>
      <c r="EM149" s="352"/>
      <c r="EN149" s="352"/>
      <c r="EO149" s="352"/>
      <c r="EP149" s="352"/>
      <c r="EQ149" s="352"/>
      <c r="ER149" s="352"/>
      <c r="ES149" s="352"/>
      <c r="ET149" s="352"/>
      <c r="EU149" s="352"/>
      <c r="EV149" s="352"/>
      <c r="EW149" s="352"/>
      <c r="EX149" s="352"/>
      <c r="EY149" s="352"/>
      <c r="EZ149" s="352"/>
      <c r="FA149" s="352"/>
      <c r="FB149" s="352"/>
      <c r="FC149" s="352"/>
      <c r="FD149" s="352"/>
      <c r="FE149" s="352"/>
      <c r="FF149" s="352"/>
      <c r="FG149" s="352"/>
      <c r="FH149" s="352"/>
      <c r="FI149" s="352"/>
      <c r="FJ149" s="352"/>
      <c r="FK149" s="352"/>
      <c r="FL149" s="352"/>
      <c r="FM149" s="352"/>
      <c r="FN149" s="352"/>
      <c r="FO149" s="352"/>
      <c r="FP149" s="352"/>
      <c r="FQ149" s="352"/>
      <c r="FR149" s="352"/>
      <c r="FS149" s="352"/>
      <c r="FT149" s="352"/>
      <c r="FU149" s="352"/>
      <c r="FV149" s="352"/>
      <c r="FW149" s="352"/>
      <c r="FX149" s="352"/>
      <c r="FY149" s="352"/>
      <c r="FZ149" s="352"/>
      <c r="GA149" s="352"/>
      <c r="GB149" s="352"/>
      <c r="GC149" s="352"/>
      <c r="GD149" s="352"/>
      <c r="GE149" s="352"/>
      <c r="GF149" s="352"/>
      <c r="GG149" s="352"/>
      <c r="GH149" s="352"/>
      <c r="GI149" s="352"/>
      <c r="GJ149" s="352"/>
      <c r="GK149" s="352"/>
      <c r="GL149" s="352"/>
      <c r="GM149" s="352"/>
      <c r="GN149" s="352"/>
      <c r="GO149" s="352"/>
      <c r="GP149" s="352"/>
      <c r="GQ149" s="352"/>
      <c r="GR149" s="352"/>
      <c r="GS149" s="352"/>
      <c r="GT149" s="352"/>
      <c r="GU149" s="352"/>
      <c r="GV149" s="352"/>
      <c r="GW149" s="352"/>
      <c r="GX149" s="352"/>
      <c r="GY149" s="352"/>
      <c r="GZ149" s="352"/>
      <c r="HA149" s="352"/>
      <c r="HB149" s="352"/>
      <c r="HC149" s="352"/>
      <c r="HD149" s="352"/>
      <c r="HE149" s="352"/>
      <c r="HF149" s="352"/>
      <c r="HG149" s="352"/>
      <c r="HH149" s="352"/>
      <c r="HI149" s="352"/>
      <c r="HJ149" s="352"/>
      <c r="HK149" s="352"/>
      <c r="HL149" s="352"/>
      <c r="HM149" s="352"/>
      <c r="HN149" s="352"/>
      <c r="HO149" s="352"/>
      <c r="HP149" s="352"/>
      <c r="HQ149" s="352"/>
      <c r="HR149" s="352"/>
      <c r="HS149" s="352"/>
      <c r="HT149" s="352"/>
      <c r="HU149" s="352"/>
      <c r="HV149" s="352"/>
      <c r="HW149" s="352"/>
      <c r="HX149" s="352"/>
      <c r="HY149" s="352"/>
      <c r="HZ149" s="352"/>
      <c r="IA149" s="352"/>
      <c r="IB149" s="352"/>
      <c r="IC149" s="352"/>
      <c r="ID149" s="352"/>
      <c r="IE149" s="352"/>
      <c r="IF149" s="352"/>
      <c r="IG149" s="352"/>
      <c r="IH149" s="352"/>
      <c r="II149" s="352"/>
      <c r="IJ149" s="352"/>
      <c r="IK149" s="352"/>
      <c r="IL149" s="352"/>
      <c r="IM149" s="352"/>
      <c r="IN149" s="352"/>
      <c r="IO149" s="352"/>
      <c r="IP149" s="352"/>
      <c r="IQ149" s="352"/>
      <c r="IR149" s="352"/>
      <c r="IS149" s="352"/>
      <c r="IT149" s="352"/>
      <c r="IU149" s="352"/>
      <c r="IV149" s="352"/>
    </row>
    <row r="150" spans="1:256">
      <c r="A150" s="377"/>
      <c r="B150" s="378"/>
      <c r="C150" s="379"/>
      <c r="D150" s="380"/>
      <c r="E150" s="381"/>
      <c r="F150" s="345"/>
      <c r="G150" s="345"/>
      <c r="H150" s="345"/>
      <c r="I150" s="345"/>
      <c r="J150" s="345"/>
      <c r="K150" s="345"/>
      <c r="L150" s="345"/>
      <c r="M150" s="382"/>
      <c r="N150" s="346"/>
      <c r="O150" s="347"/>
      <c r="AH150" s="352"/>
      <c r="AI150" s="352"/>
      <c r="AJ150" s="352"/>
      <c r="AK150" s="352"/>
      <c r="AL150" s="352"/>
      <c r="AM150" s="352"/>
      <c r="AN150" s="352"/>
      <c r="AO150" s="352"/>
      <c r="AP150" s="352"/>
      <c r="AQ150" s="352"/>
      <c r="AR150" s="352"/>
      <c r="AS150" s="352"/>
      <c r="AT150" s="352"/>
      <c r="AU150" s="352"/>
      <c r="AV150" s="352"/>
      <c r="AW150" s="352"/>
      <c r="AX150" s="352"/>
      <c r="AY150" s="352"/>
      <c r="AZ150" s="352"/>
      <c r="BA150" s="352"/>
      <c r="BB150" s="352"/>
      <c r="BC150" s="352"/>
      <c r="BD150" s="352"/>
      <c r="BE150" s="352"/>
      <c r="BF150" s="352"/>
      <c r="BG150" s="352"/>
      <c r="BH150" s="352"/>
      <c r="BI150" s="352"/>
      <c r="BJ150" s="352"/>
      <c r="BK150" s="352"/>
      <c r="BL150" s="352"/>
      <c r="BM150" s="352"/>
      <c r="BN150" s="352"/>
      <c r="BO150" s="352"/>
      <c r="BP150" s="352"/>
      <c r="BQ150" s="352"/>
      <c r="BR150" s="352"/>
      <c r="BS150" s="352"/>
      <c r="BT150" s="352"/>
      <c r="BU150" s="352"/>
      <c r="BV150" s="352"/>
      <c r="BW150" s="352"/>
      <c r="BX150" s="352"/>
      <c r="BY150" s="352"/>
      <c r="BZ150" s="352"/>
      <c r="CA150" s="352"/>
      <c r="CB150" s="352"/>
      <c r="CC150" s="352"/>
      <c r="CD150" s="352"/>
      <c r="CE150" s="352"/>
      <c r="CF150" s="352"/>
      <c r="CG150" s="352"/>
      <c r="CH150" s="352"/>
      <c r="CI150" s="352"/>
      <c r="CJ150" s="352"/>
      <c r="CK150" s="352"/>
      <c r="CL150" s="352"/>
      <c r="CM150" s="352"/>
      <c r="CN150" s="352"/>
      <c r="CO150" s="352"/>
      <c r="CP150" s="352"/>
      <c r="CQ150" s="352"/>
      <c r="CR150" s="352"/>
      <c r="CS150" s="352"/>
      <c r="CT150" s="352"/>
      <c r="CU150" s="352"/>
      <c r="CV150" s="352"/>
      <c r="CW150" s="352"/>
      <c r="CX150" s="352"/>
      <c r="CY150" s="352"/>
      <c r="CZ150" s="352"/>
      <c r="DA150" s="352"/>
      <c r="DB150" s="352"/>
      <c r="DC150" s="352"/>
      <c r="DD150" s="352"/>
      <c r="DE150" s="352"/>
      <c r="DF150" s="352"/>
      <c r="DG150" s="352"/>
      <c r="DH150" s="352"/>
      <c r="DI150" s="352"/>
      <c r="DJ150" s="352"/>
      <c r="DK150" s="352"/>
      <c r="DL150" s="352"/>
      <c r="DM150" s="352"/>
      <c r="DN150" s="352"/>
      <c r="DO150" s="352"/>
      <c r="DP150" s="352"/>
      <c r="DQ150" s="352"/>
      <c r="DR150" s="352"/>
      <c r="DS150" s="352"/>
      <c r="DT150" s="352"/>
      <c r="DU150" s="352"/>
      <c r="DV150" s="352"/>
      <c r="DW150" s="352"/>
      <c r="DX150" s="352"/>
      <c r="DY150" s="352"/>
      <c r="DZ150" s="352"/>
      <c r="EA150" s="352"/>
      <c r="EB150" s="352"/>
      <c r="EC150" s="352"/>
      <c r="ED150" s="352"/>
      <c r="EE150" s="352"/>
      <c r="EF150" s="352"/>
      <c r="EG150" s="352"/>
      <c r="EH150" s="352"/>
      <c r="EI150" s="352"/>
      <c r="EJ150" s="352"/>
      <c r="EK150" s="352"/>
      <c r="EL150" s="352"/>
      <c r="EM150" s="352"/>
      <c r="EN150" s="352"/>
      <c r="EO150" s="352"/>
      <c r="EP150" s="352"/>
      <c r="EQ150" s="352"/>
      <c r="ER150" s="352"/>
      <c r="ES150" s="352"/>
      <c r="ET150" s="352"/>
      <c r="EU150" s="352"/>
      <c r="EV150" s="352"/>
      <c r="EW150" s="352"/>
      <c r="EX150" s="352"/>
      <c r="EY150" s="352"/>
      <c r="EZ150" s="352"/>
      <c r="FA150" s="352"/>
      <c r="FB150" s="352"/>
      <c r="FC150" s="352"/>
      <c r="FD150" s="352"/>
      <c r="FE150" s="352"/>
      <c r="FF150" s="352"/>
      <c r="FG150" s="352"/>
      <c r="FH150" s="352"/>
      <c r="FI150" s="352"/>
      <c r="FJ150" s="352"/>
      <c r="FK150" s="352"/>
      <c r="FL150" s="352"/>
      <c r="FM150" s="352"/>
      <c r="FN150" s="352"/>
      <c r="FO150" s="352"/>
      <c r="FP150" s="352"/>
      <c r="FQ150" s="352"/>
      <c r="FR150" s="352"/>
      <c r="FS150" s="352"/>
      <c r="FT150" s="352"/>
      <c r="FU150" s="352"/>
      <c r="FV150" s="352"/>
      <c r="FW150" s="352"/>
      <c r="FX150" s="352"/>
      <c r="FY150" s="352"/>
      <c r="FZ150" s="352"/>
      <c r="GA150" s="352"/>
      <c r="GB150" s="352"/>
      <c r="GC150" s="352"/>
      <c r="GD150" s="352"/>
      <c r="GE150" s="352"/>
      <c r="GF150" s="352"/>
      <c r="GG150" s="352"/>
      <c r="GH150" s="352"/>
      <c r="GI150" s="352"/>
      <c r="GJ150" s="352"/>
      <c r="GK150" s="352"/>
      <c r="GL150" s="352"/>
      <c r="GM150" s="352"/>
      <c r="GN150" s="352"/>
      <c r="GO150" s="352"/>
      <c r="GP150" s="352"/>
      <c r="GQ150" s="352"/>
      <c r="GR150" s="352"/>
      <c r="GS150" s="352"/>
      <c r="GT150" s="352"/>
      <c r="GU150" s="352"/>
      <c r="GV150" s="352"/>
      <c r="GW150" s="352"/>
      <c r="GX150" s="352"/>
      <c r="GY150" s="352"/>
      <c r="GZ150" s="352"/>
      <c r="HA150" s="352"/>
      <c r="HB150" s="352"/>
      <c r="HC150" s="352"/>
      <c r="HD150" s="352"/>
      <c r="HE150" s="352"/>
      <c r="HF150" s="352"/>
      <c r="HG150" s="352"/>
      <c r="HH150" s="352"/>
      <c r="HI150" s="352"/>
      <c r="HJ150" s="352"/>
      <c r="HK150" s="352"/>
      <c r="HL150" s="352"/>
      <c r="HM150" s="352"/>
      <c r="HN150" s="352"/>
      <c r="HO150" s="352"/>
      <c r="HP150" s="352"/>
      <c r="HQ150" s="352"/>
      <c r="HR150" s="352"/>
      <c r="HS150" s="352"/>
      <c r="HT150" s="352"/>
      <c r="HU150" s="352"/>
      <c r="HV150" s="352"/>
      <c r="HW150" s="352"/>
      <c r="HX150" s="352"/>
      <c r="HY150" s="352"/>
      <c r="HZ150" s="352"/>
      <c r="IA150" s="352"/>
      <c r="IB150" s="352"/>
      <c r="IC150" s="352"/>
      <c r="ID150" s="352"/>
      <c r="IE150" s="352"/>
      <c r="IF150" s="352"/>
      <c r="IG150" s="352"/>
      <c r="IH150" s="352"/>
      <c r="II150" s="352"/>
      <c r="IJ150" s="352"/>
      <c r="IK150" s="352"/>
      <c r="IL150" s="352"/>
      <c r="IM150" s="352"/>
      <c r="IN150" s="352"/>
      <c r="IO150" s="352"/>
      <c r="IP150" s="352"/>
      <c r="IQ150" s="352"/>
      <c r="IR150" s="352"/>
      <c r="IS150" s="352"/>
      <c r="IT150" s="352"/>
      <c r="IU150" s="352"/>
      <c r="IV150" s="352"/>
    </row>
    <row r="151" spans="1:256">
      <c r="A151" s="377"/>
      <c r="B151" s="378"/>
      <c r="C151" s="379"/>
      <c r="D151" s="380"/>
      <c r="E151" s="381"/>
      <c r="F151" s="345"/>
      <c r="G151" s="345"/>
      <c r="H151" s="345"/>
      <c r="I151" s="345"/>
      <c r="J151" s="345"/>
      <c r="K151" s="345"/>
      <c r="L151" s="345"/>
      <c r="M151" s="382"/>
      <c r="N151" s="346"/>
      <c r="O151" s="347"/>
      <c r="AH151" s="352"/>
      <c r="AI151" s="352"/>
      <c r="AJ151" s="352"/>
      <c r="AK151" s="352"/>
      <c r="AL151" s="352"/>
      <c r="AM151" s="352"/>
      <c r="AN151" s="352"/>
      <c r="AO151" s="352"/>
      <c r="AP151" s="352"/>
      <c r="AQ151" s="352"/>
      <c r="AR151" s="352"/>
      <c r="AS151" s="352"/>
      <c r="AT151" s="352"/>
      <c r="AU151" s="352"/>
      <c r="AV151" s="352"/>
      <c r="AW151" s="352"/>
      <c r="AX151" s="352"/>
      <c r="AY151" s="352"/>
      <c r="AZ151" s="352"/>
      <c r="BA151" s="352"/>
      <c r="BB151" s="352"/>
      <c r="BC151" s="352"/>
      <c r="BD151" s="352"/>
      <c r="BE151" s="352"/>
      <c r="BF151" s="352"/>
      <c r="BG151" s="352"/>
      <c r="BH151" s="352"/>
      <c r="BI151" s="352"/>
      <c r="BJ151" s="352"/>
      <c r="BK151" s="352"/>
      <c r="BL151" s="352"/>
      <c r="BM151" s="352"/>
      <c r="BN151" s="352"/>
      <c r="BO151" s="352"/>
      <c r="BP151" s="352"/>
      <c r="BQ151" s="352"/>
      <c r="BR151" s="352"/>
      <c r="BS151" s="352"/>
      <c r="BT151" s="352"/>
      <c r="BU151" s="352"/>
      <c r="BV151" s="352"/>
      <c r="BW151" s="352"/>
      <c r="BX151" s="352"/>
      <c r="BY151" s="352"/>
      <c r="BZ151" s="352"/>
      <c r="CA151" s="352"/>
      <c r="CB151" s="352"/>
      <c r="CC151" s="352"/>
      <c r="CD151" s="352"/>
      <c r="CE151" s="352"/>
      <c r="CF151" s="352"/>
      <c r="CG151" s="352"/>
      <c r="CH151" s="352"/>
      <c r="CI151" s="352"/>
      <c r="CJ151" s="352"/>
      <c r="CK151" s="352"/>
      <c r="CL151" s="352"/>
      <c r="CM151" s="352"/>
      <c r="CN151" s="352"/>
      <c r="CO151" s="352"/>
      <c r="CP151" s="352"/>
      <c r="CQ151" s="352"/>
      <c r="CR151" s="352"/>
      <c r="CS151" s="352"/>
      <c r="CT151" s="352"/>
      <c r="CU151" s="352"/>
      <c r="CV151" s="352"/>
      <c r="CW151" s="352"/>
      <c r="CX151" s="352"/>
      <c r="CY151" s="352"/>
      <c r="CZ151" s="352"/>
      <c r="DA151" s="352"/>
      <c r="DB151" s="352"/>
      <c r="DC151" s="352"/>
      <c r="DD151" s="352"/>
      <c r="DE151" s="352"/>
      <c r="DF151" s="352"/>
      <c r="DG151" s="352"/>
      <c r="DH151" s="352"/>
      <c r="DI151" s="352"/>
      <c r="DJ151" s="352"/>
      <c r="DK151" s="352"/>
      <c r="DL151" s="352"/>
      <c r="DM151" s="352"/>
      <c r="DN151" s="352"/>
      <c r="DO151" s="352"/>
      <c r="DP151" s="352"/>
      <c r="DQ151" s="352"/>
      <c r="DR151" s="352"/>
      <c r="DS151" s="352"/>
      <c r="DT151" s="352"/>
      <c r="DU151" s="352"/>
      <c r="DV151" s="352"/>
      <c r="DW151" s="352"/>
      <c r="DX151" s="352"/>
      <c r="DY151" s="352"/>
      <c r="DZ151" s="352"/>
      <c r="EA151" s="352"/>
      <c r="EB151" s="352"/>
      <c r="EC151" s="352"/>
      <c r="ED151" s="352"/>
      <c r="EE151" s="352"/>
      <c r="EF151" s="352"/>
      <c r="EG151" s="352"/>
      <c r="EH151" s="352"/>
      <c r="EI151" s="352"/>
      <c r="EJ151" s="352"/>
      <c r="EK151" s="352"/>
      <c r="EL151" s="352"/>
      <c r="EM151" s="352"/>
      <c r="EN151" s="352"/>
      <c r="EO151" s="352"/>
      <c r="EP151" s="352"/>
      <c r="EQ151" s="352"/>
      <c r="ER151" s="352"/>
      <c r="ES151" s="352"/>
      <c r="ET151" s="352"/>
      <c r="EU151" s="352"/>
      <c r="EV151" s="352"/>
      <c r="EW151" s="352"/>
      <c r="EX151" s="352"/>
      <c r="EY151" s="352"/>
      <c r="EZ151" s="352"/>
      <c r="FA151" s="352"/>
      <c r="FB151" s="352"/>
      <c r="FC151" s="352"/>
      <c r="FD151" s="352"/>
      <c r="FE151" s="352"/>
      <c r="FF151" s="352"/>
      <c r="FG151" s="352"/>
      <c r="FH151" s="352"/>
      <c r="FI151" s="352"/>
      <c r="FJ151" s="352"/>
      <c r="FK151" s="352"/>
      <c r="FL151" s="352"/>
      <c r="FM151" s="352"/>
      <c r="FN151" s="352"/>
      <c r="FO151" s="352"/>
      <c r="FP151" s="352"/>
      <c r="FQ151" s="352"/>
      <c r="FR151" s="352"/>
      <c r="FS151" s="352"/>
      <c r="FT151" s="352"/>
      <c r="FU151" s="352"/>
      <c r="FV151" s="352"/>
      <c r="FW151" s="352"/>
      <c r="FX151" s="352"/>
      <c r="FY151" s="352"/>
      <c r="FZ151" s="352"/>
      <c r="GA151" s="352"/>
      <c r="GB151" s="352"/>
      <c r="GC151" s="352"/>
      <c r="GD151" s="352"/>
      <c r="GE151" s="352"/>
      <c r="GF151" s="352"/>
      <c r="GG151" s="352"/>
      <c r="GH151" s="352"/>
      <c r="GI151" s="352"/>
      <c r="GJ151" s="352"/>
      <c r="GK151" s="352"/>
      <c r="GL151" s="352"/>
      <c r="GM151" s="352"/>
      <c r="GN151" s="352"/>
      <c r="GO151" s="352"/>
      <c r="GP151" s="352"/>
      <c r="GQ151" s="352"/>
      <c r="GR151" s="352"/>
      <c r="GS151" s="352"/>
      <c r="GT151" s="352"/>
      <c r="GU151" s="352"/>
      <c r="GV151" s="352"/>
      <c r="GW151" s="352"/>
      <c r="GX151" s="352"/>
      <c r="GY151" s="352"/>
      <c r="GZ151" s="352"/>
      <c r="HA151" s="352"/>
      <c r="HB151" s="352"/>
      <c r="HC151" s="352"/>
      <c r="HD151" s="352"/>
      <c r="HE151" s="352"/>
      <c r="HF151" s="352"/>
      <c r="HG151" s="352"/>
      <c r="HH151" s="352"/>
      <c r="HI151" s="352"/>
      <c r="HJ151" s="352"/>
      <c r="HK151" s="352"/>
      <c r="HL151" s="352"/>
      <c r="HM151" s="352"/>
      <c r="HN151" s="352"/>
      <c r="HO151" s="352"/>
      <c r="HP151" s="352"/>
      <c r="HQ151" s="352"/>
      <c r="HR151" s="352"/>
      <c r="HS151" s="352"/>
      <c r="HT151" s="352"/>
      <c r="HU151" s="352"/>
      <c r="HV151" s="352"/>
      <c r="HW151" s="352"/>
      <c r="HX151" s="352"/>
      <c r="HY151" s="352"/>
      <c r="HZ151" s="352"/>
      <c r="IA151" s="352"/>
      <c r="IB151" s="352"/>
      <c r="IC151" s="352"/>
      <c r="ID151" s="352"/>
      <c r="IE151" s="352"/>
      <c r="IF151" s="352"/>
      <c r="IG151" s="352"/>
      <c r="IH151" s="352"/>
      <c r="II151" s="352"/>
      <c r="IJ151" s="352"/>
      <c r="IK151" s="352"/>
      <c r="IL151" s="352"/>
      <c r="IM151" s="352"/>
      <c r="IN151" s="352"/>
      <c r="IO151" s="352"/>
      <c r="IP151" s="352"/>
      <c r="IQ151" s="352"/>
      <c r="IR151" s="352"/>
      <c r="IS151" s="352"/>
      <c r="IT151" s="352"/>
      <c r="IU151" s="352"/>
      <c r="IV151" s="352"/>
    </row>
    <row r="152" spans="1:256">
      <c r="A152" s="377"/>
      <c r="B152" s="378"/>
      <c r="C152" s="379"/>
      <c r="D152" s="380"/>
      <c r="E152" s="381"/>
      <c r="F152" s="345"/>
      <c r="G152" s="345"/>
      <c r="H152" s="345"/>
      <c r="I152" s="345"/>
      <c r="J152" s="345"/>
      <c r="K152" s="345"/>
      <c r="L152" s="345"/>
      <c r="M152" s="382"/>
      <c r="N152" s="346"/>
      <c r="O152" s="347"/>
      <c r="AH152" s="352"/>
      <c r="AI152" s="352"/>
      <c r="AJ152" s="352"/>
      <c r="AK152" s="352"/>
      <c r="AL152" s="352"/>
      <c r="AM152" s="352"/>
      <c r="AN152" s="352"/>
      <c r="AO152" s="352"/>
      <c r="AP152" s="352"/>
      <c r="AQ152" s="352"/>
      <c r="AR152" s="352"/>
      <c r="AS152" s="352"/>
      <c r="AT152" s="352"/>
      <c r="AU152" s="352"/>
      <c r="AV152" s="352"/>
      <c r="AW152" s="352"/>
      <c r="AX152" s="352"/>
      <c r="AY152" s="352"/>
      <c r="AZ152" s="352"/>
      <c r="BA152" s="352"/>
      <c r="BB152" s="352"/>
      <c r="BC152" s="352"/>
      <c r="BD152" s="352"/>
      <c r="BE152" s="352"/>
      <c r="BF152" s="352"/>
      <c r="BG152" s="352"/>
      <c r="BH152" s="352"/>
      <c r="BI152" s="352"/>
      <c r="BJ152" s="352"/>
      <c r="BK152" s="352"/>
      <c r="BL152" s="352"/>
      <c r="BM152" s="352"/>
      <c r="BN152" s="352"/>
      <c r="BO152" s="352"/>
      <c r="BP152" s="352"/>
      <c r="BQ152" s="352"/>
      <c r="BR152" s="352"/>
      <c r="BS152" s="352"/>
      <c r="BT152" s="352"/>
      <c r="BU152" s="352"/>
      <c r="BV152" s="352"/>
      <c r="BW152" s="352"/>
      <c r="BX152" s="352"/>
      <c r="BY152" s="352"/>
      <c r="BZ152" s="352"/>
      <c r="CA152" s="352"/>
      <c r="CB152" s="352"/>
      <c r="CC152" s="352"/>
      <c r="CD152" s="352"/>
      <c r="CE152" s="352"/>
      <c r="CF152" s="352"/>
      <c r="CG152" s="352"/>
      <c r="CH152" s="352"/>
      <c r="CI152" s="352"/>
      <c r="CJ152" s="352"/>
      <c r="CK152" s="352"/>
      <c r="CL152" s="352"/>
      <c r="CM152" s="352"/>
      <c r="CN152" s="352"/>
      <c r="CO152" s="352"/>
      <c r="CP152" s="352"/>
      <c r="CQ152" s="352"/>
      <c r="CR152" s="352"/>
      <c r="CS152" s="352"/>
      <c r="CT152" s="352"/>
      <c r="CU152" s="352"/>
      <c r="CV152" s="352"/>
      <c r="CW152" s="352"/>
      <c r="CX152" s="352"/>
      <c r="CY152" s="352"/>
      <c r="CZ152" s="352"/>
      <c r="DA152" s="352"/>
      <c r="DB152" s="352"/>
      <c r="DC152" s="352"/>
      <c r="DD152" s="352"/>
      <c r="DE152" s="352"/>
      <c r="DF152" s="352"/>
      <c r="DG152" s="352"/>
      <c r="DH152" s="352"/>
      <c r="DI152" s="352"/>
      <c r="DJ152" s="352"/>
      <c r="DK152" s="352"/>
      <c r="DL152" s="352"/>
      <c r="DM152" s="352"/>
      <c r="DN152" s="352"/>
      <c r="DO152" s="352"/>
      <c r="DP152" s="352"/>
      <c r="DQ152" s="352"/>
      <c r="DR152" s="352"/>
      <c r="DS152" s="352"/>
      <c r="DT152" s="352"/>
      <c r="DU152" s="352"/>
      <c r="DV152" s="352"/>
      <c r="DW152" s="352"/>
      <c r="DX152" s="352"/>
      <c r="DY152" s="352"/>
      <c r="DZ152" s="352"/>
      <c r="EA152" s="352"/>
      <c r="EB152" s="352"/>
      <c r="EC152" s="352"/>
      <c r="ED152" s="352"/>
      <c r="EE152" s="352"/>
      <c r="EF152" s="352"/>
      <c r="EG152" s="352"/>
      <c r="EH152" s="352"/>
      <c r="EI152" s="352"/>
      <c r="EJ152" s="352"/>
      <c r="EK152" s="352"/>
      <c r="EL152" s="352"/>
      <c r="EM152" s="352"/>
      <c r="EN152" s="352"/>
      <c r="EO152" s="352"/>
      <c r="EP152" s="352"/>
      <c r="EQ152" s="352"/>
      <c r="ER152" s="352"/>
      <c r="ES152" s="352"/>
      <c r="ET152" s="352"/>
      <c r="EU152" s="352"/>
      <c r="EV152" s="352"/>
      <c r="EW152" s="352"/>
      <c r="EX152" s="352"/>
      <c r="EY152" s="352"/>
      <c r="EZ152" s="352"/>
      <c r="FA152" s="352"/>
      <c r="FB152" s="352"/>
      <c r="FC152" s="352"/>
      <c r="FD152" s="352"/>
      <c r="FE152" s="352"/>
      <c r="FF152" s="352"/>
      <c r="FG152" s="352"/>
      <c r="FH152" s="352"/>
      <c r="FI152" s="352"/>
      <c r="FJ152" s="352"/>
      <c r="FK152" s="352"/>
      <c r="FL152" s="352"/>
      <c r="FM152" s="352"/>
      <c r="FN152" s="352"/>
      <c r="FO152" s="352"/>
      <c r="FP152" s="352"/>
      <c r="FQ152" s="352"/>
      <c r="FR152" s="352"/>
      <c r="FS152" s="352"/>
      <c r="FT152" s="352"/>
      <c r="FU152" s="352"/>
      <c r="FV152" s="352"/>
      <c r="FW152" s="352"/>
      <c r="FX152" s="352"/>
      <c r="FY152" s="352"/>
      <c r="FZ152" s="352"/>
      <c r="GA152" s="352"/>
      <c r="GB152" s="352"/>
      <c r="GC152" s="352"/>
      <c r="GD152" s="352"/>
      <c r="GE152" s="352"/>
      <c r="GF152" s="352"/>
      <c r="GG152" s="352"/>
      <c r="GH152" s="352"/>
      <c r="GI152" s="352"/>
      <c r="GJ152" s="352"/>
      <c r="GK152" s="352"/>
      <c r="GL152" s="352"/>
      <c r="GM152" s="352"/>
      <c r="GN152" s="352"/>
      <c r="GO152" s="352"/>
      <c r="GP152" s="352"/>
      <c r="GQ152" s="352"/>
      <c r="GR152" s="352"/>
      <c r="GS152" s="352"/>
      <c r="GT152" s="352"/>
      <c r="GU152" s="352"/>
      <c r="GV152" s="352"/>
      <c r="GW152" s="352"/>
      <c r="GX152" s="352"/>
      <c r="GY152" s="352"/>
      <c r="GZ152" s="352"/>
      <c r="HA152" s="352"/>
      <c r="HB152" s="352"/>
      <c r="HC152" s="352"/>
      <c r="HD152" s="352"/>
      <c r="HE152" s="352"/>
      <c r="HF152" s="352"/>
      <c r="HG152" s="352"/>
      <c r="HH152" s="352"/>
      <c r="HI152" s="352"/>
      <c r="HJ152" s="352"/>
      <c r="HK152" s="352"/>
      <c r="HL152" s="352"/>
      <c r="HM152" s="352"/>
      <c r="HN152" s="352"/>
      <c r="HO152" s="352"/>
      <c r="HP152" s="352"/>
      <c r="HQ152" s="352"/>
      <c r="HR152" s="352"/>
      <c r="HS152" s="352"/>
      <c r="HT152" s="352"/>
      <c r="HU152" s="352"/>
      <c r="HV152" s="352"/>
      <c r="HW152" s="352"/>
      <c r="HX152" s="352"/>
      <c r="HY152" s="352"/>
      <c r="HZ152" s="352"/>
      <c r="IA152" s="352"/>
      <c r="IB152" s="352"/>
      <c r="IC152" s="352"/>
      <c r="ID152" s="352"/>
      <c r="IE152" s="352"/>
      <c r="IF152" s="352"/>
      <c r="IG152" s="352"/>
      <c r="IH152" s="352"/>
      <c r="II152" s="352"/>
      <c r="IJ152" s="352"/>
      <c r="IK152" s="352"/>
      <c r="IL152" s="352"/>
      <c r="IM152" s="352"/>
      <c r="IN152" s="352"/>
      <c r="IO152" s="352"/>
      <c r="IP152" s="352"/>
      <c r="IQ152" s="352"/>
      <c r="IR152" s="352"/>
      <c r="IS152" s="352"/>
      <c r="IT152" s="352"/>
      <c r="IU152" s="352"/>
      <c r="IV152" s="352"/>
    </row>
    <row r="153" spans="1:256">
      <c r="A153" s="377"/>
      <c r="B153" s="378"/>
      <c r="C153" s="379"/>
      <c r="D153" s="380"/>
      <c r="E153" s="381"/>
      <c r="F153" s="345"/>
      <c r="G153" s="345"/>
      <c r="H153" s="345"/>
      <c r="I153" s="345"/>
      <c r="J153" s="345"/>
      <c r="K153" s="345"/>
      <c r="L153" s="345"/>
      <c r="M153" s="382"/>
      <c r="N153" s="346"/>
      <c r="O153" s="347"/>
      <c r="AH153" s="352"/>
      <c r="AI153" s="352"/>
      <c r="AJ153" s="352"/>
      <c r="AK153" s="352"/>
      <c r="AL153" s="352"/>
      <c r="AM153" s="352"/>
      <c r="AN153" s="352"/>
      <c r="AO153" s="352"/>
      <c r="AP153" s="352"/>
      <c r="AQ153" s="352"/>
      <c r="AR153" s="352"/>
      <c r="AS153" s="352"/>
      <c r="AT153" s="352"/>
      <c r="AU153" s="352"/>
      <c r="AV153" s="352"/>
      <c r="AW153" s="352"/>
      <c r="AX153" s="352"/>
      <c r="AY153" s="352"/>
      <c r="AZ153" s="352"/>
      <c r="BA153" s="352"/>
      <c r="BB153" s="352"/>
      <c r="BC153" s="352"/>
      <c r="BD153" s="352"/>
      <c r="BE153" s="352"/>
      <c r="BF153" s="352"/>
      <c r="BG153" s="352"/>
      <c r="BH153" s="352"/>
      <c r="BI153" s="352"/>
      <c r="BJ153" s="352"/>
      <c r="BK153" s="352"/>
      <c r="BL153" s="352"/>
      <c r="BM153" s="352"/>
      <c r="BN153" s="352"/>
      <c r="BO153" s="352"/>
      <c r="BP153" s="352"/>
      <c r="BQ153" s="352"/>
      <c r="BR153" s="352"/>
      <c r="BS153" s="352"/>
      <c r="BT153" s="352"/>
      <c r="BU153" s="352"/>
      <c r="BV153" s="352"/>
      <c r="BW153" s="352"/>
      <c r="BX153" s="352"/>
      <c r="BY153" s="352"/>
      <c r="BZ153" s="352"/>
      <c r="CA153" s="352"/>
      <c r="CB153" s="352"/>
      <c r="CC153" s="352"/>
      <c r="CD153" s="352"/>
      <c r="CE153" s="352"/>
      <c r="CF153" s="352"/>
      <c r="CG153" s="352"/>
      <c r="CH153" s="352"/>
      <c r="CI153" s="352"/>
      <c r="CJ153" s="352"/>
      <c r="CK153" s="352"/>
      <c r="CL153" s="352"/>
      <c r="CM153" s="352"/>
      <c r="CN153" s="352"/>
      <c r="CO153" s="352"/>
      <c r="CP153" s="352"/>
      <c r="CQ153" s="352"/>
      <c r="CR153" s="352"/>
      <c r="CS153" s="352"/>
      <c r="CT153" s="352"/>
      <c r="CU153" s="352"/>
      <c r="CV153" s="352"/>
      <c r="CW153" s="352"/>
      <c r="CX153" s="352"/>
      <c r="CY153" s="352"/>
      <c r="CZ153" s="352"/>
      <c r="DA153" s="352"/>
      <c r="DB153" s="352"/>
      <c r="DC153" s="352"/>
      <c r="DD153" s="352"/>
      <c r="DE153" s="352"/>
      <c r="DF153" s="352"/>
      <c r="DG153" s="352"/>
      <c r="DH153" s="352"/>
      <c r="DI153" s="352"/>
      <c r="DJ153" s="352"/>
      <c r="DK153" s="352"/>
      <c r="DL153" s="352"/>
      <c r="DM153" s="352"/>
      <c r="DN153" s="352"/>
      <c r="DO153" s="352"/>
      <c r="DP153" s="352"/>
      <c r="DQ153" s="352"/>
      <c r="DR153" s="352"/>
      <c r="DS153" s="352"/>
      <c r="DT153" s="352"/>
      <c r="DU153" s="352"/>
      <c r="DV153" s="352"/>
      <c r="DW153" s="352"/>
      <c r="DX153" s="352"/>
      <c r="DY153" s="352"/>
      <c r="DZ153" s="352"/>
      <c r="EA153" s="352"/>
      <c r="EB153" s="352"/>
      <c r="EC153" s="352"/>
      <c r="ED153" s="352"/>
      <c r="EE153" s="352"/>
      <c r="EF153" s="352"/>
      <c r="EG153" s="352"/>
      <c r="EH153" s="352"/>
      <c r="EI153" s="352"/>
      <c r="EJ153" s="352"/>
      <c r="EK153" s="352"/>
      <c r="EL153" s="352"/>
      <c r="EM153" s="352"/>
      <c r="EN153" s="352"/>
      <c r="EO153" s="352"/>
      <c r="EP153" s="352"/>
      <c r="EQ153" s="352"/>
      <c r="ER153" s="352"/>
      <c r="ES153" s="352"/>
      <c r="ET153" s="352"/>
      <c r="EU153" s="352"/>
      <c r="EV153" s="352"/>
      <c r="EW153" s="352"/>
      <c r="EX153" s="352"/>
      <c r="EY153" s="352"/>
      <c r="EZ153" s="352"/>
      <c r="FA153" s="352"/>
      <c r="FB153" s="352"/>
      <c r="FC153" s="352"/>
      <c r="FD153" s="352"/>
      <c r="FE153" s="352"/>
      <c r="FF153" s="352"/>
      <c r="FG153" s="352"/>
      <c r="FH153" s="352"/>
      <c r="FI153" s="352"/>
      <c r="FJ153" s="352"/>
      <c r="FK153" s="352"/>
      <c r="FL153" s="352"/>
      <c r="FM153" s="352"/>
      <c r="FN153" s="352"/>
      <c r="FO153" s="352"/>
      <c r="FP153" s="352"/>
      <c r="FQ153" s="352"/>
      <c r="FR153" s="352"/>
      <c r="FS153" s="352"/>
      <c r="FT153" s="352"/>
      <c r="FU153" s="352"/>
      <c r="FV153" s="352"/>
      <c r="FW153" s="352"/>
      <c r="FX153" s="352"/>
      <c r="FY153" s="352"/>
      <c r="FZ153" s="352"/>
      <c r="GA153" s="352"/>
      <c r="GB153" s="352"/>
      <c r="GC153" s="352"/>
      <c r="GD153" s="352"/>
      <c r="GE153" s="352"/>
      <c r="GF153" s="352"/>
      <c r="GG153" s="352"/>
      <c r="GH153" s="352"/>
      <c r="GI153" s="352"/>
      <c r="GJ153" s="352"/>
      <c r="GK153" s="352"/>
      <c r="GL153" s="352"/>
      <c r="GM153" s="352"/>
      <c r="GN153" s="352"/>
      <c r="GO153" s="352"/>
      <c r="GP153" s="352"/>
      <c r="GQ153" s="352"/>
      <c r="GR153" s="352"/>
      <c r="GS153" s="352"/>
      <c r="GT153" s="352"/>
      <c r="GU153" s="352"/>
      <c r="GV153" s="352"/>
      <c r="GW153" s="352"/>
      <c r="GX153" s="352"/>
      <c r="GY153" s="352"/>
      <c r="GZ153" s="352"/>
      <c r="HA153" s="352"/>
      <c r="HB153" s="352"/>
      <c r="HC153" s="352"/>
      <c r="HD153" s="352"/>
      <c r="HE153" s="352"/>
      <c r="HF153" s="352"/>
      <c r="HG153" s="352"/>
      <c r="HH153" s="352"/>
      <c r="HI153" s="352"/>
      <c r="HJ153" s="352"/>
      <c r="HK153" s="352"/>
      <c r="HL153" s="352"/>
      <c r="HM153" s="352"/>
      <c r="HN153" s="352"/>
      <c r="HO153" s="352"/>
      <c r="HP153" s="352"/>
      <c r="HQ153" s="352"/>
      <c r="HR153" s="352"/>
      <c r="HS153" s="352"/>
      <c r="HT153" s="352"/>
      <c r="HU153" s="352"/>
      <c r="HV153" s="352"/>
      <c r="HW153" s="352"/>
      <c r="HX153" s="352"/>
      <c r="HY153" s="352"/>
      <c r="HZ153" s="352"/>
      <c r="IA153" s="352"/>
      <c r="IB153" s="352"/>
      <c r="IC153" s="352"/>
      <c r="ID153" s="352"/>
      <c r="IE153" s="352"/>
      <c r="IF153" s="352"/>
      <c r="IG153" s="352"/>
      <c r="IH153" s="352"/>
      <c r="II153" s="352"/>
      <c r="IJ153" s="352"/>
      <c r="IK153" s="352"/>
      <c r="IL153" s="352"/>
      <c r="IM153" s="352"/>
      <c r="IN153" s="352"/>
      <c r="IO153" s="352"/>
      <c r="IP153" s="352"/>
      <c r="IQ153" s="352"/>
      <c r="IR153" s="352"/>
      <c r="IS153" s="352"/>
      <c r="IT153" s="352"/>
      <c r="IU153" s="352"/>
      <c r="IV153" s="352"/>
    </row>
    <row r="154" spans="1:256">
      <c r="A154" s="377"/>
      <c r="B154" s="378"/>
      <c r="C154" s="379"/>
      <c r="D154" s="380"/>
      <c r="E154" s="381"/>
      <c r="F154" s="345"/>
      <c r="G154" s="345"/>
      <c r="H154" s="345"/>
      <c r="I154" s="345"/>
      <c r="J154" s="345"/>
      <c r="K154" s="345"/>
      <c r="L154" s="345"/>
      <c r="M154" s="382"/>
      <c r="N154" s="346"/>
      <c r="O154" s="347"/>
      <c r="AH154" s="352"/>
      <c r="AI154" s="352"/>
      <c r="AJ154" s="352"/>
      <c r="AK154" s="352"/>
      <c r="AL154" s="352"/>
      <c r="AM154" s="352"/>
      <c r="AN154" s="352"/>
      <c r="AO154" s="352"/>
      <c r="AP154" s="352"/>
      <c r="AQ154" s="352"/>
      <c r="AR154" s="352"/>
      <c r="AS154" s="352"/>
      <c r="AT154" s="352"/>
      <c r="AU154" s="352"/>
      <c r="AV154" s="352"/>
      <c r="AW154" s="352"/>
      <c r="AX154" s="352"/>
      <c r="AY154" s="352"/>
      <c r="AZ154" s="352"/>
      <c r="BA154" s="352"/>
      <c r="BB154" s="352"/>
      <c r="BC154" s="352"/>
      <c r="BD154" s="352"/>
      <c r="BE154" s="352"/>
      <c r="BF154" s="352"/>
      <c r="BG154" s="352"/>
      <c r="BH154" s="352"/>
      <c r="BI154" s="352"/>
      <c r="BJ154" s="352"/>
      <c r="BK154" s="352"/>
      <c r="BL154" s="352"/>
      <c r="BM154" s="352"/>
      <c r="BN154" s="352"/>
      <c r="BO154" s="352"/>
      <c r="BP154" s="352"/>
      <c r="BQ154" s="352"/>
      <c r="BR154" s="352"/>
      <c r="BS154" s="352"/>
      <c r="BT154" s="352"/>
      <c r="BU154" s="352"/>
      <c r="BV154" s="352"/>
      <c r="BW154" s="352"/>
      <c r="BX154" s="352"/>
      <c r="BY154" s="352"/>
      <c r="BZ154" s="352"/>
      <c r="CA154" s="352"/>
      <c r="CB154" s="352"/>
      <c r="CC154" s="352"/>
      <c r="CD154" s="352"/>
      <c r="CE154" s="352"/>
      <c r="CF154" s="352"/>
      <c r="CG154" s="352"/>
      <c r="CH154" s="352"/>
      <c r="CI154" s="352"/>
      <c r="CJ154" s="352"/>
      <c r="CK154" s="352"/>
      <c r="CL154" s="352"/>
      <c r="CM154" s="352"/>
      <c r="CN154" s="352"/>
      <c r="CO154" s="352"/>
      <c r="CP154" s="352"/>
      <c r="CQ154" s="352"/>
      <c r="CR154" s="352"/>
      <c r="CS154" s="352"/>
      <c r="CT154" s="352"/>
      <c r="CU154" s="352"/>
      <c r="CV154" s="352"/>
      <c r="CW154" s="352"/>
      <c r="CX154" s="352"/>
      <c r="CY154" s="352"/>
      <c r="CZ154" s="352"/>
      <c r="DA154" s="352"/>
      <c r="DB154" s="352"/>
      <c r="DC154" s="352"/>
      <c r="DD154" s="352"/>
      <c r="DE154" s="352"/>
      <c r="DF154" s="352"/>
      <c r="DG154" s="352"/>
      <c r="DH154" s="352"/>
      <c r="DI154" s="352"/>
      <c r="DJ154" s="352"/>
      <c r="DK154" s="352"/>
      <c r="DL154" s="352"/>
      <c r="DM154" s="352"/>
      <c r="DN154" s="352"/>
      <c r="DO154" s="352"/>
      <c r="DP154" s="352"/>
      <c r="DQ154" s="352"/>
      <c r="DR154" s="352"/>
      <c r="DS154" s="352"/>
      <c r="DT154" s="352"/>
      <c r="DU154" s="352"/>
      <c r="DV154" s="352"/>
      <c r="DW154" s="352"/>
      <c r="DX154" s="352"/>
      <c r="DY154" s="352"/>
      <c r="DZ154" s="352"/>
      <c r="EA154" s="352"/>
      <c r="EB154" s="352"/>
      <c r="EC154" s="352"/>
      <c r="ED154" s="352"/>
      <c r="EE154" s="352"/>
      <c r="EF154" s="352"/>
      <c r="EG154" s="352"/>
      <c r="EH154" s="352"/>
      <c r="EI154" s="352"/>
      <c r="EJ154" s="352"/>
      <c r="EK154" s="352"/>
      <c r="EL154" s="352"/>
      <c r="EM154" s="352"/>
      <c r="EN154" s="352"/>
      <c r="EO154" s="352"/>
      <c r="EP154" s="352"/>
      <c r="EQ154" s="352"/>
      <c r="ER154" s="352"/>
      <c r="ES154" s="352"/>
      <c r="ET154" s="352"/>
      <c r="EU154" s="352"/>
      <c r="EV154" s="352"/>
      <c r="EW154" s="352"/>
      <c r="EX154" s="352"/>
      <c r="EY154" s="352"/>
      <c r="EZ154" s="352"/>
      <c r="FA154" s="352"/>
      <c r="FB154" s="352"/>
      <c r="FC154" s="352"/>
      <c r="FD154" s="352"/>
      <c r="FE154" s="352"/>
      <c r="FF154" s="352"/>
      <c r="FG154" s="352"/>
      <c r="FH154" s="352"/>
      <c r="FI154" s="352"/>
      <c r="FJ154" s="352"/>
      <c r="FK154" s="352"/>
      <c r="FL154" s="352"/>
      <c r="FM154" s="352"/>
      <c r="FN154" s="352"/>
      <c r="FO154" s="352"/>
      <c r="FP154" s="352"/>
      <c r="FQ154" s="352"/>
      <c r="FR154" s="352"/>
      <c r="FS154" s="352"/>
      <c r="FT154" s="352"/>
      <c r="FU154" s="352"/>
      <c r="FV154" s="352"/>
      <c r="FW154" s="352"/>
      <c r="FX154" s="352"/>
      <c r="FY154" s="352"/>
      <c r="FZ154" s="352"/>
      <c r="GA154" s="352"/>
      <c r="GB154" s="352"/>
      <c r="GC154" s="352"/>
      <c r="GD154" s="352"/>
      <c r="GE154" s="352"/>
      <c r="GF154" s="352"/>
      <c r="GG154" s="352"/>
      <c r="GH154" s="352"/>
      <c r="GI154" s="352"/>
      <c r="GJ154" s="352"/>
      <c r="GK154" s="352"/>
      <c r="GL154" s="352"/>
      <c r="GM154" s="352"/>
      <c r="GN154" s="352"/>
      <c r="GO154" s="352"/>
      <c r="GP154" s="352"/>
      <c r="GQ154" s="352"/>
      <c r="GR154" s="352"/>
      <c r="GS154" s="352"/>
      <c r="GT154" s="352"/>
      <c r="GU154" s="352"/>
      <c r="GV154" s="352"/>
      <c r="GW154" s="352"/>
      <c r="GX154" s="352"/>
      <c r="GY154" s="352"/>
      <c r="GZ154" s="352"/>
      <c r="HA154" s="352"/>
      <c r="HB154" s="352"/>
      <c r="HC154" s="352"/>
      <c r="HD154" s="352"/>
      <c r="HE154" s="352"/>
      <c r="HF154" s="352"/>
      <c r="HG154" s="352"/>
      <c r="HH154" s="352"/>
      <c r="HI154" s="352"/>
      <c r="HJ154" s="352"/>
      <c r="HK154" s="352"/>
      <c r="HL154" s="352"/>
      <c r="HM154" s="352"/>
      <c r="HN154" s="352"/>
      <c r="HO154" s="352"/>
      <c r="HP154" s="352"/>
      <c r="HQ154" s="352"/>
      <c r="HR154" s="352"/>
      <c r="HS154" s="352"/>
      <c r="HT154" s="352"/>
      <c r="HU154" s="352"/>
      <c r="HV154" s="352"/>
      <c r="HW154" s="352"/>
      <c r="HX154" s="352"/>
      <c r="HY154" s="352"/>
      <c r="HZ154" s="352"/>
      <c r="IA154" s="352"/>
      <c r="IB154" s="352"/>
      <c r="IC154" s="352"/>
      <c r="ID154" s="352"/>
      <c r="IE154" s="352"/>
      <c r="IF154" s="352"/>
      <c r="IG154" s="352"/>
      <c r="IH154" s="352"/>
      <c r="II154" s="352"/>
      <c r="IJ154" s="352"/>
      <c r="IK154" s="352"/>
      <c r="IL154" s="352"/>
      <c r="IM154" s="352"/>
      <c r="IN154" s="352"/>
      <c r="IO154" s="352"/>
      <c r="IP154" s="352"/>
      <c r="IQ154" s="352"/>
      <c r="IR154" s="352"/>
      <c r="IS154" s="352"/>
      <c r="IT154" s="352"/>
      <c r="IU154" s="352"/>
      <c r="IV154" s="352"/>
    </row>
    <row r="155" spans="1:256">
      <c r="A155" s="377"/>
      <c r="B155" s="378"/>
      <c r="C155" s="379"/>
      <c r="D155" s="380"/>
      <c r="E155" s="381"/>
      <c r="F155" s="345"/>
      <c r="G155" s="345"/>
      <c r="H155" s="345"/>
      <c r="I155" s="345"/>
      <c r="J155" s="345"/>
      <c r="K155" s="345"/>
      <c r="L155" s="345"/>
      <c r="M155" s="382"/>
      <c r="N155" s="346"/>
      <c r="O155" s="347"/>
      <c r="AH155" s="352"/>
      <c r="AI155" s="352"/>
      <c r="AJ155" s="352"/>
      <c r="AK155" s="352"/>
      <c r="AL155" s="352"/>
      <c r="AM155" s="352"/>
      <c r="AN155" s="352"/>
      <c r="AO155" s="352"/>
      <c r="AP155" s="352"/>
      <c r="AQ155" s="352"/>
      <c r="AR155" s="352"/>
      <c r="AS155" s="352"/>
      <c r="AT155" s="352"/>
      <c r="AU155" s="352"/>
      <c r="AV155" s="352"/>
      <c r="AW155" s="352"/>
      <c r="AX155" s="352"/>
      <c r="AY155" s="352"/>
      <c r="AZ155" s="352"/>
      <c r="BA155" s="352"/>
      <c r="BB155" s="352"/>
      <c r="BC155" s="352"/>
      <c r="BD155" s="352"/>
      <c r="BE155" s="352"/>
      <c r="BF155" s="352"/>
      <c r="BG155" s="352"/>
      <c r="BH155" s="352"/>
      <c r="BI155" s="352"/>
      <c r="BJ155" s="352"/>
      <c r="BK155" s="352"/>
      <c r="BL155" s="352"/>
      <c r="BM155" s="352"/>
      <c r="BN155" s="352"/>
      <c r="BO155" s="352"/>
      <c r="BP155" s="352"/>
      <c r="BQ155" s="352"/>
      <c r="BR155" s="352"/>
      <c r="BS155" s="352"/>
      <c r="BT155" s="352"/>
      <c r="BU155" s="352"/>
      <c r="BV155" s="352"/>
      <c r="BW155" s="352"/>
      <c r="BX155" s="352"/>
      <c r="BY155" s="352"/>
      <c r="BZ155" s="352"/>
      <c r="CA155" s="352"/>
      <c r="CB155" s="352"/>
      <c r="CC155" s="352"/>
      <c r="CD155" s="352"/>
      <c r="CE155" s="352"/>
      <c r="CF155" s="352"/>
      <c r="CG155" s="352"/>
      <c r="CH155" s="352"/>
      <c r="CI155" s="352"/>
      <c r="CJ155" s="352"/>
      <c r="CK155" s="352"/>
      <c r="CL155" s="352"/>
      <c r="CM155" s="352"/>
      <c r="CN155" s="352"/>
      <c r="CO155" s="352"/>
      <c r="CP155" s="352"/>
      <c r="CQ155" s="352"/>
      <c r="CR155" s="352"/>
      <c r="CS155" s="352"/>
      <c r="CT155" s="352"/>
      <c r="CU155" s="352"/>
      <c r="CV155" s="352"/>
      <c r="CW155" s="352"/>
      <c r="CX155" s="352"/>
      <c r="CY155" s="352"/>
      <c r="CZ155" s="352"/>
      <c r="DA155" s="352"/>
      <c r="DB155" s="352"/>
      <c r="DC155" s="352"/>
      <c r="DD155" s="352"/>
      <c r="DE155" s="352"/>
      <c r="DF155" s="352"/>
      <c r="DG155" s="352"/>
      <c r="DH155" s="352"/>
      <c r="DI155" s="352"/>
      <c r="DJ155" s="352"/>
      <c r="DK155" s="352"/>
      <c r="DL155" s="352"/>
      <c r="DM155" s="352"/>
      <c r="DN155" s="352"/>
      <c r="DO155" s="352"/>
      <c r="DP155" s="352"/>
      <c r="DQ155" s="352"/>
      <c r="DR155" s="352"/>
      <c r="DS155" s="352"/>
      <c r="DT155" s="352"/>
      <c r="DU155" s="352"/>
      <c r="DV155" s="352"/>
      <c r="DW155" s="352"/>
      <c r="DX155" s="352"/>
      <c r="DY155" s="352"/>
      <c r="DZ155" s="352"/>
      <c r="EA155" s="352"/>
      <c r="EB155" s="352"/>
      <c r="EC155" s="352"/>
      <c r="ED155" s="352"/>
      <c r="EE155" s="352"/>
      <c r="EF155" s="352"/>
      <c r="EG155" s="352"/>
      <c r="EH155" s="352"/>
      <c r="EI155" s="352"/>
      <c r="EJ155" s="352"/>
      <c r="EK155" s="352"/>
      <c r="EL155" s="352"/>
      <c r="EM155" s="352"/>
      <c r="EN155" s="352"/>
      <c r="EO155" s="352"/>
      <c r="EP155" s="352"/>
      <c r="EQ155" s="352"/>
      <c r="ER155" s="352"/>
      <c r="ES155" s="352"/>
      <c r="ET155" s="352"/>
      <c r="EU155" s="352"/>
      <c r="EV155" s="352"/>
      <c r="EW155" s="352"/>
      <c r="EX155" s="352"/>
      <c r="EY155" s="352"/>
      <c r="EZ155" s="352"/>
      <c r="FA155" s="352"/>
      <c r="FB155" s="352"/>
      <c r="FC155" s="352"/>
      <c r="FD155" s="352"/>
      <c r="FE155" s="352"/>
      <c r="FF155" s="352"/>
      <c r="FG155" s="352"/>
      <c r="FH155" s="352"/>
      <c r="FI155" s="352"/>
      <c r="FJ155" s="352"/>
      <c r="FK155" s="352"/>
      <c r="FL155" s="352"/>
      <c r="FM155" s="352"/>
      <c r="FN155" s="352"/>
      <c r="FO155" s="352"/>
      <c r="FP155" s="352"/>
      <c r="FQ155" s="352"/>
      <c r="FR155" s="352"/>
      <c r="FS155" s="352"/>
      <c r="FT155" s="352"/>
      <c r="FU155" s="352"/>
      <c r="FV155" s="352"/>
      <c r="FW155" s="352"/>
      <c r="FX155" s="352"/>
      <c r="FY155" s="352"/>
      <c r="FZ155" s="352"/>
      <c r="GA155" s="352"/>
      <c r="GB155" s="352"/>
      <c r="GC155" s="352"/>
      <c r="GD155" s="352"/>
      <c r="GE155" s="352"/>
      <c r="GF155" s="352"/>
      <c r="GG155" s="352"/>
      <c r="GH155" s="352"/>
      <c r="GI155" s="352"/>
      <c r="GJ155" s="352"/>
      <c r="GK155" s="352"/>
      <c r="GL155" s="352"/>
      <c r="GM155" s="352"/>
      <c r="GN155" s="352"/>
      <c r="GO155" s="352"/>
      <c r="GP155" s="352"/>
      <c r="GQ155" s="352"/>
      <c r="GR155" s="352"/>
      <c r="GS155" s="352"/>
      <c r="GT155" s="352"/>
      <c r="GU155" s="352"/>
      <c r="GV155" s="352"/>
      <c r="GW155" s="352"/>
      <c r="GX155" s="352"/>
      <c r="GY155" s="352"/>
      <c r="GZ155" s="352"/>
      <c r="HA155" s="352"/>
      <c r="HB155" s="352"/>
      <c r="HC155" s="352"/>
      <c r="HD155" s="352"/>
      <c r="HE155" s="352"/>
      <c r="HF155" s="352"/>
      <c r="HG155" s="352"/>
      <c r="HH155" s="352"/>
      <c r="HI155" s="352"/>
      <c r="HJ155" s="352"/>
      <c r="HK155" s="352"/>
      <c r="HL155" s="352"/>
      <c r="HM155" s="352"/>
      <c r="HN155" s="352"/>
      <c r="HO155" s="352"/>
      <c r="HP155" s="352"/>
      <c r="HQ155" s="352"/>
      <c r="HR155" s="352"/>
      <c r="HS155" s="352"/>
      <c r="HT155" s="352"/>
      <c r="HU155" s="352"/>
      <c r="HV155" s="352"/>
      <c r="HW155" s="352"/>
      <c r="HX155" s="352"/>
      <c r="HY155" s="352"/>
      <c r="HZ155" s="352"/>
      <c r="IA155" s="352"/>
      <c r="IB155" s="352"/>
      <c r="IC155" s="352"/>
      <c r="ID155" s="352"/>
      <c r="IE155" s="352"/>
      <c r="IF155" s="352"/>
      <c r="IG155" s="352"/>
      <c r="IH155" s="352"/>
      <c r="II155" s="352"/>
      <c r="IJ155" s="352"/>
      <c r="IK155" s="352"/>
      <c r="IL155" s="352"/>
      <c r="IM155" s="352"/>
      <c r="IN155" s="352"/>
      <c r="IO155" s="352"/>
      <c r="IP155" s="352"/>
      <c r="IQ155" s="352"/>
      <c r="IR155" s="352"/>
      <c r="IS155" s="352"/>
      <c r="IT155" s="352"/>
      <c r="IU155" s="352"/>
      <c r="IV155" s="352"/>
    </row>
    <row r="156" spans="1:256">
      <c r="A156" s="377"/>
      <c r="B156" s="378"/>
      <c r="C156" s="379"/>
      <c r="D156" s="380"/>
      <c r="E156" s="381"/>
      <c r="F156" s="345"/>
      <c r="G156" s="345"/>
      <c r="H156" s="345"/>
      <c r="I156" s="345"/>
      <c r="J156" s="345"/>
      <c r="K156" s="345"/>
      <c r="L156" s="345"/>
      <c r="M156" s="382"/>
      <c r="N156" s="346"/>
      <c r="O156" s="347"/>
      <c r="AH156" s="352"/>
      <c r="AI156" s="352"/>
      <c r="AJ156" s="352"/>
      <c r="AK156" s="352"/>
      <c r="AL156" s="352"/>
      <c r="AM156" s="352"/>
      <c r="AN156" s="352"/>
      <c r="AO156" s="352"/>
      <c r="AP156" s="352"/>
      <c r="AQ156" s="352"/>
      <c r="AR156" s="352"/>
      <c r="AS156" s="352"/>
      <c r="AT156" s="352"/>
      <c r="AU156" s="352"/>
      <c r="AV156" s="352"/>
      <c r="AW156" s="352"/>
      <c r="AX156" s="352"/>
      <c r="AY156" s="352"/>
      <c r="AZ156" s="352"/>
      <c r="BA156" s="352"/>
      <c r="BB156" s="352"/>
      <c r="BC156" s="352"/>
      <c r="BD156" s="352"/>
      <c r="BE156" s="352"/>
      <c r="BF156" s="352"/>
      <c r="BG156" s="352"/>
      <c r="BH156" s="352"/>
      <c r="BI156" s="352"/>
      <c r="BJ156" s="352"/>
      <c r="BK156" s="352"/>
      <c r="BL156" s="352"/>
      <c r="BM156" s="352"/>
      <c r="BN156" s="352"/>
      <c r="BO156" s="352"/>
      <c r="BP156" s="352"/>
      <c r="BQ156" s="352"/>
      <c r="BR156" s="352"/>
      <c r="BS156" s="352"/>
      <c r="BT156" s="352"/>
      <c r="BU156" s="352"/>
      <c r="BV156" s="352"/>
      <c r="BW156" s="352"/>
      <c r="BX156" s="352"/>
      <c r="BY156" s="352"/>
      <c r="BZ156" s="352"/>
      <c r="CA156" s="352"/>
      <c r="CB156" s="352"/>
      <c r="CC156" s="352"/>
      <c r="CD156" s="352"/>
      <c r="CE156" s="352"/>
      <c r="CF156" s="352"/>
      <c r="CG156" s="352"/>
      <c r="CH156" s="352"/>
      <c r="CI156" s="352"/>
      <c r="CJ156" s="352"/>
      <c r="CK156" s="352"/>
      <c r="CL156" s="352"/>
      <c r="CM156" s="352"/>
      <c r="CN156" s="352"/>
      <c r="CO156" s="352"/>
      <c r="CP156" s="352"/>
      <c r="CQ156" s="352"/>
      <c r="CR156" s="352"/>
      <c r="CS156" s="352"/>
      <c r="CT156" s="352"/>
      <c r="CU156" s="352"/>
      <c r="CV156" s="352"/>
      <c r="CW156" s="352"/>
      <c r="CX156" s="352"/>
      <c r="CY156" s="352"/>
      <c r="CZ156" s="352"/>
      <c r="DA156" s="352"/>
      <c r="DB156" s="352"/>
      <c r="DC156" s="352"/>
      <c r="DD156" s="352"/>
      <c r="DE156" s="352"/>
      <c r="DF156" s="352"/>
      <c r="DG156" s="352"/>
      <c r="DH156" s="352"/>
      <c r="DI156" s="352"/>
      <c r="DJ156" s="352"/>
      <c r="DK156" s="352"/>
      <c r="DL156" s="352"/>
      <c r="DM156" s="352"/>
      <c r="DN156" s="352"/>
      <c r="DO156" s="352"/>
      <c r="DP156" s="352"/>
      <c r="DQ156" s="352"/>
      <c r="DR156" s="352"/>
      <c r="DS156" s="352"/>
      <c r="DT156" s="352"/>
      <c r="DU156" s="352"/>
      <c r="DV156" s="352"/>
      <c r="DW156" s="352"/>
      <c r="DX156" s="352"/>
      <c r="DY156" s="352"/>
      <c r="DZ156" s="352"/>
      <c r="EA156" s="352"/>
      <c r="EB156" s="352"/>
      <c r="EC156" s="352"/>
      <c r="ED156" s="352"/>
      <c r="EE156" s="352"/>
      <c r="EF156" s="352"/>
      <c r="EG156" s="352"/>
      <c r="EH156" s="352"/>
      <c r="EI156" s="352"/>
      <c r="EJ156" s="352"/>
      <c r="EK156" s="352"/>
      <c r="EL156" s="352"/>
      <c r="EM156" s="352"/>
      <c r="EN156" s="352"/>
      <c r="EO156" s="352"/>
      <c r="EP156" s="352"/>
      <c r="EQ156" s="352"/>
      <c r="ER156" s="352"/>
      <c r="ES156" s="352"/>
      <c r="ET156" s="352"/>
      <c r="EU156" s="352"/>
      <c r="EV156" s="352"/>
      <c r="EW156" s="352"/>
      <c r="EX156" s="352"/>
      <c r="EY156" s="352"/>
      <c r="EZ156" s="352"/>
      <c r="FA156" s="352"/>
      <c r="FB156" s="352"/>
      <c r="FC156" s="352"/>
      <c r="FD156" s="352"/>
      <c r="FE156" s="352"/>
      <c r="FF156" s="352"/>
      <c r="FG156" s="352"/>
      <c r="FH156" s="352"/>
      <c r="FI156" s="352"/>
      <c r="FJ156" s="352"/>
      <c r="FK156" s="352"/>
      <c r="FL156" s="352"/>
      <c r="FM156" s="352"/>
      <c r="FN156" s="352"/>
      <c r="FO156" s="352"/>
      <c r="FP156" s="352"/>
      <c r="FQ156" s="352"/>
      <c r="FR156" s="352"/>
      <c r="FS156" s="352"/>
      <c r="FT156" s="352"/>
      <c r="FU156" s="352"/>
      <c r="FV156" s="352"/>
      <c r="FW156" s="352"/>
      <c r="FX156" s="352"/>
      <c r="FY156" s="352"/>
      <c r="FZ156" s="352"/>
      <c r="GA156" s="352"/>
      <c r="GB156" s="352"/>
      <c r="GC156" s="352"/>
      <c r="GD156" s="352"/>
      <c r="GE156" s="352"/>
      <c r="GF156" s="352"/>
      <c r="GG156" s="352"/>
      <c r="GH156" s="352"/>
      <c r="GI156" s="352"/>
      <c r="GJ156" s="352"/>
      <c r="GK156" s="352"/>
      <c r="GL156" s="352"/>
      <c r="GM156" s="352"/>
      <c r="GN156" s="352"/>
      <c r="GO156" s="352"/>
      <c r="GP156" s="352"/>
      <c r="GQ156" s="352"/>
      <c r="GR156" s="352"/>
      <c r="GS156" s="352"/>
      <c r="GT156" s="352"/>
      <c r="GU156" s="352"/>
      <c r="GV156" s="352"/>
      <c r="GW156" s="352"/>
      <c r="GX156" s="352"/>
      <c r="GY156" s="352"/>
      <c r="GZ156" s="352"/>
      <c r="HA156" s="352"/>
      <c r="HB156" s="352"/>
      <c r="HC156" s="352"/>
      <c r="HD156" s="352"/>
      <c r="HE156" s="352"/>
      <c r="HF156" s="352"/>
      <c r="HG156" s="352"/>
      <c r="HH156" s="352"/>
      <c r="HI156" s="352"/>
      <c r="HJ156" s="352"/>
      <c r="HK156" s="352"/>
      <c r="HL156" s="352"/>
      <c r="HM156" s="352"/>
      <c r="HN156" s="352"/>
      <c r="HO156" s="352"/>
      <c r="HP156" s="352"/>
      <c r="HQ156" s="352"/>
      <c r="HR156" s="352"/>
      <c r="HS156" s="352"/>
      <c r="HT156" s="352"/>
      <c r="HU156" s="352"/>
      <c r="HV156" s="352"/>
      <c r="HW156" s="352"/>
      <c r="HX156" s="352"/>
      <c r="HY156" s="352"/>
      <c r="HZ156" s="352"/>
      <c r="IA156" s="352"/>
      <c r="IB156" s="352"/>
      <c r="IC156" s="352"/>
      <c r="ID156" s="352"/>
      <c r="IE156" s="352"/>
      <c r="IF156" s="352"/>
      <c r="IG156" s="352"/>
      <c r="IH156" s="352"/>
      <c r="II156" s="352"/>
      <c r="IJ156" s="352"/>
      <c r="IK156" s="352"/>
      <c r="IL156" s="352"/>
      <c r="IM156" s="352"/>
      <c r="IN156" s="352"/>
      <c r="IO156" s="352"/>
      <c r="IP156" s="352"/>
      <c r="IQ156" s="352"/>
      <c r="IR156" s="352"/>
      <c r="IS156" s="352"/>
      <c r="IT156" s="352"/>
      <c r="IU156" s="352"/>
      <c r="IV156" s="352"/>
    </row>
    <row r="157" spans="1:256">
      <c r="A157" s="377"/>
      <c r="B157" s="378"/>
      <c r="C157" s="379"/>
      <c r="D157" s="380"/>
      <c r="E157" s="381"/>
      <c r="F157" s="345"/>
      <c r="G157" s="345"/>
      <c r="H157" s="345"/>
      <c r="I157" s="345"/>
      <c r="J157" s="345"/>
      <c r="K157" s="345"/>
      <c r="L157" s="345"/>
      <c r="M157" s="382"/>
      <c r="N157" s="346"/>
      <c r="O157" s="347"/>
      <c r="AH157" s="352"/>
      <c r="AI157" s="352"/>
      <c r="AJ157" s="352"/>
      <c r="AK157" s="352"/>
      <c r="AL157" s="352"/>
      <c r="AM157" s="352"/>
      <c r="AN157" s="352"/>
      <c r="AO157" s="352"/>
      <c r="AP157" s="352"/>
      <c r="AQ157" s="352"/>
      <c r="AR157" s="352"/>
      <c r="AS157" s="352"/>
      <c r="AT157" s="352"/>
      <c r="AU157" s="352"/>
      <c r="AV157" s="352"/>
      <c r="AW157" s="352"/>
      <c r="AX157" s="352"/>
      <c r="AY157" s="352"/>
      <c r="AZ157" s="352"/>
      <c r="BA157" s="352"/>
      <c r="BB157" s="352"/>
      <c r="BC157" s="352"/>
      <c r="BD157" s="352"/>
      <c r="BE157" s="352"/>
      <c r="BF157" s="352"/>
      <c r="BG157" s="352"/>
      <c r="BH157" s="352"/>
      <c r="BI157" s="352"/>
      <c r="BJ157" s="352"/>
      <c r="BK157" s="352"/>
      <c r="BL157" s="352"/>
      <c r="BM157" s="352"/>
      <c r="BN157" s="352"/>
      <c r="BO157" s="352"/>
      <c r="BP157" s="352"/>
      <c r="BQ157" s="352"/>
      <c r="BR157" s="352"/>
      <c r="BS157" s="352"/>
      <c r="BT157" s="352"/>
      <c r="BU157" s="352"/>
      <c r="BV157" s="352"/>
      <c r="BW157" s="352"/>
      <c r="BX157" s="352"/>
      <c r="BY157" s="352"/>
      <c r="BZ157" s="352"/>
      <c r="CA157" s="352"/>
      <c r="CB157" s="352"/>
      <c r="CC157" s="352"/>
      <c r="CD157" s="352"/>
      <c r="CE157" s="352"/>
      <c r="CF157" s="352"/>
      <c r="CG157" s="352"/>
      <c r="CH157" s="352"/>
      <c r="CI157" s="352"/>
      <c r="CJ157" s="352"/>
      <c r="CK157" s="352"/>
      <c r="CL157" s="352"/>
      <c r="CM157" s="352"/>
      <c r="CN157" s="352"/>
      <c r="CO157" s="352"/>
      <c r="CP157" s="352"/>
      <c r="CQ157" s="352"/>
      <c r="CR157" s="352"/>
      <c r="CS157" s="352"/>
      <c r="CT157" s="352"/>
      <c r="CU157" s="352"/>
      <c r="CV157" s="352"/>
      <c r="CW157" s="352"/>
      <c r="CX157" s="352"/>
      <c r="CY157" s="352"/>
      <c r="CZ157" s="352"/>
      <c r="DA157" s="352"/>
      <c r="DB157" s="352"/>
      <c r="DC157" s="352"/>
      <c r="DD157" s="352"/>
      <c r="DE157" s="352"/>
      <c r="DF157" s="352"/>
      <c r="DG157" s="352"/>
      <c r="DH157" s="352"/>
      <c r="DI157" s="352"/>
      <c r="DJ157" s="352"/>
      <c r="DK157" s="352"/>
      <c r="DL157" s="352"/>
      <c r="DM157" s="352"/>
      <c r="DN157" s="352"/>
      <c r="DO157" s="352"/>
      <c r="DP157" s="352"/>
      <c r="DQ157" s="352"/>
      <c r="DR157" s="352"/>
      <c r="DS157" s="352"/>
      <c r="DT157" s="352"/>
      <c r="DU157" s="352"/>
      <c r="DV157" s="352"/>
      <c r="DW157" s="352"/>
      <c r="DX157" s="352"/>
      <c r="DY157" s="352"/>
      <c r="DZ157" s="352"/>
      <c r="EA157" s="352"/>
      <c r="EB157" s="352"/>
      <c r="EC157" s="352"/>
      <c r="ED157" s="352"/>
      <c r="EE157" s="352"/>
      <c r="EF157" s="352"/>
      <c r="EG157" s="352"/>
      <c r="EH157" s="352"/>
      <c r="EI157" s="352"/>
      <c r="EJ157" s="352"/>
      <c r="EK157" s="352"/>
      <c r="EL157" s="352"/>
      <c r="EM157" s="352"/>
      <c r="EN157" s="352"/>
      <c r="EO157" s="352"/>
      <c r="EP157" s="352"/>
      <c r="EQ157" s="352"/>
      <c r="ER157" s="352"/>
      <c r="ES157" s="352"/>
      <c r="ET157" s="352"/>
      <c r="EU157" s="352"/>
      <c r="EV157" s="352"/>
      <c r="EW157" s="352"/>
      <c r="EX157" s="352"/>
      <c r="EY157" s="352"/>
      <c r="EZ157" s="352"/>
      <c r="FA157" s="352"/>
      <c r="FB157" s="352"/>
      <c r="FC157" s="352"/>
      <c r="FD157" s="352"/>
      <c r="FE157" s="352"/>
      <c r="FF157" s="352"/>
      <c r="FG157" s="352"/>
      <c r="FH157" s="352"/>
      <c r="FI157" s="352"/>
      <c r="FJ157" s="352"/>
      <c r="FK157" s="352"/>
      <c r="FL157" s="352"/>
      <c r="FM157" s="352"/>
      <c r="FN157" s="352"/>
      <c r="FO157" s="352"/>
      <c r="FP157" s="352"/>
      <c r="FQ157" s="352"/>
      <c r="FR157" s="352"/>
      <c r="FS157" s="352"/>
      <c r="FT157" s="352"/>
      <c r="FU157" s="352"/>
      <c r="FV157" s="352"/>
      <c r="FW157" s="352"/>
      <c r="FX157" s="352"/>
      <c r="FY157" s="352"/>
      <c r="FZ157" s="352"/>
      <c r="GA157" s="352"/>
      <c r="GB157" s="352"/>
      <c r="GC157" s="352"/>
      <c r="GD157" s="352"/>
      <c r="GE157" s="352"/>
      <c r="GF157" s="352"/>
      <c r="GG157" s="352"/>
      <c r="GH157" s="352"/>
      <c r="GI157" s="352"/>
      <c r="GJ157" s="352"/>
      <c r="GK157" s="352"/>
      <c r="GL157" s="352"/>
      <c r="GM157" s="352"/>
      <c r="GN157" s="352"/>
      <c r="GO157" s="352"/>
      <c r="GP157" s="352"/>
      <c r="GQ157" s="352"/>
      <c r="GR157" s="352"/>
      <c r="GS157" s="352"/>
      <c r="GT157" s="352"/>
      <c r="GU157" s="352"/>
      <c r="GV157" s="352"/>
      <c r="GW157" s="352"/>
      <c r="GX157" s="352"/>
      <c r="GY157" s="352"/>
      <c r="GZ157" s="352"/>
      <c r="HA157" s="352"/>
      <c r="HB157" s="352"/>
      <c r="HC157" s="352"/>
      <c r="HD157" s="352"/>
      <c r="HE157" s="352"/>
      <c r="HF157" s="352"/>
      <c r="HG157" s="352"/>
      <c r="HH157" s="352"/>
      <c r="HI157" s="352"/>
      <c r="HJ157" s="352"/>
      <c r="HK157" s="352"/>
      <c r="HL157" s="352"/>
      <c r="HM157" s="352"/>
      <c r="HN157" s="352"/>
      <c r="HO157" s="352"/>
      <c r="HP157" s="352"/>
      <c r="HQ157" s="352"/>
      <c r="HR157" s="352"/>
      <c r="HS157" s="352"/>
      <c r="HT157" s="352"/>
      <c r="HU157" s="352"/>
      <c r="HV157" s="352"/>
      <c r="HW157" s="352"/>
      <c r="HX157" s="352"/>
      <c r="HY157" s="352"/>
      <c r="HZ157" s="352"/>
      <c r="IA157" s="352"/>
      <c r="IB157" s="352"/>
      <c r="IC157" s="352"/>
      <c r="ID157" s="352"/>
      <c r="IE157" s="352"/>
      <c r="IF157" s="352"/>
      <c r="IG157" s="352"/>
      <c r="IH157" s="352"/>
      <c r="II157" s="352"/>
      <c r="IJ157" s="352"/>
      <c r="IK157" s="352"/>
      <c r="IL157" s="352"/>
      <c r="IM157" s="352"/>
      <c r="IN157" s="352"/>
      <c r="IO157" s="352"/>
      <c r="IP157" s="352"/>
      <c r="IQ157" s="352"/>
      <c r="IR157" s="352"/>
      <c r="IS157" s="352"/>
      <c r="IT157" s="352"/>
      <c r="IU157" s="352"/>
      <c r="IV157" s="352"/>
    </row>
    <row r="158" spans="1:256">
      <c r="A158" s="346"/>
      <c r="B158" s="406"/>
      <c r="C158" s="407"/>
      <c r="D158" s="407"/>
      <c r="E158" s="407"/>
      <c r="F158" s="396"/>
      <c r="G158" s="396"/>
      <c r="H158" s="396"/>
      <c r="I158" s="396"/>
      <c r="J158" s="396"/>
      <c r="K158" s="396"/>
      <c r="L158" s="396"/>
      <c r="M158" s="396"/>
      <c r="N158" s="396"/>
      <c r="O158" s="347"/>
    </row>
    <row r="159" spans="1:256">
      <c r="A159" s="346"/>
      <c r="B159" s="406"/>
      <c r="C159" s="407"/>
      <c r="D159" s="407"/>
      <c r="E159" s="407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</row>
    <row r="160" spans="1:256">
      <c r="A160" s="346"/>
      <c r="B160" s="406"/>
      <c r="C160" s="407"/>
      <c r="D160" s="407"/>
      <c r="E160" s="407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</row>
    <row r="161" spans="1:15">
      <c r="A161" s="346"/>
      <c r="B161" s="406"/>
      <c r="C161" s="407"/>
      <c r="D161" s="407"/>
      <c r="E161" s="407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</row>
    <row r="162" spans="1:15">
      <c r="A162" s="363"/>
      <c r="B162" s="364"/>
      <c r="C162" s="365"/>
      <c r="D162" s="365"/>
      <c r="E162" s="365"/>
      <c r="F162" s="363"/>
      <c r="G162" s="367"/>
      <c r="H162" s="367"/>
      <c r="I162" s="367"/>
      <c r="J162" s="776"/>
      <c r="K162" s="776"/>
      <c r="L162" s="367"/>
      <c r="M162" s="367"/>
      <c r="N162" s="367"/>
    </row>
    <row r="163" spans="1:15">
      <c r="A163" s="363"/>
      <c r="B163" s="385"/>
      <c r="C163" s="385"/>
      <c r="D163" s="385"/>
      <c r="E163" s="385"/>
      <c r="F163" s="363"/>
      <c r="G163" s="779"/>
      <c r="H163" s="779"/>
      <c r="I163" s="779"/>
      <c r="J163" s="779"/>
      <c r="K163" s="779"/>
      <c r="L163" s="779"/>
      <c r="M163" s="779"/>
      <c r="N163" s="779"/>
    </row>
    <row r="164" spans="1:15">
      <c r="A164" s="363"/>
      <c r="B164" s="384"/>
      <c r="C164" s="384"/>
      <c r="D164" s="384"/>
      <c r="E164" s="384"/>
      <c r="F164" s="363"/>
      <c r="G164" s="779"/>
      <c r="H164" s="779"/>
      <c r="I164" s="779"/>
      <c r="J164" s="779"/>
      <c r="K164" s="779"/>
      <c r="L164" s="779"/>
      <c r="M164" s="779"/>
      <c r="N164" s="779"/>
    </row>
    <row r="165" spans="1:15">
      <c r="A165" s="363"/>
      <c r="B165" s="384"/>
      <c r="C165" s="384"/>
      <c r="D165" s="384"/>
      <c r="E165" s="384"/>
      <c r="F165" s="363"/>
      <c r="G165" s="776"/>
      <c r="H165" s="776"/>
      <c r="I165" s="776"/>
      <c r="J165" s="776"/>
      <c r="K165" s="776"/>
      <c r="L165" s="776"/>
      <c r="M165" s="776"/>
      <c r="N165" s="776"/>
    </row>
    <row r="166" spans="1:15">
      <c r="A166" s="363"/>
      <c r="B166" s="408"/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</row>
    <row r="167" spans="1:15">
      <c r="B167" s="370"/>
    </row>
    <row r="175" spans="1:15">
      <c r="A175" s="322"/>
      <c r="B175" s="787"/>
      <c r="C175" s="787"/>
      <c r="D175" s="787"/>
      <c r="E175" s="787"/>
      <c r="F175" s="787"/>
      <c r="G175" s="787"/>
      <c r="H175" s="787"/>
      <c r="I175" s="787"/>
      <c r="J175" s="787"/>
      <c r="K175" s="787"/>
      <c r="L175" s="787"/>
      <c r="M175" s="787"/>
      <c r="N175" s="787"/>
    </row>
    <row r="176" spans="1:15">
      <c r="A176" s="325"/>
      <c r="B176" s="788"/>
      <c r="C176" s="788"/>
      <c r="D176" s="788"/>
      <c r="E176" s="788"/>
      <c r="F176" s="788"/>
      <c r="G176" s="788"/>
      <c r="H176" s="788"/>
      <c r="I176" s="788"/>
      <c r="J176" s="788"/>
      <c r="K176" s="788"/>
      <c r="L176" s="788"/>
      <c r="M176" s="788"/>
      <c r="N176" s="788"/>
    </row>
    <row r="177" spans="1:15">
      <c r="A177" s="325"/>
      <c r="B177" s="327"/>
      <c r="C177" s="789" t="s">
        <v>542</v>
      </c>
      <c r="D177" s="789"/>
      <c r="E177" s="789"/>
      <c r="F177" s="789"/>
      <c r="G177" s="789"/>
      <c r="H177" s="789"/>
      <c r="I177" s="789"/>
      <c r="J177" s="789"/>
      <c r="K177" s="789"/>
      <c r="L177" s="789"/>
      <c r="M177" s="789"/>
      <c r="N177" s="789"/>
    </row>
    <row r="178" spans="1:15">
      <c r="A178" s="790" t="s">
        <v>337</v>
      </c>
      <c r="B178" s="793" t="s">
        <v>543</v>
      </c>
      <c r="C178" s="783" t="s">
        <v>544</v>
      </c>
      <c r="D178" s="783" t="s">
        <v>545</v>
      </c>
      <c r="E178" s="783" t="s">
        <v>508</v>
      </c>
      <c r="F178" s="797" t="s">
        <v>509</v>
      </c>
      <c r="G178" s="798"/>
      <c r="H178" s="785" t="s">
        <v>510</v>
      </c>
      <c r="I178" s="799"/>
      <c r="J178" s="799"/>
      <c r="K178" s="786"/>
      <c r="L178" s="783" t="s">
        <v>511</v>
      </c>
      <c r="M178" s="783" t="s">
        <v>512</v>
      </c>
      <c r="N178" s="783" t="s">
        <v>513</v>
      </c>
      <c r="O178" s="780" t="s">
        <v>514</v>
      </c>
    </row>
    <row r="179" spans="1:15">
      <c r="A179" s="791"/>
      <c r="B179" s="794"/>
      <c r="C179" s="796"/>
      <c r="D179" s="796"/>
      <c r="E179" s="796"/>
      <c r="F179" s="783" t="s">
        <v>546</v>
      </c>
      <c r="G179" s="783" t="s">
        <v>516</v>
      </c>
      <c r="H179" s="783" t="s">
        <v>517</v>
      </c>
      <c r="I179" s="785" t="s">
        <v>518</v>
      </c>
      <c r="J179" s="786"/>
      <c r="K179" s="783" t="s">
        <v>519</v>
      </c>
      <c r="L179" s="796"/>
      <c r="M179" s="796"/>
      <c r="N179" s="796"/>
      <c r="O179" s="781"/>
    </row>
    <row r="180" spans="1:15" ht="87.75">
      <c r="A180" s="792"/>
      <c r="B180" s="795"/>
      <c r="C180" s="784"/>
      <c r="D180" s="784"/>
      <c r="E180" s="784"/>
      <c r="F180" s="784"/>
      <c r="G180" s="784"/>
      <c r="H180" s="784"/>
      <c r="I180" s="409" t="s">
        <v>520</v>
      </c>
      <c r="J180" s="409" t="s">
        <v>521</v>
      </c>
      <c r="K180" s="784"/>
      <c r="L180" s="784"/>
      <c r="M180" s="784"/>
      <c r="N180" s="784"/>
      <c r="O180" s="782"/>
    </row>
    <row r="181" spans="1:15">
      <c r="A181" s="361">
        <v>81</v>
      </c>
      <c r="B181" s="331"/>
      <c r="C181" s="355"/>
      <c r="D181" s="333"/>
      <c r="E181" s="334"/>
      <c r="F181" s="336"/>
      <c r="G181" s="336"/>
      <c r="H181" s="336"/>
      <c r="I181" s="336"/>
      <c r="J181" s="336"/>
      <c r="K181" s="336"/>
      <c r="L181" s="336"/>
      <c r="M181" s="362"/>
      <c r="N181" s="353"/>
      <c r="O181" s="410"/>
    </row>
    <row r="182" spans="1:15">
      <c r="A182" s="361">
        <v>82</v>
      </c>
      <c r="B182" s="331"/>
      <c r="C182" s="355"/>
      <c r="D182" s="333"/>
      <c r="E182" s="334"/>
      <c r="F182" s="336"/>
      <c r="G182" s="336"/>
      <c r="H182" s="336"/>
      <c r="I182" s="336"/>
      <c r="J182" s="336"/>
      <c r="K182" s="336"/>
      <c r="L182" s="336"/>
      <c r="M182" s="362"/>
      <c r="N182" s="353"/>
      <c r="O182" s="410"/>
    </row>
    <row r="183" spans="1:15">
      <c r="A183" s="361">
        <v>83</v>
      </c>
      <c r="B183" s="331"/>
      <c r="C183" s="355"/>
      <c r="D183" s="333"/>
      <c r="E183" s="334"/>
      <c r="F183" s="336"/>
      <c r="G183" s="336"/>
      <c r="H183" s="336"/>
      <c r="I183" s="336"/>
      <c r="J183" s="336"/>
      <c r="K183" s="336"/>
      <c r="L183" s="336"/>
      <c r="M183" s="362"/>
      <c r="N183" s="353"/>
      <c r="O183" s="410"/>
    </row>
    <row r="184" spans="1:15">
      <c r="A184" s="361">
        <v>84</v>
      </c>
      <c r="B184" s="331"/>
      <c r="C184" s="355"/>
      <c r="D184" s="333"/>
      <c r="E184" s="334"/>
      <c r="F184" s="336"/>
      <c r="G184" s="336"/>
      <c r="H184" s="336"/>
      <c r="I184" s="336"/>
      <c r="J184" s="336"/>
      <c r="K184" s="336"/>
      <c r="L184" s="336"/>
      <c r="M184" s="362"/>
      <c r="N184" s="353"/>
      <c r="O184" s="410"/>
    </row>
    <row r="185" spans="1:15">
      <c r="A185" s="361">
        <v>85</v>
      </c>
      <c r="B185" s="331"/>
      <c r="C185" s="355"/>
      <c r="D185" s="333"/>
      <c r="E185" s="334"/>
      <c r="F185" s="336"/>
      <c r="G185" s="336"/>
      <c r="H185" s="336"/>
      <c r="I185" s="336"/>
      <c r="J185" s="336"/>
      <c r="K185" s="336"/>
      <c r="L185" s="336"/>
      <c r="M185" s="362"/>
      <c r="N185" s="353"/>
      <c r="O185" s="410"/>
    </row>
    <row r="186" spans="1:15">
      <c r="A186" s="361">
        <v>86</v>
      </c>
      <c r="B186" s="331"/>
      <c r="C186" s="355"/>
      <c r="D186" s="333"/>
      <c r="E186" s="334"/>
      <c r="F186" s="336"/>
      <c r="G186" s="336"/>
      <c r="H186" s="336"/>
      <c r="I186" s="336"/>
      <c r="J186" s="336"/>
      <c r="K186" s="336"/>
      <c r="L186" s="336"/>
      <c r="M186" s="362"/>
      <c r="N186" s="353"/>
      <c r="O186" s="410"/>
    </row>
    <row r="187" spans="1:15">
      <c r="A187" s="361">
        <v>87</v>
      </c>
      <c r="B187" s="331"/>
      <c r="C187" s="355"/>
      <c r="D187" s="333"/>
      <c r="E187" s="334"/>
      <c r="F187" s="336"/>
      <c r="G187" s="336"/>
      <c r="H187" s="336"/>
      <c r="I187" s="336"/>
      <c r="J187" s="336"/>
      <c r="K187" s="336"/>
      <c r="L187" s="336"/>
      <c r="M187" s="362"/>
      <c r="N187" s="353"/>
      <c r="O187" s="410"/>
    </row>
    <row r="188" spans="1:15">
      <c r="A188" s="361"/>
      <c r="B188" s="331"/>
      <c r="C188" s="355"/>
      <c r="D188" s="333"/>
      <c r="E188" s="334"/>
      <c r="F188" s="336"/>
      <c r="G188" s="336"/>
      <c r="H188" s="336"/>
      <c r="I188" s="336"/>
      <c r="J188" s="336"/>
      <c r="K188" s="336"/>
      <c r="L188" s="336">
        <f>F188*0.034</f>
        <v>0</v>
      </c>
      <c r="M188" s="362">
        <f>F188</f>
        <v>0</v>
      </c>
      <c r="N188" s="353">
        <f>(F188-10000)*10%</f>
        <v>-1000</v>
      </c>
      <c r="O188" s="410">
        <f>+F188-J188-L188/2-N188</f>
        <v>1000</v>
      </c>
    </row>
    <row r="189" spans="1:15">
      <c r="A189" s="361"/>
      <c r="B189" s="331"/>
      <c r="C189" s="355"/>
      <c r="D189" s="333"/>
      <c r="E189" s="334"/>
      <c r="F189" s="336"/>
      <c r="G189" s="336"/>
      <c r="H189" s="336"/>
      <c r="I189" s="336"/>
      <c r="J189" s="336"/>
      <c r="K189" s="336"/>
      <c r="L189" s="336"/>
      <c r="M189" s="362"/>
      <c r="N189" s="353"/>
      <c r="O189" s="410"/>
    </row>
    <row r="190" spans="1:15">
      <c r="A190" s="361"/>
      <c r="B190" s="331"/>
      <c r="C190" s="355"/>
      <c r="D190" s="333"/>
      <c r="E190" s="334"/>
      <c r="F190" s="336"/>
      <c r="G190" s="336"/>
      <c r="H190" s="336"/>
      <c r="I190" s="336"/>
      <c r="J190" s="336"/>
      <c r="K190" s="336"/>
      <c r="L190" s="336"/>
      <c r="M190" s="362"/>
      <c r="N190" s="353"/>
      <c r="O190" s="410"/>
    </row>
    <row r="191" spans="1:15">
      <c r="A191" s="361"/>
      <c r="B191" s="331"/>
      <c r="C191" s="355"/>
      <c r="D191" s="333"/>
      <c r="E191" s="334"/>
      <c r="F191" s="336"/>
      <c r="G191" s="336"/>
      <c r="H191" s="336"/>
      <c r="I191" s="336"/>
      <c r="J191" s="336"/>
      <c r="K191" s="336"/>
      <c r="L191" s="336">
        <f>F191*0.034</f>
        <v>0</v>
      </c>
      <c r="M191" s="362">
        <f>F191</f>
        <v>0</v>
      </c>
      <c r="N191" s="353">
        <f>(F191-10000)*10%</f>
        <v>-1000</v>
      </c>
      <c r="O191" s="410">
        <f>+F191-J191-L191/2-N191</f>
        <v>1000</v>
      </c>
    </row>
    <row r="192" spans="1:15">
      <c r="A192" s="361"/>
      <c r="B192" s="331"/>
      <c r="C192" s="355"/>
      <c r="D192" s="333"/>
      <c r="E192" s="334"/>
      <c r="F192" s="336"/>
      <c r="G192" s="336"/>
      <c r="H192" s="336"/>
      <c r="I192" s="336"/>
      <c r="J192" s="336"/>
      <c r="K192" s="336"/>
      <c r="L192" s="336"/>
      <c r="M192" s="362"/>
      <c r="N192" s="353"/>
      <c r="O192" s="410"/>
    </row>
    <row r="193" spans="1:15">
      <c r="A193" s="361"/>
      <c r="B193" s="331"/>
      <c r="C193" s="355"/>
      <c r="D193" s="333"/>
      <c r="E193" s="334"/>
      <c r="F193" s="336"/>
      <c r="G193" s="336"/>
      <c r="H193" s="336"/>
      <c r="I193" s="336"/>
      <c r="J193" s="336"/>
      <c r="K193" s="336"/>
      <c r="L193" s="336"/>
      <c r="M193" s="362"/>
      <c r="N193" s="353"/>
      <c r="O193" s="410"/>
    </row>
    <row r="194" spans="1:15">
      <c r="A194" s="411"/>
      <c r="B194" s="412" t="s">
        <v>547</v>
      </c>
      <c r="C194" s="413"/>
      <c r="D194" s="413"/>
      <c r="E194" s="413"/>
      <c r="F194" s="351">
        <f>F158+SUM(F181:F193)</f>
        <v>0</v>
      </c>
      <c r="G194" s="351">
        <f>G158+SUM(G181:G193)</f>
        <v>0</v>
      </c>
      <c r="H194" s="351">
        <f>+H158+SUM(H181:H193)</f>
        <v>0</v>
      </c>
      <c r="I194" s="351">
        <f>I158+SUM(I181:I193)</f>
        <v>0</v>
      </c>
      <c r="J194" s="351">
        <f>J158+SUM(J181:J193)</f>
        <v>0</v>
      </c>
      <c r="K194" s="351"/>
      <c r="L194" s="351">
        <f>L158+SUM(L181:L193)</f>
        <v>0</v>
      </c>
      <c r="M194" s="351">
        <f>M158+SUM(M181:M193)</f>
        <v>0</v>
      </c>
      <c r="N194" s="351">
        <f>N158+SUM(N181:N193)</f>
        <v>-2000</v>
      </c>
      <c r="O194" s="414">
        <f>O158+SUM(O181:O193)</f>
        <v>2000</v>
      </c>
    </row>
    <row r="195" spans="1:15">
      <c r="A195" s="415"/>
      <c r="B195" s="412" t="s">
        <v>548</v>
      </c>
      <c r="C195" s="413"/>
      <c r="D195" s="413"/>
      <c r="E195" s="413"/>
      <c r="F195" s="351"/>
      <c r="G195" s="351"/>
      <c r="H195" s="351"/>
      <c r="I195" s="351"/>
      <c r="J195" s="351"/>
      <c r="K195" s="351"/>
      <c r="L195" s="351"/>
      <c r="M195" s="351"/>
      <c r="N195" s="351"/>
      <c r="O195" s="410"/>
    </row>
    <row r="196" spans="1:15">
      <c r="A196" s="363"/>
      <c r="B196" s="412" t="s">
        <v>549</v>
      </c>
      <c r="C196" s="413"/>
      <c r="D196" s="413"/>
      <c r="E196" s="413"/>
      <c r="F196" s="416"/>
      <c r="G196" s="416"/>
      <c r="H196" s="416"/>
      <c r="I196" s="416"/>
      <c r="J196" s="416"/>
      <c r="K196" s="416"/>
      <c r="L196" s="416"/>
      <c r="M196" s="416"/>
      <c r="N196" s="416"/>
      <c r="O196" s="410"/>
    </row>
    <row r="197" spans="1:15">
      <c r="A197" s="363"/>
      <c r="B197" s="412" t="s">
        <v>550</v>
      </c>
      <c r="C197" s="413"/>
      <c r="D197" s="413"/>
      <c r="E197" s="41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</row>
    <row r="198" spans="1:15">
      <c r="B198" s="364" t="s">
        <v>551</v>
      </c>
      <c r="C198" s="365"/>
      <c r="D198" s="365"/>
      <c r="E198" s="365"/>
      <c r="F198" s="417"/>
      <c r="G198" s="367"/>
      <c r="H198" s="367"/>
      <c r="I198" s="367"/>
      <c r="J198" s="776" t="s">
        <v>552</v>
      </c>
      <c r="K198" s="776"/>
      <c r="L198" s="367"/>
      <c r="M198" s="367"/>
      <c r="N198" s="367"/>
    </row>
    <row r="199" spans="1:15">
      <c r="B199" s="777"/>
      <c r="C199" s="777"/>
      <c r="D199" s="777"/>
      <c r="E199" s="777"/>
      <c r="F199" s="417"/>
      <c r="G199" s="778" t="s">
        <v>553</v>
      </c>
      <c r="H199" s="779"/>
      <c r="I199" s="779"/>
      <c r="J199" s="779"/>
      <c r="K199" s="779"/>
      <c r="L199" s="779"/>
      <c r="M199" s="779"/>
      <c r="N199" s="779"/>
    </row>
    <row r="200" spans="1:15">
      <c r="B200" s="774"/>
      <c r="C200" s="774"/>
      <c r="D200" s="774"/>
      <c r="E200" s="774"/>
      <c r="F200" s="417"/>
      <c r="G200" s="778" t="s">
        <v>554</v>
      </c>
      <c r="H200" s="779"/>
      <c r="I200" s="779"/>
      <c r="J200" s="779"/>
      <c r="K200" s="779"/>
      <c r="L200" s="779"/>
      <c r="M200" s="779"/>
      <c r="N200" s="779"/>
    </row>
    <row r="201" spans="1:15">
      <c r="B201" s="774"/>
      <c r="C201" s="774"/>
      <c r="D201" s="774"/>
      <c r="E201" s="774"/>
      <c r="F201" s="417"/>
      <c r="G201" s="775" t="s">
        <v>555</v>
      </c>
      <c r="H201" s="776"/>
      <c r="I201" s="776"/>
      <c r="J201" s="776"/>
      <c r="K201" s="776"/>
      <c r="L201" s="776"/>
      <c r="M201" s="776"/>
      <c r="N201" s="776"/>
    </row>
    <row r="202" spans="1:15">
      <c r="B202" s="370" t="s">
        <v>556</v>
      </c>
    </row>
  </sheetData>
  <protectedRanges>
    <protectedRange sqref="F196:N197 F81:N83 F122:N124 F47:N48 F159:N161 O83 O48" name="Range4"/>
    <protectedRange sqref="B77 B73:D76 E73:F79 C77:D79 A103:A120 B69:F72 C67:D68 C181:D193 C11:D11 C103:D120 A67:A86 A181:A193 A141:A157 C141:D157 C9:D9 B10:E10 C34:D46 C17:E17 A34:A46 A9:A23 C18:D23 B12:E16" name="Range2_4"/>
    <protectedRange sqref="K23 F69:F79 K103:K120 K181:K193 K141:K157 K67:K79 K34:K46 K9:K21" name="Range1"/>
  </protectedRanges>
  <mergeCells count="52">
    <mergeCell ref="B2:N2"/>
    <mergeCell ref="B3:N3"/>
    <mergeCell ref="B4:M4"/>
    <mergeCell ref="C5:N5"/>
    <mergeCell ref="A6:A8"/>
    <mergeCell ref="B6:B8"/>
    <mergeCell ref="C6:C8"/>
    <mergeCell ref="D6:D8"/>
    <mergeCell ref="E6:E8"/>
    <mergeCell ref="F6:G6"/>
    <mergeCell ref="H6:K6"/>
    <mergeCell ref="L6:L8"/>
    <mergeCell ref="M6:M8"/>
    <mergeCell ref="N6:N8"/>
    <mergeCell ref="O6:O8"/>
    <mergeCell ref="F7:F8"/>
    <mergeCell ref="G7:G8"/>
    <mergeCell ref="H7:H8"/>
    <mergeCell ref="I7:J7"/>
    <mergeCell ref="K7:K8"/>
    <mergeCell ref="J24:K24"/>
    <mergeCell ref="B28:N28"/>
    <mergeCell ref="J162:K162"/>
    <mergeCell ref="G163:N163"/>
    <mergeCell ref="G164:N164"/>
    <mergeCell ref="G165:N165"/>
    <mergeCell ref="B175:N175"/>
    <mergeCell ref="B176:N176"/>
    <mergeCell ref="C177:N177"/>
    <mergeCell ref="A178:A180"/>
    <mergeCell ref="B178:B180"/>
    <mergeCell ref="C178:C180"/>
    <mergeCell ref="D178:D180"/>
    <mergeCell ref="E178:E180"/>
    <mergeCell ref="F178:G178"/>
    <mergeCell ref="H178:K178"/>
    <mergeCell ref="L178:L180"/>
    <mergeCell ref="M178:M180"/>
    <mergeCell ref="N178:N180"/>
    <mergeCell ref="O178:O180"/>
    <mergeCell ref="F179:F180"/>
    <mergeCell ref="G179:G180"/>
    <mergeCell ref="H179:H180"/>
    <mergeCell ref="I179:J179"/>
    <mergeCell ref="K179:K180"/>
    <mergeCell ref="B201:E201"/>
    <mergeCell ref="G201:N201"/>
    <mergeCell ref="J198:K198"/>
    <mergeCell ref="B199:E199"/>
    <mergeCell ref="G199:N199"/>
    <mergeCell ref="B200:E200"/>
    <mergeCell ref="G200:N200"/>
  </mergeCells>
  <pageMargins left="0.7" right="0.7" top="0.75" bottom="0.75" header="0.3" footer="0.3"/>
  <pageSetup paperSize="9" scale="44" orientation="portrait" r:id="rId1"/>
  <rowBreaks count="1" manualBreakCount="1">
    <brk id="2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2:AG114"/>
  <sheetViews>
    <sheetView topLeftCell="A82" zoomScaleNormal="100" zoomScaleSheetLayoutView="100" workbookViewId="0">
      <selection activeCell="AG104" sqref="AG104:AG105"/>
    </sheetView>
  </sheetViews>
  <sheetFormatPr defaultRowHeight="12.75"/>
  <cols>
    <col min="1" max="1" width="8.140625" style="423" customWidth="1"/>
    <col min="2" max="2" width="59.140625" style="423" bestFit="1" customWidth="1"/>
    <col min="3" max="3" width="10.5703125" style="423" hidden="1" customWidth="1"/>
    <col min="4" max="4" width="16.7109375" style="423" customWidth="1"/>
    <col min="5" max="5" width="12.42578125" style="423" hidden="1" customWidth="1"/>
    <col min="6" max="6" width="16.42578125" style="500" customWidth="1"/>
    <col min="7" max="7" width="14.140625" style="500" hidden="1" customWidth="1"/>
    <col min="8" max="8" width="10" style="500" hidden="1" customWidth="1"/>
    <col min="9" max="9" width="19" style="500" hidden="1" customWidth="1"/>
    <col min="10" max="10" width="7.5703125" style="500" hidden="1" customWidth="1"/>
    <col min="11" max="11" width="29.42578125" style="500" customWidth="1"/>
    <col min="12" max="12" width="12.140625" style="500" hidden="1" customWidth="1"/>
    <col min="13" max="13" width="4.7109375" style="500" hidden="1" customWidth="1"/>
    <col min="14" max="14" width="14.42578125" style="500" hidden="1" customWidth="1"/>
    <col min="15" max="15" width="12" style="500" hidden="1" customWidth="1"/>
    <col min="16" max="16" width="11.42578125" style="500" hidden="1" customWidth="1"/>
    <col min="17" max="17" width="8" style="500" hidden="1" customWidth="1"/>
    <col min="18" max="18" width="6.28515625" style="500" hidden="1" customWidth="1"/>
    <col min="19" max="19" width="11" style="500" hidden="1" customWidth="1"/>
    <col min="20" max="20" width="8.7109375" style="500" hidden="1" customWidth="1"/>
    <col min="21" max="21" width="11.42578125" style="500" hidden="1" customWidth="1"/>
    <col min="22" max="22" width="9.28515625" style="500" hidden="1" customWidth="1"/>
    <col min="23" max="24" width="12.42578125" style="500" hidden="1" customWidth="1"/>
    <col min="25" max="25" width="11.28515625" style="500" hidden="1" customWidth="1"/>
    <col min="26" max="26" width="7.42578125" style="500" hidden="1" customWidth="1"/>
    <col min="27" max="27" width="12.42578125" style="500" hidden="1" customWidth="1"/>
    <col min="28" max="28" width="9.140625" style="500" hidden="1" customWidth="1"/>
    <col min="29" max="29" width="9.5703125" style="500" hidden="1" customWidth="1"/>
    <col min="30" max="30" width="4.42578125" style="500" hidden="1" customWidth="1"/>
    <col min="31" max="31" width="18.28515625" style="500" hidden="1" customWidth="1"/>
    <col min="32" max="32" width="7.42578125" style="423" hidden="1" customWidth="1"/>
    <col min="33" max="33" width="12.28515625" style="423" bestFit="1" customWidth="1"/>
    <col min="34" max="16384" width="9.140625" style="423"/>
  </cols>
  <sheetData>
    <row r="2" spans="1:33" ht="45" customHeight="1" thickBot="1">
      <c r="A2" s="419"/>
      <c r="B2" s="420" t="s">
        <v>557</v>
      </c>
      <c r="C2" s="421"/>
      <c r="D2" s="421"/>
      <c r="E2" s="421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1"/>
    </row>
    <row r="3" spans="1:33" s="428" customFormat="1" ht="26.25" thickBot="1">
      <c r="A3" s="424"/>
      <c r="B3" s="425" t="s">
        <v>40</v>
      </c>
      <c r="C3" s="426" t="s">
        <v>558</v>
      </c>
      <c r="D3" s="426" t="s">
        <v>559</v>
      </c>
      <c r="E3" s="426" t="s">
        <v>560</v>
      </c>
      <c r="F3" s="427" t="s">
        <v>398</v>
      </c>
      <c r="G3" s="427" t="s">
        <v>561</v>
      </c>
      <c r="H3" s="427" t="s">
        <v>562</v>
      </c>
      <c r="I3" s="427" t="s">
        <v>563</v>
      </c>
      <c r="J3" s="427" t="s">
        <v>564</v>
      </c>
      <c r="K3" s="427" t="s">
        <v>565</v>
      </c>
      <c r="L3" s="427" t="s">
        <v>566</v>
      </c>
      <c r="M3" s="427" t="s">
        <v>567</v>
      </c>
      <c r="N3" s="427" t="s">
        <v>568</v>
      </c>
      <c r="O3" s="427" t="s">
        <v>190</v>
      </c>
      <c r="P3" s="427" t="s">
        <v>569</v>
      </c>
      <c r="Q3" s="427" t="s">
        <v>570</v>
      </c>
      <c r="R3" s="427" t="s">
        <v>571</v>
      </c>
      <c r="S3" s="427" t="s">
        <v>572</v>
      </c>
      <c r="T3" s="427" t="s">
        <v>573</v>
      </c>
      <c r="U3" s="427" t="s">
        <v>574</v>
      </c>
      <c r="V3" s="427" t="s">
        <v>575</v>
      </c>
      <c r="W3" s="427" t="s">
        <v>576</v>
      </c>
      <c r="X3" s="427" t="s">
        <v>577</v>
      </c>
      <c r="Y3" s="427" t="s">
        <v>578</v>
      </c>
      <c r="Z3" s="427" t="s">
        <v>579</v>
      </c>
      <c r="AA3" s="427" t="s">
        <v>576</v>
      </c>
      <c r="AB3" s="427" t="s">
        <v>580</v>
      </c>
      <c r="AC3" s="427" t="s">
        <v>581</v>
      </c>
      <c r="AD3" s="427" t="s">
        <v>484</v>
      </c>
      <c r="AE3" s="427" t="s">
        <v>448</v>
      </c>
      <c r="AF3" s="426" t="s">
        <v>582</v>
      </c>
    </row>
    <row r="4" spans="1:33" ht="17.25" thickBot="1">
      <c r="A4" s="429" t="s">
        <v>42</v>
      </c>
      <c r="B4" s="430" t="s">
        <v>43</v>
      </c>
      <c r="C4" s="431"/>
      <c r="D4" s="431"/>
      <c r="E4" s="431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1"/>
    </row>
    <row r="5" spans="1:33" ht="17.25" thickBot="1">
      <c r="A5" s="429"/>
      <c r="B5" s="433"/>
      <c r="C5" s="431"/>
      <c r="D5" s="431"/>
      <c r="E5" s="431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1"/>
    </row>
    <row r="6" spans="1:33" ht="17.25" thickBot="1">
      <c r="A6" s="429" t="s">
        <v>44</v>
      </c>
      <c r="B6" s="434" t="s">
        <v>45</v>
      </c>
      <c r="C6" s="431"/>
      <c r="D6" s="431"/>
      <c r="E6" s="431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1"/>
    </row>
    <row r="7" spans="1:33" ht="17.25" thickBot="1">
      <c r="A7" s="429"/>
      <c r="B7" s="433"/>
      <c r="C7" s="431"/>
      <c r="D7" s="431"/>
      <c r="E7" s="431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1"/>
    </row>
    <row r="8" spans="1:33" ht="17.25" thickBot="1">
      <c r="A8" s="429">
        <v>1</v>
      </c>
      <c r="B8" s="434" t="s">
        <v>46</v>
      </c>
      <c r="C8" s="435"/>
      <c r="D8" s="435"/>
      <c r="E8" s="435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5"/>
    </row>
    <row r="9" spans="1:33" ht="33.75" customHeight="1" thickBot="1">
      <c r="A9" s="429">
        <v>2</v>
      </c>
      <c r="B9" s="434" t="s">
        <v>47</v>
      </c>
      <c r="C9" s="435"/>
      <c r="D9" s="435"/>
      <c r="E9" s="435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5"/>
    </row>
    <row r="10" spans="1:33" ht="17.25" thickBot="1">
      <c r="A10" s="437" t="s">
        <v>13</v>
      </c>
      <c r="B10" s="433" t="s">
        <v>48</v>
      </c>
      <c r="C10" s="435"/>
      <c r="D10" s="435"/>
      <c r="E10" s="435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5"/>
    </row>
    <row r="11" spans="1:33" ht="17.25" thickBot="1">
      <c r="A11" s="437" t="s">
        <v>15</v>
      </c>
      <c r="B11" s="433" t="s">
        <v>49</v>
      </c>
      <c r="C11" s="435"/>
      <c r="D11" s="435"/>
      <c r="E11" s="435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5"/>
    </row>
    <row r="12" spans="1:33" ht="17.25" thickBot="1">
      <c r="A12" s="438"/>
      <c r="B12" s="439" t="s">
        <v>50</v>
      </c>
      <c r="C12" s="440">
        <f>C9+C8</f>
        <v>0</v>
      </c>
      <c r="D12" s="440">
        <f>D9+D8</f>
        <v>0</v>
      </c>
      <c r="E12" s="440">
        <f>E9+E8</f>
        <v>0</v>
      </c>
      <c r="F12" s="440">
        <f t="shared" ref="F12:AF12" si="0">F9+F8</f>
        <v>0</v>
      </c>
      <c r="G12" s="440">
        <f t="shared" si="0"/>
        <v>0</v>
      </c>
      <c r="H12" s="440">
        <f t="shared" si="0"/>
        <v>0</v>
      </c>
      <c r="I12" s="440">
        <f t="shared" si="0"/>
        <v>0</v>
      </c>
      <c r="J12" s="440">
        <f t="shared" si="0"/>
        <v>0</v>
      </c>
      <c r="K12" s="440">
        <f t="shared" si="0"/>
        <v>0</v>
      </c>
      <c r="L12" s="440">
        <f t="shared" si="0"/>
        <v>0</v>
      </c>
      <c r="M12" s="440">
        <f t="shared" si="0"/>
        <v>0</v>
      </c>
      <c r="N12" s="440">
        <f t="shared" si="0"/>
        <v>0</v>
      </c>
      <c r="O12" s="440">
        <f t="shared" si="0"/>
        <v>0</v>
      </c>
      <c r="P12" s="440">
        <f t="shared" si="0"/>
        <v>0</v>
      </c>
      <c r="Q12" s="440">
        <f t="shared" si="0"/>
        <v>0</v>
      </c>
      <c r="R12" s="440">
        <f t="shared" si="0"/>
        <v>0</v>
      </c>
      <c r="S12" s="440">
        <f t="shared" si="0"/>
        <v>0</v>
      </c>
      <c r="T12" s="440">
        <f t="shared" si="0"/>
        <v>0</v>
      </c>
      <c r="U12" s="440">
        <f t="shared" si="0"/>
        <v>0</v>
      </c>
      <c r="V12" s="440">
        <f t="shared" si="0"/>
        <v>0</v>
      </c>
      <c r="W12" s="440">
        <f t="shared" si="0"/>
        <v>0</v>
      </c>
      <c r="X12" s="440">
        <f t="shared" si="0"/>
        <v>0</v>
      </c>
      <c r="Y12" s="440">
        <f t="shared" si="0"/>
        <v>0</v>
      </c>
      <c r="Z12" s="440">
        <f t="shared" si="0"/>
        <v>0</v>
      </c>
      <c r="AA12" s="440">
        <f t="shared" si="0"/>
        <v>0</v>
      </c>
      <c r="AB12" s="440">
        <f t="shared" si="0"/>
        <v>0</v>
      </c>
      <c r="AC12" s="440">
        <f t="shared" si="0"/>
        <v>0</v>
      </c>
      <c r="AD12" s="440">
        <f t="shared" si="0"/>
        <v>0</v>
      </c>
      <c r="AE12" s="440">
        <f t="shared" si="0"/>
        <v>0</v>
      </c>
      <c r="AF12" s="440">
        <f t="shared" si="0"/>
        <v>0</v>
      </c>
    </row>
    <row r="13" spans="1:33" ht="17.25" thickBot="1">
      <c r="A13" s="429">
        <v>3</v>
      </c>
      <c r="B13" s="434" t="s">
        <v>51</v>
      </c>
      <c r="C13" s="435"/>
      <c r="D13" s="435"/>
      <c r="E13" s="435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6"/>
      <c r="AE13" s="436"/>
      <c r="AF13" s="435"/>
    </row>
    <row r="14" spans="1:33" ht="17.25" thickBot="1">
      <c r="A14" s="437" t="s">
        <v>13</v>
      </c>
      <c r="B14" s="433" t="s">
        <v>583</v>
      </c>
      <c r="C14" s="435"/>
      <c r="D14" s="435"/>
      <c r="E14" s="435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5"/>
      <c r="AG14" s="441"/>
    </row>
    <row r="15" spans="1:33" ht="17.25" thickBot="1">
      <c r="A15" s="437" t="s">
        <v>15</v>
      </c>
      <c r="B15" s="433" t="s">
        <v>53</v>
      </c>
      <c r="C15" s="435"/>
      <c r="D15" s="435"/>
      <c r="E15" s="435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5"/>
    </row>
    <row r="16" spans="1:33" ht="17.25" thickBot="1">
      <c r="A16" s="437" t="s">
        <v>17</v>
      </c>
      <c r="B16" s="433" t="s">
        <v>54</v>
      </c>
      <c r="C16" s="435"/>
      <c r="D16" s="435"/>
      <c r="E16" s="435"/>
      <c r="F16" s="436">
        <f>+Bilanci!D16</f>
        <v>69490000</v>
      </c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5"/>
    </row>
    <row r="17" spans="1:33" ht="17.25" thickBot="1">
      <c r="A17" s="437" t="s">
        <v>55</v>
      </c>
      <c r="B17" s="433" t="s">
        <v>56</v>
      </c>
      <c r="C17" s="435"/>
      <c r="D17" s="435"/>
      <c r="E17" s="435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5"/>
    </row>
    <row r="18" spans="1:33" ht="17.25" thickBot="1">
      <c r="A18" s="442"/>
      <c r="B18" s="439" t="s">
        <v>50</v>
      </c>
      <c r="C18" s="443">
        <f>SUM(C14:C17)</f>
        <v>0</v>
      </c>
      <c r="D18" s="443">
        <f>SUM(D14:D17)</f>
        <v>0</v>
      </c>
      <c r="E18" s="443">
        <f>SUM(E14:E17)</f>
        <v>0</v>
      </c>
      <c r="F18" s="440">
        <f t="shared" ref="F18:AF18" si="1">SUM(F14:F17)</f>
        <v>69490000</v>
      </c>
      <c r="G18" s="440">
        <f t="shared" si="1"/>
        <v>0</v>
      </c>
      <c r="H18" s="440">
        <f t="shared" si="1"/>
        <v>0</v>
      </c>
      <c r="I18" s="440">
        <f t="shared" si="1"/>
        <v>0</v>
      </c>
      <c r="J18" s="440">
        <f t="shared" si="1"/>
        <v>0</v>
      </c>
      <c r="K18" s="440">
        <f>SUM(K14:K17)</f>
        <v>0</v>
      </c>
      <c r="L18" s="440">
        <f t="shared" si="1"/>
        <v>0</v>
      </c>
      <c r="M18" s="440">
        <f t="shared" si="1"/>
        <v>0</v>
      </c>
      <c r="N18" s="440">
        <f t="shared" si="1"/>
        <v>0</v>
      </c>
      <c r="O18" s="440">
        <f t="shared" si="1"/>
        <v>0</v>
      </c>
      <c r="P18" s="440">
        <f t="shared" si="1"/>
        <v>0</v>
      </c>
      <c r="Q18" s="440">
        <f t="shared" si="1"/>
        <v>0</v>
      </c>
      <c r="R18" s="440">
        <f t="shared" si="1"/>
        <v>0</v>
      </c>
      <c r="S18" s="440">
        <f t="shared" si="1"/>
        <v>0</v>
      </c>
      <c r="T18" s="440">
        <f t="shared" si="1"/>
        <v>0</v>
      </c>
      <c r="U18" s="440">
        <f t="shared" si="1"/>
        <v>0</v>
      </c>
      <c r="V18" s="440">
        <f t="shared" si="1"/>
        <v>0</v>
      </c>
      <c r="W18" s="440">
        <f t="shared" si="1"/>
        <v>0</v>
      </c>
      <c r="X18" s="440">
        <f t="shared" si="1"/>
        <v>0</v>
      </c>
      <c r="Y18" s="440">
        <f t="shared" si="1"/>
        <v>0</v>
      </c>
      <c r="Z18" s="440">
        <f t="shared" si="1"/>
        <v>0</v>
      </c>
      <c r="AA18" s="440">
        <f t="shared" si="1"/>
        <v>0</v>
      </c>
      <c r="AB18" s="440">
        <f t="shared" si="1"/>
        <v>0</v>
      </c>
      <c r="AC18" s="440">
        <f t="shared" si="1"/>
        <v>0</v>
      </c>
      <c r="AD18" s="440">
        <f t="shared" si="1"/>
        <v>0</v>
      </c>
      <c r="AE18" s="440">
        <f t="shared" si="1"/>
        <v>0</v>
      </c>
      <c r="AF18" s="443">
        <f t="shared" si="1"/>
        <v>0</v>
      </c>
      <c r="AG18" s="444"/>
    </row>
    <row r="19" spans="1:33" ht="17.25" thickBot="1">
      <c r="A19" s="429">
        <v>4</v>
      </c>
      <c r="B19" s="434" t="s">
        <v>57</v>
      </c>
      <c r="C19" s="435"/>
      <c r="D19" s="435"/>
      <c r="E19" s="435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5"/>
    </row>
    <row r="20" spans="1:33" ht="17.25" thickBot="1">
      <c r="A20" s="437" t="s">
        <v>13</v>
      </c>
      <c r="B20" s="433" t="s">
        <v>58</v>
      </c>
      <c r="C20" s="435"/>
      <c r="D20" s="435"/>
      <c r="E20" s="435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5"/>
    </row>
    <row r="21" spans="1:33" ht="17.25" thickBot="1">
      <c r="A21" s="437" t="s">
        <v>15</v>
      </c>
      <c r="B21" s="433" t="s">
        <v>584</v>
      </c>
      <c r="C21" s="435"/>
      <c r="D21" s="435"/>
      <c r="E21" s="435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5"/>
    </row>
    <row r="22" spans="1:33" ht="17.25" thickBot="1">
      <c r="A22" s="437" t="s">
        <v>17</v>
      </c>
      <c r="B22" s="433" t="s">
        <v>585</v>
      </c>
      <c r="C22" s="435"/>
      <c r="D22" s="435"/>
      <c r="E22" s="435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5"/>
    </row>
    <row r="23" spans="1:33" ht="17.25" thickBot="1">
      <c r="A23" s="437" t="s">
        <v>55</v>
      </c>
      <c r="B23" s="433" t="s">
        <v>61</v>
      </c>
      <c r="C23" s="435"/>
      <c r="D23" s="435"/>
      <c r="E23" s="435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5"/>
    </row>
    <row r="24" spans="1:33" ht="17.25" thickBot="1">
      <c r="A24" s="445" t="s">
        <v>62</v>
      </c>
      <c r="B24" s="433" t="s">
        <v>586</v>
      </c>
      <c r="C24" s="435"/>
      <c r="D24" s="435"/>
      <c r="E24" s="435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5"/>
    </row>
    <row r="25" spans="1:33" ht="17.25" thickBot="1">
      <c r="A25" s="442"/>
      <c r="B25" s="439" t="s">
        <v>50</v>
      </c>
      <c r="C25" s="443">
        <f>SUM(C20:C24)</f>
        <v>0</v>
      </c>
      <c r="D25" s="443">
        <f>SUM(D20:D24)</f>
        <v>0</v>
      </c>
      <c r="E25" s="443">
        <f>SUM(E20:E24)</f>
        <v>0</v>
      </c>
      <c r="F25" s="440">
        <f t="shared" ref="F25:AF25" si="2">SUM(F20:F24)</f>
        <v>0</v>
      </c>
      <c r="G25" s="440">
        <f t="shared" si="2"/>
        <v>0</v>
      </c>
      <c r="H25" s="440">
        <f t="shared" si="2"/>
        <v>0</v>
      </c>
      <c r="I25" s="440">
        <f t="shared" si="2"/>
        <v>0</v>
      </c>
      <c r="J25" s="440">
        <f t="shared" si="2"/>
        <v>0</v>
      </c>
      <c r="K25" s="440">
        <f t="shared" si="2"/>
        <v>0</v>
      </c>
      <c r="L25" s="440">
        <f t="shared" si="2"/>
        <v>0</v>
      </c>
      <c r="M25" s="440">
        <f t="shared" si="2"/>
        <v>0</v>
      </c>
      <c r="N25" s="440">
        <f t="shared" si="2"/>
        <v>0</v>
      </c>
      <c r="O25" s="440">
        <f t="shared" si="2"/>
        <v>0</v>
      </c>
      <c r="P25" s="440">
        <f t="shared" si="2"/>
        <v>0</v>
      </c>
      <c r="Q25" s="440">
        <f t="shared" si="2"/>
        <v>0</v>
      </c>
      <c r="R25" s="440">
        <f t="shared" si="2"/>
        <v>0</v>
      </c>
      <c r="S25" s="440">
        <f t="shared" si="2"/>
        <v>0</v>
      </c>
      <c r="T25" s="440">
        <f t="shared" si="2"/>
        <v>0</v>
      </c>
      <c r="U25" s="440">
        <f t="shared" si="2"/>
        <v>0</v>
      </c>
      <c r="V25" s="440">
        <f t="shared" si="2"/>
        <v>0</v>
      </c>
      <c r="W25" s="440">
        <f t="shared" si="2"/>
        <v>0</v>
      </c>
      <c r="X25" s="440">
        <f t="shared" si="2"/>
        <v>0</v>
      </c>
      <c r="Y25" s="440">
        <f t="shared" si="2"/>
        <v>0</v>
      </c>
      <c r="Z25" s="440">
        <f t="shared" si="2"/>
        <v>0</v>
      </c>
      <c r="AA25" s="440">
        <f t="shared" si="2"/>
        <v>0</v>
      </c>
      <c r="AB25" s="440">
        <f t="shared" si="2"/>
        <v>0</v>
      </c>
      <c r="AC25" s="440">
        <f t="shared" si="2"/>
        <v>0</v>
      </c>
      <c r="AD25" s="440">
        <f t="shared" si="2"/>
        <v>0</v>
      </c>
      <c r="AE25" s="440">
        <f t="shared" si="2"/>
        <v>0</v>
      </c>
      <c r="AF25" s="443">
        <f t="shared" si="2"/>
        <v>0</v>
      </c>
    </row>
    <row r="26" spans="1:33" ht="17.25" thickBot="1">
      <c r="A26" s="429">
        <v>5</v>
      </c>
      <c r="B26" s="434" t="s">
        <v>63</v>
      </c>
      <c r="C26" s="435"/>
      <c r="D26" s="435"/>
      <c r="E26" s="435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5"/>
    </row>
    <row r="27" spans="1:33" ht="17.25" thickBot="1">
      <c r="A27" s="429">
        <v>6</v>
      </c>
      <c r="B27" s="434" t="s">
        <v>64</v>
      </c>
      <c r="C27" s="435"/>
      <c r="D27" s="435"/>
      <c r="E27" s="435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5"/>
    </row>
    <row r="28" spans="1:33" ht="17.25" thickBot="1">
      <c r="A28" s="429">
        <v>7</v>
      </c>
      <c r="B28" s="434" t="s">
        <v>65</v>
      </c>
      <c r="C28" s="435"/>
      <c r="D28" s="435"/>
      <c r="E28" s="435"/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5"/>
    </row>
    <row r="29" spans="1:33" ht="17.25" thickBot="1">
      <c r="A29" s="446"/>
      <c r="B29" s="447" t="s">
        <v>66</v>
      </c>
      <c r="C29" s="443">
        <f t="shared" ref="C29:K29" si="3">C12+C18+C25+SUM(C26:C28)</f>
        <v>0</v>
      </c>
      <c r="D29" s="443">
        <f t="shared" si="3"/>
        <v>0</v>
      </c>
      <c r="E29" s="443">
        <f t="shared" si="3"/>
        <v>0</v>
      </c>
      <c r="F29" s="440">
        <f t="shared" si="3"/>
        <v>69490000</v>
      </c>
      <c r="G29" s="440">
        <f t="shared" si="3"/>
        <v>0</v>
      </c>
      <c r="H29" s="440">
        <f t="shared" si="3"/>
        <v>0</v>
      </c>
      <c r="I29" s="440">
        <f t="shared" si="3"/>
        <v>0</v>
      </c>
      <c r="J29" s="440">
        <f t="shared" si="3"/>
        <v>0</v>
      </c>
      <c r="K29" s="440">
        <f t="shared" si="3"/>
        <v>0</v>
      </c>
      <c r="L29" s="440">
        <f t="shared" ref="L29:AF29" si="4">L12+L18+L25+SUM(L26:L28)</f>
        <v>0</v>
      </c>
      <c r="M29" s="440">
        <f t="shared" si="4"/>
        <v>0</v>
      </c>
      <c r="N29" s="440">
        <f t="shared" si="4"/>
        <v>0</v>
      </c>
      <c r="O29" s="440">
        <f t="shared" si="4"/>
        <v>0</v>
      </c>
      <c r="P29" s="440">
        <f t="shared" si="4"/>
        <v>0</v>
      </c>
      <c r="Q29" s="440">
        <f t="shared" si="4"/>
        <v>0</v>
      </c>
      <c r="R29" s="440">
        <f t="shared" si="4"/>
        <v>0</v>
      </c>
      <c r="S29" s="440">
        <f t="shared" si="4"/>
        <v>0</v>
      </c>
      <c r="T29" s="440">
        <f t="shared" si="4"/>
        <v>0</v>
      </c>
      <c r="U29" s="440">
        <f t="shared" si="4"/>
        <v>0</v>
      </c>
      <c r="V29" s="440">
        <f t="shared" si="4"/>
        <v>0</v>
      </c>
      <c r="W29" s="440">
        <f t="shared" si="4"/>
        <v>0</v>
      </c>
      <c r="X29" s="440">
        <f t="shared" si="4"/>
        <v>0</v>
      </c>
      <c r="Y29" s="440">
        <f t="shared" si="4"/>
        <v>0</v>
      </c>
      <c r="Z29" s="440">
        <f t="shared" si="4"/>
        <v>0</v>
      </c>
      <c r="AA29" s="440">
        <f t="shared" si="4"/>
        <v>0</v>
      </c>
      <c r="AB29" s="440">
        <f t="shared" si="4"/>
        <v>0</v>
      </c>
      <c r="AC29" s="440">
        <f t="shared" si="4"/>
        <v>0</v>
      </c>
      <c r="AD29" s="440">
        <f t="shared" si="4"/>
        <v>0</v>
      </c>
      <c r="AE29" s="440">
        <f t="shared" si="4"/>
        <v>0</v>
      </c>
      <c r="AF29" s="443">
        <f t="shared" si="4"/>
        <v>0</v>
      </c>
    </row>
    <row r="30" spans="1:33" ht="17.25" thickBot="1">
      <c r="A30" s="437"/>
      <c r="B30" s="433"/>
      <c r="C30" s="435"/>
      <c r="D30" s="435"/>
      <c r="E30" s="435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5"/>
    </row>
    <row r="31" spans="1:33" ht="17.25" thickBot="1">
      <c r="A31" s="429" t="s">
        <v>67</v>
      </c>
      <c r="B31" s="434" t="s">
        <v>68</v>
      </c>
      <c r="C31" s="435"/>
      <c r="D31" s="435"/>
      <c r="E31" s="435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5"/>
    </row>
    <row r="32" spans="1:33" ht="17.25" thickBot="1">
      <c r="A32" s="437"/>
      <c r="B32" s="433"/>
      <c r="C32" s="435"/>
      <c r="D32" s="435"/>
      <c r="E32" s="435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5"/>
    </row>
    <row r="33" spans="1:32" ht="17.25" thickBot="1">
      <c r="A33" s="429">
        <v>1</v>
      </c>
      <c r="B33" s="434" t="s">
        <v>69</v>
      </c>
      <c r="C33" s="435"/>
      <c r="D33" s="435"/>
      <c r="E33" s="435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5"/>
    </row>
    <row r="34" spans="1:32" ht="33" thickBot="1">
      <c r="A34" s="437" t="s">
        <v>13</v>
      </c>
      <c r="B34" s="433" t="s">
        <v>70</v>
      </c>
      <c r="C34" s="435"/>
      <c r="D34" s="435"/>
      <c r="E34" s="435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5"/>
    </row>
    <row r="35" spans="1:32" ht="19.5" customHeight="1" thickBot="1">
      <c r="A35" s="437" t="s">
        <v>15</v>
      </c>
      <c r="B35" s="433" t="s">
        <v>71</v>
      </c>
      <c r="C35" s="435"/>
      <c r="D35" s="435"/>
      <c r="E35" s="435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5"/>
    </row>
    <row r="36" spans="1:32" ht="17.25" thickBot="1">
      <c r="A36" s="437" t="s">
        <v>17</v>
      </c>
      <c r="B36" s="433" t="s">
        <v>72</v>
      </c>
      <c r="C36" s="435"/>
      <c r="D36" s="435"/>
      <c r="E36" s="435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5"/>
    </row>
    <row r="37" spans="1:32" ht="17.25" thickBot="1">
      <c r="A37" s="445" t="s">
        <v>55</v>
      </c>
      <c r="B37" s="433" t="s">
        <v>73</v>
      </c>
      <c r="C37" s="435"/>
      <c r="D37" s="435"/>
      <c r="E37" s="435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5"/>
    </row>
    <row r="38" spans="1:32" ht="17.25" thickBot="1">
      <c r="A38" s="442"/>
      <c r="B38" s="439" t="s">
        <v>50</v>
      </c>
      <c r="C38" s="443">
        <f>SUM(C34:C37)</f>
        <v>0</v>
      </c>
      <c r="D38" s="443">
        <f>SUM(D34:D37)</f>
        <v>0</v>
      </c>
      <c r="E38" s="443">
        <f>SUM(E34:E37)</f>
        <v>0</v>
      </c>
      <c r="F38" s="440">
        <f t="shared" ref="F38:AF38" si="5">SUM(F34:F37)</f>
        <v>0</v>
      </c>
      <c r="G38" s="440">
        <f t="shared" si="5"/>
        <v>0</v>
      </c>
      <c r="H38" s="440">
        <f t="shared" si="5"/>
        <v>0</v>
      </c>
      <c r="I38" s="440">
        <f t="shared" si="5"/>
        <v>0</v>
      </c>
      <c r="J38" s="440">
        <f t="shared" si="5"/>
        <v>0</v>
      </c>
      <c r="K38" s="440">
        <f t="shared" si="5"/>
        <v>0</v>
      </c>
      <c r="L38" s="440">
        <f t="shared" si="5"/>
        <v>0</v>
      </c>
      <c r="M38" s="440">
        <f t="shared" si="5"/>
        <v>0</v>
      </c>
      <c r="N38" s="440">
        <f t="shared" si="5"/>
        <v>0</v>
      </c>
      <c r="O38" s="440">
        <f t="shared" si="5"/>
        <v>0</v>
      </c>
      <c r="P38" s="440">
        <f t="shared" si="5"/>
        <v>0</v>
      </c>
      <c r="Q38" s="440">
        <f t="shared" si="5"/>
        <v>0</v>
      </c>
      <c r="R38" s="440">
        <f t="shared" si="5"/>
        <v>0</v>
      </c>
      <c r="S38" s="440">
        <f t="shared" si="5"/>
        <v>0</v>
      </c>
      <c r="T38" s="440">
        <f t="shared" si="5"/>
        <v>0</v>
      </c>
      <c r="U38" s="440">
        <f t="shared" si="5"/>
        <v>0</v>
      </c>
      <c r="V38" s="440">
        <f t="shared" si="5"/>
        <v>0</v>
      </c>
      <c r="W38" s="440">
        <f t="shared" si="5"/>
        <v>0</v>
      </c>
      <c r="X38" s="440">
        <f t="shared" si="5"/>
        <v>0</v>
      </c>
      <c r="Y38" s="440">
        <f t="shared" si="5"/>
        <v>0</v>
      </c>
      <c r="Z38" s="440">
        <f t="shared" si="5"/>
        <v>0</v>
      </c>
      <c r="AA38" s="440">
        <f t="shared" si="5"/>
        <v>0</v>
      </c>
      <c r="AB38" s="440">
        <f t="shared" si="5"/>
        <v>0</v>
      </c>
      <c r="AC38" s="440">
        <f t="shared" si="5"/>
        <v>0</v>
      </c>
      <c r="AD38" s="440">
        <f t="shared" si="5"/>
        <v>0</v>
      </c>
      <c r="AE38" s="440">
        <f t="shared" si="5"/>
        <v>0</v>
      </c>
      <c r="AF38" s="443">
        <f t="shared" si="5"/>
        <v>0</v>
      </c>
    </row>
    <row r="39" spans="1:32" ht="17.25" thickBot="1">
      <c r="A39" s="429">
        <v>2</v>
      </c>
      <c r="B39" s="434" t="s">
        <v>74</v>
      </c>
      <c r="C39" s="435"/>
      <c r="D39" s="435"/>
      <c r="E39" s="435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5"/>
    </row>
    <row r="40" spans="1:32" ht="17.25" thickBot="1">
      <c r="A40" s="437" t="s">
        <v>13</v>
      </c>
      <c r="B40" s="433" t="s">
        <v>75</v>
      </c>
      <c r="C40" s="435"/>
      <c r="D40" s="435"/>
      <c r="E40" s="435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5"/>
    </row>
    <row r="41" spans="1:32" ht="17.25" thickBot="1">
      <c r="A41" s="437" t="s">
        <v>15</v>
      </c>
      <c r="B41" s="433" t="s">
        <v>76</v>
      </c>
      <c r="C41" s="435"/>
      <c r="D41" s="435"/>
      <c r="E41" s="435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5"/>
    </row>
    <row r="42" spans="1:32" ht="17.25" thickBot="1">
      <c r="A42" s="437" t="s">
        <v>17</v>
      </c>
      <c r="B42" s="433" t="s">
        <v>77</v>
      </c>
      <c r="C42" s="435"/>
      <c r="D42" s="435"/>
      <c r="E42" s="435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5"/>
    </row>
    <row r="43" spans="1:32" ht="17.25" thickBot="1">
      <c r="A43" s="445" t="s">
        <v>55</v>
      </c>
      <c r="B43" s="433" t="s">
        <v>78</v>
      </c>
      <c r="C43" s="435"/>
      <c r="D43" s="435"/>
      <c r="E43" s="435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5"/>
    </row>
    <row r="44" spans="1:32" ht="17.25" thickBot="1">
      <c r="A44" s="442"/>
      <c r="B44" s="439" t="s">
        <v>50</v>
      </c>
      <c r="C44" s="440">
        <f>SUM(C40:C43)</f>
        <v>0</v>
      </c>
      <c r="D44" s="440">
        <f t="shared" ref="D44:AF44" si="6">SUM(D40:D43)</f>
        <v>0</v>
      </c>
      <c r="E44" s="440">
        <f t="shared" si="6"/>
        <v>0</v>
      </c>
      <c r="F44" s="440">
        <f t="shared" si="6"/>
        <v>0</v>
      </c>
      <c r="G44" s="440">
        <f t="shared" si="6"/>
        <v>0</v>
      </c>
      <c r="H44" s="440">
        <f t="shared" si="6"/>
        <v>0</v>
      </c>
      <c r="I44" s="440">
        <f t="shared" si="6"/>
        <v>0</v>
      </c>
      <c r="J44" s="440">
        <f t="shared" si="6"/>
        <v>0</v>
      </c>
      <c r="K44" s="440">
        <f t="shared" si="6"/>
        <v>0</v>
      </c>
      <c r="L44" s="440">
        <f t="shared" si="6"/>
        <v>0</v>
      </c>
      <c r="M44" s="440">
        <f t="shared" si="6"/>
        <v>0</v>
      </c>
      <c r="N44" s="440">
        <f t="shared" si="6"/>
        <v>0</v>
      </c>
      <c r="O44" s="440">
        <f t="shared" si="6"/>
        <v>0</v>
      </c>
      <c r="P44" s="440">
        <f t="shared" si="6"/>
        <v>0</v>
      </c>
      <c r="Q44" s="440">
        <f t="shared" si="6"/>
        <v>0</v>
      </c>
      <c r="R44" s="440">
        <f t="shared" si="6"/>
        <v>0</v>
      </c>
      <c r="S44" s="440">
        <f t="shared" si="6"/>
        <v>0</v>
      </c>
      <c r="T44" s="440">
        <f t="shared" si="6"/>
        <v>0</v>
      </c>
      <c r="U44" s="440">
        <f t="shared" si="6"/>
        <v>0</v>
      </c>
      <c r="V44" s="440">
        <f t="shared" si="6"/>
        <v>0</v>
      </c>
      <c r="W44" s="440">
        <f t="shared" si="6"/>
        <v>0</v>
      </c>
      <c r="X44" s="440">
        <f t="shared" si="6"/>
        <v>0</v>
      </c>
      <c r="Y44" s="440">
        <f t="shared" si="6"/>
        <v>0</v>
      </c>
      <c r="Z44" s="440">
        <f t="shared" si="6"/>
        <v>0</v>
      </c>
      <c r="AA44" s="440">
        <f t="shared" si="6"/>
        <v>0</v>
      </c>
      <c r="AB44" s="440">
        <f t="shared" si="6"/>
        <v>0</v>
      </c>
      <c r="AC44" s="440">
        <f t="shared" si="6"/>
        <v>0</v>
      </c>
      <c r="AD44" s="440">
        <f t="shared" si="6"/>
        <v>0</v>
      </c>
      <c r="AE44" s="440">
        <f t="shared" si="6"/>
        <v>0</v>
      </c>
      <c r="AF44" s="440">
        <f t="shared" si="6"/>
        <v>0</v>
      </c>
    </row>
    <row r="45" spans="1:32" ht="17.25" thickBot="1">
      <c r="A45" s="429">
        <v>3</v>
      </c>
      <c r="B45" s="434" t="s">
        <v>79</v>
      </c>
      <c r="C45" s="435"/>
      <c r="D45" s="435"/>
      <c r="E45" s="435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5"/>
    </row>
    <row r="46" spans="1:32" ht="17.25" thickBot="1">
      <c r="A46" s="429">
        <v>4</v>
      </c>
      <c r="B46" s="434" t="s">
        <v>80</v>
      </c>
      <c r="C46" s="435"/>
      <c r="D46" s="435"/>
      <c r="E46" s="435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5"/>
    </row>
    <row r="47" spans="1:32" ht="17.25" thickBot="1">
      <c r="A47" s="437" t="s">
        <v>13</v>
      </c>
      <c r="B47" s="433" t="s">
        <v>81</v>
      </c>
      <c r="C47" s="435"/>
      <c r="D47" s="435"/>
      <c r="E47" s="435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5"/>
    </row>
    <row r="48" spans="1:32" ht="17.25" thickBot="1">
      <c r="A48" s="437" t="s">
        <v>15</v>
      </c>
      <c r="B48" s="433" t="s">
        <v>82</v>
      </c>
      <c r="C48" s="435"/>
      <c r="D48" s="435"/>
      <c r="E48" s="435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5"/>
    </row>
    <row r="49" spans="1:32" ht="17.25" thickBot="1">
      <c r="A49" s="437" t="s">
        <v>17</v>
      </c>
      <c r="B49" s="433" t="s">
        <v>83</v>
      </c>
      <c r="C49" s="435"/>
      <c r="D49" s="435"/>
      <c r="E49" s="435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5"/>
    </row>
    <row r="50" spans="1:32" ht="17.25" thickBot="1">
      <c r="A50" s="442"/>
      <c r="B50" s="439" t="s">
        <v>50</v>
      </c>
      <c r="C50" s="448">
        <f>C45+SUM(C47:C49)</f>
        <v>0</v>
      </c>
      <c r="D50" s="448">
        <f t="shared" ref="D50:AF50" si="7">D45+D46</f>
        <v>0</v>
      </c>
      <c r="E50" s="448">
        <f t="shared" si="7"/>
        <v>0</v>
      </c>
      <c r="F50" s="449">
        <f t="shared" si="7"/>
        <v>0</v>
      </c>
      <c r="G50" s="449">
        <f t="shared" si="7"/>
        <v>0</v>
      </c>
      <c r="H50" s="449">
        <f t="shared" si="7"/>
        <v>0</v>
      </c>
      <c r="I50" s="449">
        <f t="shared" si="7"/>
        <v>0</v>
      </c>
      <c r="J50" s="449">
        <f t="shared" si="7"/>
        <v>0</v>
      </c>
      <c r="K50" s="449">
        <f t="shared" si="7"/>
        <v>0</v>
      </c>
      <c r="L50" s="449">
        <f t="shared" si="7"/>
        <v>0</v>
      </c>
      <c r="M50" s="449">
        <f t="shared" si="7"/>
        <v>0</v>
      </c>
      <c r="N50" s="449">
        <f t="shared" si="7"/>
        <v>0</v>
      </c>
      <c r="O50" s="449">
        <f t="shared" si="7"/>
        <v>0</v>
      </c>
      <c r="P50" s="449">
        <f t="shared" si="7"/>
        <v>0</v>
      </c>
      <c r="Q50" s="449">
        <f t="shared" si="7"/>
        <v>0</v>
      </c>
      <c r="R50" s="449">
        <f t="shared" si="7"/>
        <v>0</v>
      </c>
      <c r="S50" s="449">
        <f t="shared" si="7"/>
        <v>0</v>
      </c>
      <c r="T50" s="449">
        <f t="shared" si="7"/>
        <v>0</v>
      </c>
      <c r="U50" s="449">
        <f t="shared" si="7"/>
        <v>0</v>
      </c>
      <c r="V50" s="449">
        <f t="shared" si="7"/>
        <v>0</v>
      </c>
      <c r="W50" s="449">
        <f t="shared" si="7"/>
        <v>0</v>
      </c>
      <c r="X50" s="449">
        <f t="shared" si="7"/>
        <v>0</v>
      </c>
      <c r="Y50" s="449">
        <f t="shared" si="7"/>
        <v>0</v>
      </c>
      <c r="Z50" s="449">
        <f t="shared" si="7"/>
        <v>0</v>
      </c>
      <c r="AA50" s="449">
        <f t="shared" si="7"/>
        <v>0</v>
      </c>
      <c r="AB50" s="449">
        <f t="shared" si="7"/>
        <v>0</v>
      </c>
      <c r="AC50" s="449">
        <f t="shared" si="7"/>
        <v>0</v>
      </c>
      <c r="AD50" s="449">
        <f t="shared" si="7"/>
        <v>0</v>
      </c>
      <c r="AE50" s="449">
        <f t="shared" si="7"/>
        <v>0</v>
      </c>
      <c r="AF50" s="448">
        <f t="shared" si="7"/>
        <v>0</v>
      </c>
    </row>
    <row r="51" spans="1:32" ht="17.25" thickBot="1">
      <c r="A51" s="429">
        <v>5</v>
      </c>
      <c r="B51" s="434" t="s">
        <v>84</v>
      </c>
      <c r="C51" s="435"/>
      <c r="D51" s="435"/>
      <c r="E51" s="435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5"/>
    </row>
    <row r="52" spans="1:32" ht="17.25" thickBot="1">
      <c r="A52" s="429">
        <v>6</v>
      </c>
      <c r="B52" s="434" t="s">
        <v>85</v>
      </c>
      <c r="C52" s="435"/>
      <c r="D52" s="435"/>
      <c r="E52" s="435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5"/>
    </row>
    <row r="53" spans="1:32" ht="17.25" thickBot="1">
      <c r="A53" s="437"/>
      <c r="B53" s="433"/>
      <c r="C53" s="435"/>
      <c r="D53" s="435"/>
      <c r="E53" s="435"/>
      <c r="F53" s="436"/>
      <c r="G53" s="436"/>
      <c r="H53" s="436"/>
      <c r="I53" s="436"/>
      <c r="J53" s="436"/>
      <c r="K53" s="436"/>
      <c r="L53" s="436"/>
      <c r="M53" s="436"/>
      <c r="N53" s="436"/>
      <c r="O53" s="436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5"/>
    </row>
    <row r="54" spans="1:32" ht="17.25" thickBot="1">
      <c r="A54" s="446"/>
      <c r="B54" s="447" t="s">
        <v>86</v>
      </c>
      <c r="C54" s="450">
        <f>C38+C44+C50+C51+C52</f>
        <v>0</v>
      </c>
      <c r="D54" s="450">
        <f t="shared" ref="D54:AF54" si="8">D38+D44+D50+D51+D52</f>
        <v>0</v>
      </c>
      <c r="E54" s="450">
        <f t="shared" si="8"/>
        <v>0</v>
      </c>
      <c r="F54" s="449">
        <f t="shared" si="8"/>
        <v>0</v>
      </c>
      <c r="G54" s="449">
        <f t="shared" si="8"/>
        <v>0</v>
      </c>
      <c r="H54" s="449">
        <f t="shared" si="8"/>
        <v>0</v>
      </c>
      <c r="I54" s="449">
        <f t="shared" si="8"/>
        <v>0</v>
      </c>
      <c r="J54" s="449">
        <f t="shared" si="8"/>
        <v>0</v>
      </c>
      <c r="K54" s="449">
        <f t="shared" si="8"/>
        <v>0</v>
      </c>
      <c r="L54" s="449">
        <f t="shared" si="8"/>
        <v>0</v>
      </c>
      <c r="M54" s="449">
        <f t="shared" si="8"/>
        <v>0</v>
      </c>
      <c r="N54" s="449">
        <f t="shared" si="8"/>
        <v>0</v>
      </c>
      <c r="O54" s="449">
        <f t="shared" si="8"/>
        <v>0</v>
      </c>
      <c r="P54" s="449">
        <f t="shared" si="8"/>
        <v>0</v>
      </c>
      <c r="Q54" s="449">
        <f t="shared" si="8"/>
        <v>0</v>
      </c>
      <c r="R54" s="449">
        <f t="shared" si="8"/>
        <v>0</v>
      </c>
      <c r="S54" s="449">
        <f t="shared" si="8"/>
        <v>0</v>
      </c>
      <c r="T54" s="449">
        <f t="shared" si="8"/>
        <v>0</v>
      </c>
      <c r="U54" s="449">
        <f t="shared" si="8"/>
        <v>0</v>
      </c>
      <c r="V54" s="449">
        <f t="shared" si="8"/>
        <v>0</v>
      </c>
      <c r="W54" s="449">
        <f t="shared" si="8"/>
        <v>0</v>
      </c>
      <c r="X54" s="449">
        <f t="shared" si="8"/>
        <v>0</v>
      </c>
      <c r="Y54" s="449">
        <f t="shared" si="8"/>
        <v>0</v>
      </c>
      <c r="Z54" s="449">
        <f t="shared" si="8"/>
        <v>0</v>
      </c>
      <c r="AA54" s="449">
        <f t="shared" si="8"/>
        <v>0</v>
      </c>
      <c r="AB54" s="449">
        <f t="shared" si="8"/>
        <v>0</v>
      </c>
      <c r="AC54" s="449">
        <f t="shared" si="8"/>
        <v>0</v>
      </c>
      <c r="AD54" s="449">
        <f t="shared" si="8"/>
        <v>0</v>
      </c>
      <c r="AE54" s="449">
        <f t="shared" si="8"/>
        <v>0</v>
      </c>
      <c r="AF54" s="450">
        <f t="shared" si="8"/>
        <v>0</v>
      </c>
    </row>
    <row r="55" spans="1:32" ht="17.25" thickBot="1">
      <c r="A55" s="437"/>
      <c r="B55" s="433"/>
      <c r="C55" s="435"/>
      <c r="D55" s="435"/>
      <c r="E55" s="435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5"/>
    </row>
    <row r="56" spans="1:32" ht="17.25" thickBot="1">
      <c r="A56" s="446"/>
      <c r="B56" s="447" t="s">
        <v>87</v>
      </c>
      <c r="C56" s="451">
        <f>C54+C29</f>
        <v>0</v>
      </c>
      <c r="D56" s="451">
        <f>D54+D29</f>
        <v>0</v>
      </c>
      <c r="E56" s="451">
        <f>E54+E29</f>
        <v>0</v>
      </c>
      <c r="F56" s="440">
        <f t="shared" ref="F56:AF56" si="9">F54+F29</f>
        <v>69490000</v>
      </c>
      <c r="G56" s="440">
        <f t="shared" si="9"/>
        <v>0</v>
      </c>
      <c r="H56" s="440">
        <f t="shared" si="9"/>
        <v>0</v>
      </c>
      <c r="I56" s="440">
        <f t="shared" si="9"/>
        <v>0</v>
      </c>
      <c r="J56" s="440">
        <f t="shared" si="9"/>
        <v>0</v>
      </c>
      <c r="K56" s="440">
        <f>K54+K29</f>
        <v>0</v>
      </c>
      <c r="L56" s="440">
        <f t="shared" si="9"/>
        <v>0</v>
      </c>
      <c r="M56" s="440">
        <f t="shared" si="9"/>
        <v>0</v>
      </c>
      <c r="N56" s="440">
        <f t="shared" si="9"/>
        <v>0</v>
      </c>
      <c r="O56" s="440">
        <f t="shared" si="9"/>
        <v>0</v>
      </c>
      <c r="P56" s="440">
        <f t="shared" si="9"/>
        <v>0</v>
      </c>
      <c r="Q56" s="440">
        <f t="shared" si="9"/>
        <v>0</v>
      </c>
      <c r="R56" s="440">
        <f t="shared" si="9"/>
        <v>0</v>
      </c>
      <c r="S56" s="440">
        <f t="shared" si="9"/>
        <v>0</v>
      </c>
      <c r="T56" s="440">
        <f t="shared" si="9"/>
        <v>0</v>
      </c>
      <c r="U56" s="440">
        <f t="shared" si="9"/>
        <v>0</v>
      </c>
      <c r="V56" s="440">
        <f t="shared" si="9"/>
        <v>0</v>
      </c>
      <c r="W56" s="440">
        <f t="shared" si="9"/>
        <v>0</v>
      </c>
      <c r="X56" s="440">
        <f t="shared" si="9"/>
        <v>0</v>
      </c>
      <c r="Y56" s="440">
        <f t="shared" si="9"/>
        <v>0</v>
      </c>
      <c r="Z56" s="440">
        <f t="shared" si="9"/>
        <v>0</v>
      </c>
      <c r="AA56" s="440">
        <f t="shared" si="9"/>
        <v>0</v>
      </c>
      <c r="AB56" s="440">
        <f t="shared" si="9"/>
        <v>0</v>
      </c>
      <c r="AC56" s="440">
        <f t="shared" si="9"/>
        <v>0</v>
      </c>
      <c r="AD56" s="440">
        <f t="shared" si="9"/>
        <v>0</v>
      </c>
      <c r="AE56" s="440">
        <f t="shared" si="9"/>
        <v>0</v>
      </c>
      <c r="AF56" s="451">
        <f t="shared" si="9"/>
        <v>0</v>
      </c>
    </row>
    <row r="57" spans="1:32" ht="17.25" thickBot="1">
      <c r="A57" s="452"/>
      <c r="B57" s="453"/>
      <c r="C57" s="454"/>
      <c r="D57" s="454"/>
      <c r="E57" s="454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  <c r="X57" s="455"/>
      <c r="Y57" s="455"/>
      <c r="Z57" s="455"/>
      <c r="AA57" s="455"/>
      <c r="AB57" s="455"/>
      <c r="AC57" s="455"/>
      <c r="AD57" s="455"/>
      <c r="AE57" s="455"/>
      <c r="AF57" s="454"/>
    </row>
    <row r="58" spans="1:32" ht="17.25" thickBot="1">
      <c r="A58" s="456" t="s">
        <v>88</v>
      </c>
      <c r="B58" s="457" t="s">
        <v>89</v>
      </c>
      <c r="C58" s="429"/>
      <c r="D58" s="429"/>
      <c r="E58" s="429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29"/>
    </row>
    <row r="59" spans="1:32" ht="17.25" thickBot="1">
      <c r="A59" s="456"/>
      <c r="B59" s="457"/>
      <c r="C59" s="429"/>
      <c r="D59" s="429"/>
      <c r="E59" s="429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29"/>
    </row>
    <row r="60" spans="1:32" s="463" customFormat="1" ht="17.25" thickBot="1">
      <c r="A60" s="459" t="s">
        <v>44</v>
      </c>
      <c r="B60" s="460" t="s">
        <v>90</v>
      </c>
      <c r="C60" s="461"/>
      <c r="D60" s="461"/>
      <c r="E60" s="461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1"/>
    </row>
    <row r="61" spans="1:32" s="463" customFormat="1" ht="17.25" thickBot="1">
      <c r="A61" s="459"/>
      <c r="B61" s="460"/>
      <c r="C61" s="461"/>
      <c r="D61" s="461"/>
      <c r="E61" s="461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62"/>
      <c r="AF61" s="461"/>
    </row>
    <row r="62" spans="1:32" s="463" customFormat="1" ht="17.25" thickBot="1">
      <c r="A62" s="459">
        <v>1</v>
      </c>
      <c r="B62" s="460" t="s">
        <v>91</v>
      </c>
      <c r="C62" s="461"/>
      <c r="D62" s="461"/>
      <c r="E62" s="461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1"/>
    </row>
    <row r="63" spans="1:32" s="463" customFormat="1" ht="17.25" thickBot="1">
      <c r="A63" s="459">
        <v>2</v>
      </c>
      <c r="B63" s="460" t="s">
        <v>92</v>
      </c>
      <c r="C63" s="464">
        <f>SUM(C64:C65)</f>
        <v>0</v>
      </c>
      <c r="D63" s="464">
        <f>SUM(D64:D65)</f>
        <v>0</v>
      </c>
      <c r="E63" s="464">
        <f>SUM(E64:E65)</f>
        <v>0</v>
      </c>
      <c r="F63" s="464">
        <f t="shared" ref="F63:AF63" si="10">SUM(F64:F65)</f>
        <v>0</v>
      </c>
      <c r="G63" s="464">
        <f t="shared" si="10"/>
        <v>0</v>
      </c>
      <c r="H63" s="464">
        <f t="shared" si="10"/>
        <v>0</v>
      </c>
      <c r="I63" s="464">
        <f t="shared" si="10"/>
        <v>0</v>
      </c>
      <c r="J63" s="464">
        <f t="shared" si="10"/>
        <v>0</v>
      </c>
      <c r="K63" s="464">
        <f t="shared" si="10"/>
        <v>0</v>
      </c>
      <c r="L63" s="464">
        <f t="shared" si="10"/>
        <v>0</v>
      </c>
      <c r="M63" s="464">
        <f t="shared" si="10"/>
        <v>0</v>
      </c>
      <c r="N63" s="464">
        <f t="shared" si="10"/>
        <v>0</v>
      </c>
      <c r="O63" s="464">
        <f t="shared" si="10"/>
        <v>0</v>
      </c>
      <c r="P63" s="464">
        <f t="shared" si="10"/>
        <v>0</v>
      </c>
      <c r="Q63" s="464">
        <f t="shared" si="10"/>
        <v>0</v>
      </c>
      <c r="R63" s="464">
        <f t="shared" si="10"/>
        <v>0</v>
      </c>
      <c r="S63" s="464">
        <f t="shared" si="10"/>
        <v>0</v>
      </c>
      <c r="T63" s="464">
        <f t="shared" si="10"/>
        <v>0</v>
      </c>
      <c r="U63" s="464">
        <f t="shared" si="10"/>
        <v>0</v>
      </c>
      <c r="V63" s="464">
        <f t="shared" si="10"/>
        <v>0</v>
      </c>
      <c r="W63" s="464">
        <f t="shared" si="10"/>
        <v>0</v>
      </c>
      <c r="X63" s="464">
        <f t="shared" si="10"/>
        <v>0</v>
      </c>
      <c r="Y63" s="464">
        <f t="shared" si="10"/>
        <v>0</v>
      </c>
      <c r="Z63" s="464">
        <f t="shared" si="10"/>
        <v>0</v>
      </c>
      <c r="AA63" s="464">
        <f t="shared" si="10"/>
        <v>0</v>
      </c>
      <c r="AB63" s="464">
        <f t="shared" si="10"/>
        <v>0</v>
      </c>
      <c r="AC63" s="464">
        <f t="shared" si="10"/>
        <v>0</v>
      </c>
      <c r="AD63" s="464">
        <f t="shared" si="10"/>
        <v>0</v>
      </c>
      <c r="AE63" s="464">
        <f t="shared" si="10"/>
        <v>0</v>
      </c>
      <c r="AF63" s="464">
        <f t="shared" si="10"/>
        <v>0</v>
      </c>
    </row>
    <row r="64" spans="1:32" s="463" customFormat="1" ht="17.25" thickBot="1">
      <c r="A64" s="465" t="s">
        <v>13</v>
      </c>
      <c r="B64" s="466" t="s">
        <v>93</v>
      </c>
      <c r="C64" s="461"/>
      <c r="D64" s="461"/>
      <c r="E64" s="461"/>
      <c r="F64" s="462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61"/>
    </row>
    <row r="65" spans="1:33" s="463" customFormat="1" ht="17.25" thickBot="1">
      <c r="A65" s="465" t="s">
        <v>15</v>
      </c>
      <c r="B65" s="466" t="s">
        <v>94</v>
      </c>
      <c r="C65" s="461"/>
      <c r="D65" s="461"/>
      <c r="E65" s="461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62"/>
      <c r="AF65" s="461"/>
    </row>
    <row r="66" spans="1:33" s="463" customFormat="1" ht="17.25" thickBot="1">
      <c r="A66" s="465" t="s">
        <v>17</v>
      </c>
      <c r="B66" s="466" t="s">
        <v>95</v>
      </c>
      <c r="C66" s="461"/>
      <c r="D66" s="461"/>
      <c r="E66" s="461"/>
      <c r="F66" s="462"/>
      <c r="G66" s="462"/>
      <c r="H66" s="462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62"/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1"/>
    </row>
    <row r="67" spans="1:33" s="463" customFormat="1" ht="17.25" thickBot="1">
      <c r="A67" s="467"/>
      <c r="B67" s="468" t="s">
        <v>50</v>
      </c>
      <c r="C67" s="469">
        <f>C62+C63</f>
        <v>0</v>
      </c>
      <c r="D67" s="469">
        <f t="shared" ref="D67:AF67" si="11">D62+D63</f>
        <v>0</v>
      </c>
      <c r="E67" s="469">
        <f t="shared" si="11"/>
        <v>0</v>
      </c>
      <c r="F67" s="469">
        <f t="shared" si="11"/>
        <v>0</v>
      </c>
      <c r="G67" s="469">
        <f t="shared" si="11"/>
        <v>0</v>
      </c>
      <c r="H67" s="469">
        <f t="shared" si="11"/>
        <v>0</v>
      </c>
      <c r="I67" s="469">
        <f t="shared" si="11"/>
        <v>0</v>
      </c>
      <c r="J67" s="469">
        <f t="shared" si="11"/>
        <v>0</v>
      </c>
      <c r="K67" s="469">
        <f t="shared" si="11"/>
        <v>0</v>
      </c>
      <c r="L67" s="469">
        <f t="shared" si="11"/>
        <v>0</v>
      </c>
      <c r="M67" s="469">
        <f t="shared" si="11"/>
        <v>0</v>
      </c>
      <c r="N67" s="469">
        <f t="shared" si="11"/>
        <v>0</v>
      </c>
      <c r="O67" s="469">
        <f t="shared" si="11"/>
        <v>0</v>
      </c>
      <c r="P67" s="469">
        <f t="shared" si="11"/>
        <v>0</v>
      </c>
      <c r="Q67" s="469">
        <f t="shared" si="11"/>
        <v>0</v>
      </c>
      <c r="R67" s="469">
        <f t="shared" si="11"/>
        <v>0</v>
      </c>
      <c r="S67" s="469">
        <f t="shared" si="11"/>
        <v>0</v>
      </c>
      <c r="T67" s="469">
        <f t="shared" si="11"/>
        <v>0</v>
      </c>
      <c r="U67" s="469">
        <f t="shared" si="11"/>
        <v>0</v>
      </c>
      <c r="V67" s="469">
        <f t="shared" si="11"/>
        <v>0</v>
      </c>
      <c r="W67" s="469">
        <f t="shared" si="11"/>
        <v>0</v>
      </c>
      <c r="X67" s="469">
        <f t="shared" si="11"/>
        <v>0</v>
      </c>
      <c r="Y67" s="469">
        <f t="shared" si="11"/>
        <v>0</v>
      </c>
      <c r="Z67" s="469">
        <f t="shared" si="11"/>
        <v>0</v>
      </c>
      <c r="AA67" s="469">
        <f t="shared" si="11"/>
        <v>0</v>
      </c>
      <c r="AB67" s="469">
        <f t="shared" si="11"/>
        <v>0</v>
      </c>
      <c r="AC67" s="469">
        <f t="shared" si="11"/>
        <v>0</v>
      </c>
      <c r="AD67" s="469">
        <f t="shared" si="11"/>
        <v>0</v>
      </c>
      <c r="AE67" s="469">
        <f t="shared" si="11"/>
        <v>0</v>
      </c>
      <c r="AF67" s="469">
        <f t="shared" si="11"/>
        <v>0</v>
      </c>
    </row>
    <row r="68" spans="1:33" s="463" customFormat="1" ht="17.25" thickBot="1">
      <c r="A68" s="459">
        <v>3</v>
      </c>
      <c r="B68" s="460" t="s">
        <v>96</v>
      </c>
      <c r="C68" s="461"/>
      <c r="D68" s="461"/>
      <c r="E68" s="461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1"/>
    </row>
    <row r="69" spans="1:33" s="463" customFormat="1" ht="17.25" thickBot="1">
      <c r="A69" s="470" t="s">
        <v>13</v>
      </c>
      <c r="B69" s="471" t="s">
        <v>97</v>
      </c>
      <c r="C69" s="461"/>
      <c r="D69" s="461"/>
      <c r="E69" s="461"/>
      <c r="F69" s="462">
        <v>760060</v>
      </c>
      <c r="G69" s="462"/>
      <c r="H69" s="462"/>
      <c r="I69" s="462"/>
      <c r="J69" s="462"/>
      <c r="K69" s="462">
        <v>40500</v>
      </c>
      <c r="L69" s="462"/>
      <c r="M69" s="462"/>
      <c r="N69" s="462"/>
      <c r="O69" s="462"/>
      <c r="P69" s="462"/>
      <c r="Q69" s="462"/>
      <c r="R69" s="462"/>
      <c r="S69" s="462"/>
      <c r="T69" s="462"/>
      <c r="U69" s="462"/>
      <c r="V69" s="462"/>
      <c r="W69" s="462"/>
      <c r="X69" s="462"/>
      <c r="Y69" s="462"/>
      <c r="Z69" s="462"/>
      <c r="AA69" s="462"/>
      <c r="AB69" s="462"/>
      <c r="AC69" s="462"/>
      <c r="AD69" s="462"/>
      <c r="AE69" s="462"/>
      <c r="AF69" s="461"/>
      <c r="AG69" s="472"/>
    </row>
    <row r="70" spans="1:33" s="463" customFormat="1" ht="17.25" thickBot="1">
      <c r="A70" s="470" t="s">
        <v>15</v>
      </c>
      <c r="B70" s="471" t="s">
        <v>98</v>
      </c>
      <c r="C70" s="461"/>
      <c r="D70" s="461"/>
      <c r="E70" s="461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62"/>
      <c r="T70" s="462"/>
      <c r="U70" s="462"/>
      <c r="V70" s="462"/>
      <c r="W70" s="462"/>
      <c r="X70" s="462"/>
      <c r="Y70" s="462"/>
      <c r="Z70" s="462"/>
      <c r="AA70" s="462"/>
      <c r="AB70" s="462"/>
      <c r="AC70" s="462"/>
      <c r="AD70" s="462"/>
      <c r="AE70" s="462"/>
      <c r="AF70" s="461"/>
    </row>
    <row r="71" spans="1:33" s="463" customFormat="1" ht="17.25" thickBot="1">
      <c r="A71" s="470" t="s">
        <v>17</v>
      </c>
      <c r="B71" s="471" t="s">
        <v>99</v>
      </c>
      <c r="C71" s="461"/>
      <c r="D71" s="461"/>
      <c r="E71" s="461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462"/>
      <c r="R71" s="462"/>
      <c r="S71" s="462"/>
      <c r="T71" s="462"/>
      <c r="U71" s="462"/>
      <c r="V71" s="462"/>
      <c r="W71" s="462"/>
      <c r="X71" s="462"/>
      <c r="Y71" s="462"/>
      <c r="Z71" s="462"/>
      <c r="AA71" s="462"/>
      <c r="AB71" s="462"/>
      <c r="AC71" s="462"/>
      <c r="AD71" s="462"/>
      <c r="AE71" s="462"/>
      <c r="AF71" s="461"/>
    </row>
    <row r="72" spans="1:33" s="463" customFormat="1" ht="17.25" thickBot="1">
      <c r="A72" s="470" t="s">
        <v>55</v>
      </c>
      <c r="B72" s="471" t="s">
        <v>100</v>
      </c>
      <c r="C72" s="461"/>
      <c r="D72" s="461"/>
      <c r="E72" s="461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1"/>
    </row>
    <row r="73" spans="1:33" s="463" customFormat="1" ht="17.25" thickBot="1">
      <c r="A73" s="465" t="s">
        <v>62</v>
      </c>
      <c r="B73" s="466" t="s">
        <v>101</v>
      </c>
      <c r="C73" s="461"/>
      <c r="D73" s="461"/>
      <c r="E73" s="461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62"/>
      <c r="V73" s="462"/>
      <c r="W73" s="462"/>
      <c r="X73" s="462"/>
      <c r="Y73" s="462"/>
      <c r="Z73" s="462"/>
      <c r="AA73" s="462"/>
      <c r="AB73" s="462"/>
      <c r="AC73" s="462"/>
      <c r="AD73" s="462"/>
      <c r="AE73" s="462"/>
      <c r="AF73" s="461"/>
    </row>
    <row r="74" spans="1:33" s="463" customFormat="1" ht="16.5" thickBot="1">
      <c r="A74" s="473"/>
      <c r="B74" s="468" t="s">
        <v>50</v>
      </c>
      <c r="C74" s="474">
        <f>SUM(C69:C73)</f>
        <v>0</v>
      </c>
      <c r="D74" s="474">
        <f>SUM(D69:D73)</f>
        <v>0</v>
      </c>
      <c r="E74" s="474">
        <f t="shared" ref="E74:AF74" si="12">SUM(E69:E73)</f>
        <v>0</v>
      </c>
      <c r="F74" s="474">
        <f t="shared" si="12"/>
        <v>760060</v>
      </c>
      <c r="G74" s="474">
        <f t="shared" si="12"/>
        <v>0</v>
      </c>
      <c r="H74" s="474">
        <f t="shared" si="12"/>
        <v>0</v>
      </c>
      <c r="I74" s="474">
        <f t="shared" si="12"/>
        <v>0</v>
      </c>
      <c r="J74" s="474">
        <f t="shared" si="12"/>
        <v>0</v>
      </c>
      <c r="K74" s="474">
        <f>SUM(K69:K73)</f>
        <v>40500</v>
      </c>
      <c r="L74" s="474">
        <f t="shared" si="12"/>
        <v>0</v>
      </c>
      <c r="M74" s="474">
        <f t="shared" si="12"/>
        <v>0</v>
      </c>
      <c r="N74" s="474">
        <f t="shared" si="12"/>
        <v>0</v>
      </c>
      <c r="O74" s="474">
        <f t="shared" si="12"/>
        <v>0</v>
      </c>
      <c r="P74" s="474">
        <f t="shared" si="12"/>
        <v>0</v>
      </c>
      <c r="Q74" s="474">
        <f t="shared" si="12"/>
        <v>0</v>
      </c>
      <c r="R74" s="474">
        <f t="shared" si="12"/>
        <v>0</v>
      </c>
      <c r="S74" s="474">
        <f t="shared" si="12"/>
        <v>0</v>
      </c>
      <c r="T74" s="474">
        <f t="shared" si="12"/>
        <v>0</v>
      </c>
      <c r="U74" s="474">
        <f t="shared" si="12"/>
        <v>0</v>
      </c>
      <c r="V74" s="474">
        <f t="shared" si="12"/>
        <v>0</v>
      </c>
      <c r="W74" s="474">
        <f t="shared" si="12"/>
        <v>0</v>
      </c>
      <c r="X74" s="474">
        <f t="shared" si="12"/>
        <v>0</v>
      </c>
      <c r="Y74" s="474">
        <f t="shared" si="12"/>
        <v>0</v>
      </c>
      <c r="Z74" s="474">
        <f t="shared" si="12"/>
        <v>0</v>
      </c>
      <c r="AA74" s="474">
        <f t="shared" si="12"/>
        <v>0</v>
      </c>
      <c r="AB74" s="474">
        <f t="shared" si="12"/>
        <v>0</v>
      </c>
      <c r="AC74" s="474">
        <f t="shared" si="12"/>
        <v>0</v>
      </c>
      <c r="AD74" s="474">
        <f t="shared" si="12"/>
        <v>0</v>
      </c>
      <c r="AE74" s="474">
        <f t="shared" si="12"/>
        <v>0</v>
      </c>
      <c r="AF74" s="474">
        <f t="shared" si="12"/>
        <v>0</v>
      </c>
    </row>
    <row r="75" spans="1:33" s="463" customFormat="1" ht="17.25" thickBot="1">
      <c r="A75" s="459">
        <v>4</v>
      </c>
      <c r="B75" s="460" t="s">
        <v>102</v>
      </c>
      <c r="C75" s="461"/>
      <c r="D75" s="461"/>
      <c r="E75" s="461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2"/>
      <c r="AF75" s="461"/>
    </row>
    <row r="76" spans="1:33" s="463" customFormat="1" ht="17.25" thickBot="1">
      <c r="A76" s="459">
        <v>5</v>
      </c>
      <c r="B76" s="460" t="s">
        <v>103</v>
      </c>
      <c r="C76" s="461"/>
      <c r="D76" s="461"/>
      <c r="E76" s="461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62"/>
      <c r="AA76" s="462"/>
      <c r="AB76" s="462"/>
      <c r="AC76" s="462"/>
      <c r="AD76" s="462"/>
      <c r="AE76" s="462"/>
      <c r="AF76" s="461"/>
    </row>
    <row r="77" spans="1:33" s="463" customFormat="1" ht="17.25" thickBot="1">
      <c r="A77" s="465"/>
      <c r="B77" s="466"/>
      <c r="C77" s="461"/>
      <c r="D77" s="461"/>
      <c r="E77" s="461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1"/>
    </row>
    <row r="78" spans="1:33" s="463" customFormat="1" ht="17.25" thickBot="1">
      <c r="A78" s="475"/>
      <c r="B78" s="476" t="s">
        <v>104</v>
      </c>
      <c r="C78" s="477">
        <f>C74+C75+C67+C76</f>
        <v>0</v>
      </c>
      <c r="D78" s="477">
        <f>D74+D75+D67+D76</f>
        <v>0</v>
      </c>
      <c r="E78" s="477">
        <f t="shared" ref="E78:AF78" si="13">E74+E75+E67+E76</f>
        <v>0</v>
      </c>
      <c r="F78" s="477">
        <f t="shared" si="13"/>
        <v>760060</v>
      </c>
      <c r="G78" s="477">
        <f t="shared" si="13"/>
        <v>0</v>
      </c>
      <c r="H78" s="477">
        <f t="shared" si="13"/>
        <v>0</v>
      </c>
      <c r="I78" s="477">
        <f t="shared" si="13"/>
        <v>0</v>
      </c>
      <c r="J78" s="477">
        <f t="shared" si="13"/>
        <v>0</v>
      </c>
      <c r="K78" s="477">
        <f>K74+K75+K67+K76</f>
        <v>40500</v>
      </c>
      <c r="L78" s="477">
        <f t="shared" si="13"/>
        <v>0</v>
      </c>
      <c r="M78" s="477">
        <f t="shared" si="13"/>
        <v>0</v>
      </c>
      <c r="N78" s="477">
        <f t="shared" si="13"/>
        <v>0</v>
      </c>
      <c r="O78" s="477">
        <f t="shared" si="13"/>
        <v>0</v>
      </c>
      <c r="P78" s="477">
        <f t="shared" si="13"/>
        <v>0</v>
      </c>
      <c r="Q78" s="477">
        <f t="shared" si="13"/>
        <v>0</v>
      </c>
      <c r="R78" s="477">
        <f t="shared" si="13"/>
        <v>0</v>
      </c>
      <c r="S78" s="477">
        <f t="shared" si="13"/>
        <v>0</v>
      </c>
      <c r="T78" s="477">
        <f t="shared" si="13"/>
        <v>0</v>
      </c>
      <c r="U78" s="477">
        <f t="shared" si="13"/>
        <v>0</v>
      </c>
      <c r="V78" s="477">
        <f t="shared" si="13"/>
        <v>0</v>
      </c>
      <c r="W78" s="477">
        <f t="shared" si="13"/>
        <v>0</v>
      </c>
      <c r="X78" s="477">
        <f t="shared" si="13"/>
        <v>0</v>
      </c>
      <c r="Y78" s="477">
        <f t="shared" si="13"/>
        <v>0</v>
      </c>
      <c r="Z78" s="477">
        <f t="shared" si="13"/>
        <v>0</v>
      </c>
      <c r="AA78" s="477">
        <f t="shared" si="13"/>
        <v>0</v>
      </c>
      <c r="AB78" s="477">
        <f t="shared" si="13"/>
        <v>0</v>
      </c>
      <c r="AC78" s="477">
        <f t="shared" si="13"/>
        <v>0</v>
      </c>
      <c r="AD78" s="477">
        <f t="shared" si="13"/>
        <v>0</v>
      </c>
      <c r="AE78" s="477">
        <f t="shared" si="13"/>
        <v>0</v>
      </c>
      <c r="AF78" s="477">
        <f t="shared" si="13"/>
        <v>0</v>
      </c>
    </row>
    <row r="79" spans="1:33" s="463" customFormat="1" ht="17.25" thickBot="1">
      <c r="A79" s="465"/>
      <c r="B79" s="466"/>
      <c r="C79" s="461"/>
      <c r="D79" s="675"/>
      <c r="E79" s="675"/>
      <c r="F79" s="675"/>
      <c r="G79" s="675"/>
      <c r="H79" s="675"/>
      <c r="I79" s="675"/>
      <c r="J79" s="675"/>
      <c r="K79" s="675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62"/>
      <c r="AA79" s="462"/>
      <c r="AB79" s="462"/>
      <c r="AC79" s="462"/>
      <c r="AD79" s="462"/>
      <c r="AE79" s="462"/>
      <c r="AF79" s="461"/>
    </row>
    <row r="80" spans="1:33" s="463" customFormat="1" ht="17.25" thickBot="1">
      <c r="A80" s="459" t="s">
        <v>67</v>
      </c>
      <c r="B80" s="460" t="s">
        <v>105</v>
      </c>
      <c r="C80" s="461"/>
      <c r="D80" s="675"/>
      <c r="E80" s="675"/>
      <c r="F80" s="675"/>
      <c r="G80" s="675"/>
      <c r="H80" s="675"/>
      <c r="I80" s="675"/>
      <c r="J80" s="675"/>
      <c r="K80" s="675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62"/>
      <c r="AA80" s="462"/>
      <c r="AB80" s="462"/>
      <c r="AC80" s="462"/>
      <c r="AD80" s="462"/>
      <c r="AE80" s="462"/>
      <c r="AF80" s="461"/>
    </row>
    <row r="81" spans="1:32" s="463" customFormat="1" ht="17.25" thickBot="1">
      <c r="A81" s="465"/>
      <c r="B81" s="478"/>
      <c r="C81" s="461"/>
      <c r="D81" s="675"/>
      <c r="E81" s="675"/>
      <c r="F81" s="675"/>
      <c r="G81" s="675"/>
      <c r="H81" s="675"/>
      <c r="I81" s="675"/>
      <c r="J81" s="675"/>
      <c r="K81" s="675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62"/>
      <c r="AA81" s="462"/>
      <c r="AB81" s="462"/>
      <c r="AC81" s="462"/>
      <c r="AD81" s="462"/>
      <c r="AE81" s="462"/>
      <c r="AF81" s="461"/>
    </row>
    <row r="82" spans="1:32" s="463" customFormat="1" ht="17.25" thickBot="1">
      <c r="A82" s="459">
        <v>1</v>
      </c>
      <c r="B82" s="460" t="s">
        <v>106</v>
      </c>
      <c r="C82" s="479"/>
      <c r="D82" s="676"/>
      <c r="E82" s="676"/>
      <c r="F82" s="677"/>
      <c r="G82" s="677"/>
      <c r="H82" s="677"/>
      <c r="I82" s="677"/>
      <c r="J82" s="677"/>
      <c r="K82" s="677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79"/>
    </row>
    <row r="83" spans="1:32" s="463" customFormat="1" ht="17.25" thickBot="1">
      <c r="A83" s="465" t="s">
        <v>13</v>
      </c>
      <c r="B83" s="466" t="s">
        <v>107</v>
      </c>
      <c r="C83" s="461"/>
      <c r="D83" s="675">
        <v>85716550</v>
      </c>
      <c r="E83" s="675"/>
      <c r="F83" s="675"/>
      <c r="G83" s="675"/>
      <c r="H83" s="675"/>
      <c r="I83" s="675"/>
      <c r="J83" s="675"/>
      <c r="K83" s="675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62"/>
      <c r="AA83" s="462"/>
      <c r="AB83" s="462"/>
      <c r="AC83" s="462"/>
      <c r="AD83" s="462"/>
      <c r="AE83" s="462"/>
      <c r="AF83" s="461"/>
    </row>
    <row r="84" spans="1:32" s="463" customFormat="1" ht="17.25" thickBot="1">
      <c r="A84" s="465" t="s">
        <v>15</v>
      </c>
      <c r="B84" s="466" t="s">
        <v>108</v>
      </c>
      <c r="C84" s="461"/>
      <c r="D84" s="461"/>
      <c r="E84" s="461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62"/>
      <c r="AA84" s="462"/>
      <c r="AB84" s="462"/>
      <c r="AC84" s="462"/>
      <c r="AD84" s="462"/>
      <c r="AE84" s="462"/>
      <c r="AF84" s="461"/>
    </row>
    <row r="85" spans="1:32" s="463" customFormat="1" ht="16.5" thickBot="1">
      <c r="A85" s="473"/>
      <c r="B85" s="481" t="s">
        <v>50</v>
      </c>
      <c r="C85" s="482">
        <f>SUM(C83:C84)</f>
        <v>0</v>
      </c>
      <c r="D85" s="482">
        <f>SUM(D83:D84)</f>
        <v>85716550</v>
      </c>
      <c r="E85" s="482">
        <f>SUM(E83:E84)</f>
        <v>0</v>
      </c>
      <c r="F85" s="483">
        <f t="shared" ref="F85:AF85" si="14">SUM(F83:F84)</f>
        <v>0</v>
      </c>
      <c r="G85" s="483">
        <f t="shared" si="14"/>
        <v>0</v>
      </c>
      <c r="H85" s="483">
        <f t="shared" si="14"/>
        <v>0</v>
      </c>
      <c r="I85" s="483">
        <f t="shared" si="14"/>
        <v>0</v>
      </c>
      <c r="J85" s="483">
        <f t="shared" si="14"/>
        <v>0</v>
      </c>
      <c r="K85" s="483">
        <f t="shared" si="14"/>
        <v>0</v>
      </c>
      <c r="L85" s="483">
        <f t="shared" si="14"/>
        <v>0</v>
      </c>
      <c r="M85" s="483">
        <f t="shared" si="14"/>
        <v>0</v>
      </c>
      <c r="N85" s="483">
        <f t="shared" si="14"/>
        <v>0</v>
      </c>
      <c r="O85" s="483">
        <f t="shared" si="14"/>
        <v>0</v>
      </c>
      <c r="P85" s="483">
        <f t="shared" si="14"/>
        <v>0</v>
      </c>
      <c r="Q85" s="483">
        <f t="shared" si="14"/>
        <v>0</v>
      </c>
      <c r="R85" s="483">
        <f t="shared" si="14"/>
        <v>0</v>
      </c>
      <c r="S85" s="483">
        <f t="shared" si="14"/>
        <v>0</v>
      </c>
      <c r="T85" s="483">
        <f t="shared" si="14"/>
        <v>0</v>
      </c>
      <c r="U85" s="483">
        <f t="shared" si="14"/>
        <v>0</v>
      </c>
      <c r="V85" s="483">
        <f t="shared" si="14"/>
        <v>0</v>
      </c>
      <c r="W85" s="483">
        <f t="shared" si="14"/>
        <v>0</v>
      </c>
      <c r="X85" s="483">
        <f t="shared" si="14"/>
        <v>0</v>
      </c>
      <c r="Y85" s="483">
        <f t="shared" si="14"/>
        <v>0</v>
      </c>
      <c r="Z85" s="483">
        <f t="shared" si="14"/>
        <v>0</v>
      </c>
      <c r="AA85" s="483">
        <f t="shared" si="14"/>
        <v>0</v>
      </c>
      <c r="AB85" s="483">
        <f t="shared" si="14"/>
        <v>0</v>
      </c>
      <c r="AC85" s="483">
        <f t="shared" si="14"/>
        <v>0</v>
      </c>
      <c r="AD85" s="483">
        <f t="shared" si="14"/>
        <v>0</v>
      </c>
      <c r="AE85" s="483">
        <f t="shared" si="14"/>
        <v>0</v>
      </c>
      <c r="AF85" s="482">
        <f t="shared" si="14"/>
        <v>0</v>
      </c>
    </row>
    <row r="86" spans="1:32" s="463" customFormat="1" ht="17.25" thickBot="1">
      <c r="A86" s="459">
        <v>2</v>
      </c>
      <c r="B86" s="460" t="s">
        <v>109</v>
      </c>
      <c r="C86" s="461"/>
      <c r="D86" s="461"/>
      <c r="E86" s="461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1"/>
    </row>
    <row r="87" spans="1:32" s="463" customFormat="1" ht="17.25" thickBot="1">
      <c r="A87" s="459">
        <v>3</v>
      </c>
      <c r="B87" s="460" t="s">
        <v>110</v>
      </c>
      <c r="C87" s="461"/>
      <c r="D87" s="461"/>
      <c r="E87" s="461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62"/>
      <c r="AF87" s="461"/>
    </row>
    <row r="88" spans="1:32" s="463" customFormat="1" ht="17.25" thickBot="1">
      <c r="A88" s="459">
        <v>4</v>
      </c>
      <c r="B88" s="460" t="s">
        <v>111</v>
      </c>
      <c r="C88" s="461"/>
      <c r="D88" s="461"/>
      <c r="E88" s="461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62"/>
      <c r="AF88" s="461"/>
    </row>
    <row r="89" spans="1:32" s="463" customFormat="1" ht="17.25" thickBot="1">
      <c r="A89" s="465"/>
      <c r="B89" s="466"/>
      <c r="C89" s="461"/>
      <c r="D89" s="461"/>
      <c r="E89" s="461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62"/>
      <c r="AA89" s="462"/>
      <c r="AB89" s="462"/>
      <c r="AC89" s="462"/>
      <c r="AD89" s="462"/>
      <c r="AE89" s="462"/>
      <c r="AF89" s="461"/>
    </row>
    <row r="90" spans="1:32" s="463" customFormat="1" ht="17.25" thickBot="1">
      <c r="A90" s="475"/>
      <c r="B90" s="476" t="s">
        <v>112</v>
      </c>
      <c r="C90" s="484">
        <f t="shared" ref="C90:AF90" si="15">C85+C86+C88+C87</f>
        <v>0</v>
      </c>
      <c r="D90" s="484">
        <f t="shared" si="15"/>
        <v>85716550</v>
      </c>
      <c r="E90" s="484">
        <f t="shared" si="15"/>
        <v>0</v>
      </c>
      <c r="F90" s="484">
        <f t="shared" si="15"/>
        <v>0</v>
      </c>
      <c r="G90" s="484">
        <f t="shared" si="15"/>
        <v>0</v>
      </c>
      <c r="H90" s="484">
        <f t="shared" si="15"/>
        <v>0</v>
      </c>
      <c r="I90" s="484">
        <f t="shared" si="15"/>
        <v>0</v>
      </c>
      <c r="J90" s="484">
        <f t="shared" si="15"/>
        <v>0</v>
      </c>
      <c r="K90" s="484">
        <f t="shared" si="15"/>
        <v>0</v>
      </c>
      <c r="L90" s="484">
        <f t="shared" si="15"/>
        <v>0</v>
      </c>
      <c r="M90" s="484">
        <f t="shared" si="15"/>
        <v>0</v>
      </c>
      <c r="N90" s="484">
        <f t="shared" si="15"/>
        <v>0</v>
      </c>
      <c r="O90" s="484">
        <f t="shared" si="15"/>
        <v>0</v>
      </c>
      <c r="P90" s="484">
        <f t="shared" si="15"/>
        <v>0</v>
      </c>
      <c r="Q90" s="484">
        <f t="shared" si="15"/>
        <v>0</v>
      </c>
      <c r="R90" s="484">
        <f t="shared" si="15"/>
        <v>0</v>
      </c>
      <c r="S90" s="484">
        <f t="shared" si="15"/>
        <v>0</v>
      </c>
      <c r="T90" s="484">
        <f t="shared" si="15"/>
        <v>0</v>
      </c>
      <c r="U90" s="484">
        <f t="shared" si="15"/>
        <v>0</v>
      </c>
      <c r="V90" s="484">
        <f t="shared" si="15"/>
        <v>0</v>
      </c>
      <c r="W90" s="484">
        <f t="shared" si="15"/>
        <v>0</v>
      </c>
      <c r="X90" s="484">
        <f t="shared" si="15"/>
        <v>0</v>
      </c>
      <c r="Y90" s="484">
        <f t="shared" si="15"/>
        <v>0</v>
      </c>
      <c r="Z90" s="484">
        <f t="shared" si="15"/>
        <v>0</v>
      </c>
      <c r="AA90" s="484">
        <f t="shared" si="15"/>
        <v>0</v>
      </c>
      <c r="AB90" s="484">
        <f t="shared" si="15"/>
        <v>0</v>
      </c>
      <c r="AC90" s="484">
        <f t="shared" si="15"/>
        <v>0</v>
      </c>
      <c r="AD90" s="484">
        <f t="shared" si="15"/>
        <v>0</v>
      </c>
      <c r="AE90" s="484">
        <f t="shared" si="15"/>
        <v>0</v>
      </c>
      <c r="AF90" s="484">
        <f t="shared" si="15"/>
        <v>0</v>
      </c>
    </row>
    <row r="91" spans="1:32" s="463" customFormat="1" ht="17.25" thickBot="1">
      <c r="A91" s="465"/>
      <c r="B91" s="466"/>
      <c r="C91" s="461"/>
      <c r="D91" s="461"/>
      <c r="E91" s="461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  <c r="W91" s="462"/>
      <c r="X91" s="462"/>
      <c r="Y91" s="462"/>
      <c r="Z91" s="462"/>
      <c r="AA91" s="462"/>
      <c r="AB91" s="462"/>
      <c r="AC91" s="462"/>
      <c r="AD91" s="462"/>
      <c r="AE91" s="462"/>
      <c r="AF91" s="461"/>
    </row>
    <row r="92" spans="1:32" s="463" customFormat="1" ht="17.25" thickBot="1">
      <c r="A92" s="475"/>
      <c r="B92" s="476" t="s">
        <v>113</v>
      </c>
      <c r="C92" s="477">
        <f>C90+C78</f>
        <v>0</v>
      </c>
      <c r="D92" s="477">
        <f>D90+D78</f>
        <v>85716550</v>
      </c>
      <c r="E92" s="477">
        <f t="shared" ref="E92:AF92" si="16">E90+E78</f>
        <v>0</v>
      </c>
      <c r="F92" s="477">
        <f t="shared" si="16"/>
        <v>760060</v>
      </c>
      <c r="G92" s="477">
        <f t="shared" si="16"/>
        <v>0</v>
      </c>
      <c r="H92" s="477">
        <f t="shared" si="16"/>
        <v>0</v>
      </c>
      <c r="I92" s="477">
        <f t="shared" si="16"/>
        <v>0</v>
      </c>
      <c r="J92" s="477">
        <f t="shared" si="16"/>
        <v>0</v>
      </c>
      <c r="K92" s="477">
        <f>K90+K78</f>
        <v>40500</v>
      </c>
      <c r="L92" s="477">
        <f t="shared" si="16"/>
        <v>0</v>
      </c>
      <c r="M92" s="477">
        <f t="shared" si="16"/>
        <v>0</v>
      </c>
      <c r="N92" s="477">
        <f t="shared" si="16"/>
        <v>0</v>
      </c>
      <c r="O92" s="477">
        <f t="shared" si="16"/>
        <v>0</v>
      </c>
      <c r="P92" s="477">
        <f t="shared" si="16"/>
        <v>0</v>
      </c>
      <c r="Q92" s="477">
        <f t="shared" si="16"/>
        <v>0</v>
      </c>
      <c r="R92" s="477">
        <f t="shared" si="16"/>
        <v>0</v>
      </c>
      <c r="S92" s="477">
        <f t="shared" si="16"/>
        <v>0</v>
      </c>
      <c r="T92" s="477">
        <f t="shared" si="16"/>
        <v>0</v>
      </c>
      <c r="U92" s="477">
        <f t="shared" si="16"/>
        <v>0</v>
      </c>
      <c r="V92" s="477">
        <f t="shared" si="16"/>
        <v>0</v>
      </c>
      <c r="W92" s="477">
        <f t="shared" si="16"/>
        <v>0</v>
      </c>
      <c r="X92" s="477">
        <f t="shared" si="16"/>
        <v>0</v>
      </c>
      <c r="Y92" s="477">
        <f t="shared" si="16"/>
        <v>0</v>
      </c>
      <c r="Z92" s="477">
        <f t="shared" si="16"/>
        <v>0</v>
      </c>
      <c r="AA92" s="477">
        <f t="shared" si="16"/>
        <v>0</v>
      </c>
      <c r="AB92" s="477">
        <f t="shared" si="16"/>
        <v>0</v>
      </c>
      <c r="AC92" s="477">
        <f t="shared" si="16"/>
        <v>0</v>
      </c>
      <c r="AD92" s="477">
        <f t="shared" si="16"/>
        <v>0</v>
      </c>
      <c r="AE92" s="477">
        <f t="shared" si="16"/>
        <v>0</v>
      </c>
      <c r="AF92" s="477">
        <f t="shared" si="16"/>
        <v>0</v>
      </c>
    </row>
    <row r="93" spans="1:32" s="463" customFormat="1" ht="17.25" thickBot="1">
      <c r="A93" s="485"/>
      <c r="B93" s="486"/>
      <c r="C93" s="487"/>
      <c r="D93" s="487"/>
      <c r="E93" s="487"/>
      <c r="F93" s="488"/>
      <c r="G93" s="488"/>
      <c r="H93" s="488"/>
      <c r="I93" s="488"/>
      <c r="J93" s="488"/>
      <c r="K93" s="488"/>
      <c r="L93" s="488"/>
      <c r="M93" s="488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7"/>
    </row>
    <row r="94" spans="1:32" s="463" customFormat="1" ht="17.25" thickBot="1">
      <c r="A94" s="489" t="s">
        <v>114</v>
      </c>
      <c r="B94" s="490" t="s">
        <v>115</v>
      </c>
      <c r="C94" s="491"/>
      <c r="D94" s="491"/>
      <c r="E94" s="491"/>
      <c r="F94" s="492"/>
      <c r="G94" s="492"/>
      <c r="H94" s="492"/>
      <c r="I94" s="492"/>
      <c r="J94" s="492"/>
      <c r="K94" s="492"/>
      <c r="L94" s="492"/>
      <c r="M94" s="492"/>
      <c r="N94" s="492"/>
      <c r="O94" s="492"/>
      <c r="P94" s="492"/>
      <c r="Q94" s="492"/>
      <c r="R94" s="492"/>
      <c r="S94" s="492"/>
      <c r="T94" s="492"/>
      <c r="U94" s="492"/>
      <c r="V94" s="492"/>
      <c r="W94" s="492"/>
      <c r="X94" s="492"/>
      <c r="Y94" s="492"/>
      <c r="Z94" s="492"/>
      <c r="AA94" s="492"/>
      <c r="AB94" s="492"/>
      <c r="AC94" s="492"/>
      <c r="AD94" s="492"/>
      <c r="AE94" s="492"/>
      <c r="AF94" s="491"/>
    </row>
    <row r="95" spans="1:32" s="463" customFormat="1" ht="17.25" thickBot="1">
      <c r="A95" s="465"/>
      <c r="B95" s="478"/>
      <c r="C95" s="461"/>
      <c r="D95" s="461"/>
      <c r="E95" s="461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62"/>
      <c r="AA95" s="462"/>
      <c r="AB95" s="462"/>
      <c r="AC95" s="462"/>
      <c r="AD95" s="462"/>
      <c r="AE95" s="462"/>
      <c r="AF95" s="461"/>
    </row>
    <row r="96" spans="1:32" s="463" customFormat="1" ht="19.5" customHeight="1" thickBot="1">
      <c r="A96" s="459">
        <v>1</v>
      </c>
      <c r="B96" s="460" t="s">
        <v>116</v>
      </c>
      <c r="C96" s="461"/>
      <c r="D96" s="461"/>
      <c r="E96" s="461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  <c r="AB96" s="462"/>
      <c r="AC96" s="462"/>
      <c r="AD96" s="462"/>
      <c r="AE96" s="462"/>
      <c r="AF96" s="461"/>
    </row>
    <row r="97" spans="1:32" s="463" customFormat="1" ht="33.75" thickBot="1">
      <c r="A97" s="459">
        <v>2</v>
      </c>
      <c r="B97" s="460" t="s">
        <v>587</v>
      </c>
      <c r="C97" s="461"/>
      <c r="D97" s="675">
        <f>+Bilanci!D106</f>
        <v>20716514.420000002</v>
      </c>
      <c r="E97" s="461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62"/>
      <c r="AA97" s="462"/>
      <c r="AB97" s="462"/>
      <c r="AC97" s="462"/>
      <c r="AD97" s="462"/>
      <c r="AE97" s="462"/>
      <c r="AF97" s="461"/>
    </row>
    <row r="98" spans="1:32" s="463" customFormat="1" ht="17.25" thickBot="1">
      <c r="A98" s="459">
        <v>3</v>
      </c>
      <c r="B98" s="460" t="s">
        <v>118</v>
      </c>
      <c r="C98" s="461"/>
      <c r="D98" s="461"/>
      <c r="E98" s="461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62"/>
      <c r="AA98" s="462"/>
      <c r="AB98" s="462"/>
      <c r="AC98" s="462"/>
      <c r="AD98" s="462"/>
      <c r="AE98" s="462"/>
      <c r="AF98" s="461"/>
    </row>
    <row r="99" spans="1:32" s="463" customFormat="1" ht="17.25" thickBot="1">
      <c r="A99" s="459">
        <v>4</v>
      </c>
      <c r="B99" s="460" t="s">
        <v>119</v>
      </c>
      <c r="C99" s="461"/>
      <c r="D99" s="461"/>
      <c r="E99" s="461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1"/>
    </row>
    <row r="100" spans="1:32" s="463" customFormat="1" ht="17.25" thickBot="1">
      <c r="A100" s="459">
        <v>5</v>
      </c>
      <c r="B100" s="460" t="s">
        <v>120</v>
      </c>
      <c r="C100" s="461"/>
      <c r="D100" s="461"/>
      <c r="E100" s="461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62"/>
      <c r="V100" s="462"/>
      <c r="W100" s="462"/>
      <c r="X100" s="462"/>
      <c r="Y100" s="462"/>
      <c r="Z100" s="462"/>
      <c r="AA100" s="462"/>
      <c r="AB100" s="462"/>
      <c r="AC100" s="462"/>
      <c r="AD100" s="462"/>
      <c r="AE100" s="462"/>
      <c r="AF100" s="461"/>
    </row>
    <row r="101" spans="1:32" s="463" customFormat="1" ht="17.25" thickBot="1">
      <c r="A101" s="459">
        <v>6</v>
      </c>
      <c r="B101" s="460" t="s">
        <v>121</v>
      </c>
      <c r="C101" s="461"/>
      <c r="D101" s="461"/>
      <c r="E101" s="461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62"/>
      <c r="V101" s="462"/>
      <c r="W101" s="462"/>
      <c r="X101" s="462"/>
      <c r="Y101" s="462"/>
      <c r="Z101" s="462"/>
      <c r="AA101" s="462"/>
      <c r="AB101" s="462"/>
      <c r="AC101" s="462"/>
      <c r="AD101" s="462"/>
      <c r="AE101" s="462"/>
      <c r="AF101" s="461"/>
    </row>
    <row r="102" spans="1:32" s="463" customFormat="1" ht="17.25" thickBot="1">
      <c r="A102" s="459">
        <v>7</v>
      </c>
      <c r="B102" s="460" t="s">
        <v>122</v>
      </c>
      <c r="C102" s="461"/>
      <c r="D102" s="461"/>
      <c r="E102" s="461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462"/>
      <c r="R102" s="462"/>
      <c r="S102" s="462"/>
      <c r="T102" s="462"/>
      <c r="U102" s="462"/>
      <c r="V102" s="462"/>
      <c r="W102" s="462"/>
      <c r="X102" s="462"/>
      <c r="Y102" s="462"/>
      <c r="Z102" s="462"/>
      <c r="AA102" s="462"/>
      <c r="AB102" s="462"/>
      <c r="AC102" s="462"/>
      <c r="AD102" s="462"/>
      <c r="AE102" s="462"/>
      <c r="AF102" s="461"/>
    </row>
    <row r="103" spans="1:32" s="463" customFormat="1" ht="17.25" thickBot="1">
      <c r="A103" s="459">
        <v>8</v>
      </c>
      <c r="B103" s="460" t="s">
        <v>123</v>
      </c>
      <c r="C103" s="461"/>
      <c r="D103" s="461"/>
      <c r="E103" s="461"/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462"/>
      <c r="R103" s="462"/>
      <c r="S103" s="462"/>
      <c r="T103" s="462"/>
      <c r="U103" s="462"/>
      <c r="V103" s="462"/>
      <c r="W103" s="462"/>
      <c r="X103" s="462"/>
      <c r="Y103" s="462"/>
      <c r="Z103" s="462"/>
      <c r="AA103" s="462"/>
      <c r="AB103" s="462"/>
      <c r="AC103" s="462"/>
      <c r="AD103" s="462"/>
      <c r="AE103" s="462"/>
      <c r="AF103" s="461"/>
    </row>
    <row r="104" spans="1:32" s="463" customFormat="1" ht="17.25" thickBot="1">
      <c r="A104" s="459">
        <v>9</v>
      </c>
      <c r="B104" s="460" t="s">
        <v>124</v>
      </c>
      <c r="C104" s="461"/>
      <c r="D104" s="461"/>
      <c r="E104" s="461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  <c r="AB104" s="462"/>
      <c r="AC104" s="462"/>
      <c r="AD104" s="462"/>
      <c r="AE104" s="462"/>
      <c r="AF104" s="461"/>
    </row>
    <row r="105" spans="1:32" s="463" customFormat="1" ht="17.25" thickBot="1">
      <c r="A105" s="459">
        <v>10</v>
      </c>
      <c r="B105" s="460" t="s">
        <v>125</v>
      </c>
      <c r="C105" s="461"/>
      <c r="D105" s="461"/>
      <c r="E105" s="461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462"/>
      <c r="V105" s="462"/>
      <c r="W105" s="462"/>
      <c r="X105" s="462"/>
      <c r="Y105" s="462"/>
      <c r="Z105" s="462"/>
      <c r="AA105" s="462"/>
      <c r="AB105" s="462"/>
      <c r="AC105" s="462"/>
      <c r="AD105" s="462"/>
      <c r="AE105" s="462"/>
      <c r="AF105" s="461"/>
    </row>
    <row r="106" spans="1:32" s="463" customFormat="1" ht="17.25" thickBot="1">
      <c r="A106" s="465"/>
      <c r="B106" s="478"/>
      <c r="C106" s="461"/>
      <c r="D106" s="461"/>
      <c r="E106" s="461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462"/>
      <c r="V106" s="462"/>
      <c r="W106" s="462"/>
      <c r="X106" s="462"/>
      <c r="Y106" s="462"/>
      <c r="Z106" s="462"/>
      <c r="AA106" s="462"/>
      <c r="AB106" s="462"/>
      <c r="AC106" s="462"/>
      <c r="AD106" s="462"/>
      <c r="AE106" s="462"/>
      <c r="AF106" s="461"/>
    </row>
    <row r="107" spans="1:32" s="463" customFormat="1" ht="17.25" thickBot="1">
      <c r="A107" s="493"/>
      <c r="B107" s="494" t="s">
        <v>126</v>
      </c>
      <c r="C107" s="495">
        <f>SUM(C98:C106)</f>
        <v>0</v>
      </c>
      <c r="D107" s="495">
        <f>SUM(D98:D106)</f>
        <v>0</v>
      </c>
      <c r="E107" s="495">
        <f t="shared" ref="E107:AF107" si="17">SUM(E98:E106)</f>
        <v>0</v>
      </c>
      <c r="F107" s="495">
        <f t="shared" si="17"/>
        <v>0</v>
      </c>
      <c r="G107" s="495">
        <f t="shared" si="17"/>
        <v>0</v>
      </c>
      <c r="H107" s="495">
        <f t="shared" si="17"/>
        <v>0</v>
      </c>
      <c r="I107" s="495">
        <f t="shared" si="17"/>
        <v>0</v>
      </c>
      <c r="J107" s="495">
        <f t="shared" si="17"/>
        <v>0</v>
      </c>
      <c r="K107" s="495">
        <f t="shared" si="17"/>
        <v>0</v>
      </c>
      <c r="L107" s="495">
        <f t="shared" si="17"/>
        <v>0</v>
      </c>
      <c r="M107" s="495">
        <f t="shared" si="17"/>
        <v>0</v>
      </c>
      <c r="N107" s="495">
        <f t="shared" si="17"/>
        <v>0</v>
      </c>
      <c r="O107" s="495">
        <f t="shared" si="17"/>
        <v>0</v>
      </c>
      <c r="P107" s="495">
        <f t="shared" si="17"/>
        <v>0</v>
      </c>
      <c r="Q107" s="495">
        <f t="shared" si="17"/>
        <v>0</v>
      </c>
      <c r="R107" s="495">
        <f t="shared" si="17"/>
        <v>0</v>
      </c>
      <c r="S107" s="495">
        <f t="shared" si="17"/>
        <v>0</v>
      </c>
      <c r="T107" s="495">
        <f t="shared" si="17"/>
        <v>0</v>
      </c>
      <c r="U107" s="495">
        <f t="shared" si="17"/>
        <v>0</v>
      </c>
      <c r="V107" s="495">
        <f t="shared" si="17"/>
        <v>0</v>
      </c>
      <c r="W107" s="495">
        <f t="shared" si="17"/>
        <v>0</v>
      </c>
      <c r="X107" s="495">
        <f t="shared" si="17"/>
        <v>0</v>
      </c>
      <c r="Y107" s="495">
        <f t="shared" si="17"/>
        <v>0</v>
      </c>
      <c r="Z107" s="495">
        <f t="shared" si="17"/>
        <v>0</v>
      </c>
      <c r="AA107" s="495">
        <f t="shared" si="17"/>
        <v>0</v>
      </c>
      <c r="AB107" s="495">
        <f t="shared" si="17"/>
        <v>0</v>
      </c>
      <c r="AC107" s="495">
        <f t="shared" si="17"/>
        <v>0</v>
      </c>
      <c r="AD107" s="495">
        <f t="shared" si="17"/>
        <v>0</v>
      </c>
      <c r="AE107" s="495">
        <f t="shared" si="17"/>
        <v>0</v>
      </c>
      <c r="AF107" s="495">
        <f t="shared" si="17"/>
        <v>0</v>
      </c>
    </row>
    <row r="108" spans="1:32" s="463" customFormat="1" ht="17.25" thickBot="1">
      <c r="A108" s="485"/>
      <c r="B108" s="496"/>
      <c r="C108" s="461"/>
      <c r="D108" s="461"/>
      <c r="E108" s="461"/>
      <c r="F108" s="462"/>
      <c r="G108" s="462"/>
      <c r="H108" s="462"/>
      <c r="I108" s="462"/>
      <c r="J108" s="462"/>
      <c r="K108" s="462"/>
      <c r="L108" s="462"/>
      <c r="M108" s="462"/>
      <c r="N108" s="462"/>
      <c r="O108" s="462"/>
      <c r="P108" s="462"/>
      <c r="Q108" s="462"/>
      <c r="R108" s="462"/>
      <c r="S108" s="462"/>
      <c r="T108" s="462"/>
      <c r="U108" s="462"/>
      <c r="V108" s="462"/>
      <c r="W108" s="462"/>
      <c r="X108" s="462"/>
      <c r="Y108" s="462"/>
      <c r="Z108" s="462"/>
      <c r="AA108" s="462"/>
      <c r="AB108" s="462"/>
      <c r="AC108" s="462"/>
      <c r="AD108" s="462"/>
      <c r="AE108" s="462"/>
      <c r="AF108" s="461"/>
    </row>
    <row r="109" spans="1:32" s="463" customFormat="1" ht="18" thickBot="1">
      <c r="A109" s="475"/>
      <c r="B109" s="476" t="s">
        <v>127</v>
      </c>
      <c r="C109" s="497">
        <f>C107+C92</f>
        <v>0</v>
      </c>
      <c r="D109" s="497">
        <f>D107+D92</f>
        <v>85716550</v>
      </c>
      <c r="E109" s="497">
        <f t="shared" ref="E109:O109" si="18">E107+E92</f>
        <v>0</v>
      </c>
      <c r="F109" s="497">
        <f>F107+F92</f>
        <v>760060</v>
      </c>
      <c r="G109" s="497">
        <f t="shared" si="18"/>
        <v>0</v>
      </c>
      <c r="H109" s="497">
        <f t="shared" si="18"/>
        <v>0</v>
      </c>
      <c r="I109" s="497">
        <f t="shared" si="18"/>
        <v>0</v>
      </c>
      <c r="J109" s="497">
        <f t="shared" si="18"/>
        <v>0</v>
      </c>
      <c r="K109" s="497">
        <f>K107+K92</f>
        <v>40500</v>
      </c>
      <c r="L109" s="497">
        <f t="shared" si="18"/>
        <v>0</v>
      </c>
      <c r="M109" s="497">
        <f t="shared" si="18"/>
        <v>0</v>
      </c>
      <c r="N109" s="497">
        <f t="shared" si="18"/>
        <v>0</v>
      </c>
      <c r="O109" s="497">
        <f t="shared" si="18"/>
        <v>0</v>
      </c>
      <c r="P109" s="497">
        <f>P107+P92</f>
        <v>0</v>
      </c>
      <c r="Q109" s="497">
        <f t="shared" ref="Q109:AF109" si="19">Q107+Q92</f>
        <v>0</v>
      </c>
      <c r="R109" s="497">
        <f t="shared" si="19"/>
        <v>0</v>
      </c>
      <c r="S109" s="497">
        <f t="shared" si="19"/>
        <v>0</v>
      </c>
      <c r="T109" s="497">
        <f t="shared" si="19"/>
        <v>0</v>
      </c>
      <c r="U109" s="497">
        <f t="shared" si="19"/>
        <v>0</v>
      </c>
      <c r="V109" s="497">
        <f t="shared" si="19"/>
        <v>0</v>
      </c>
      <c r="W109" s="497">
        <f t="shared" si="19"/>
        <v>0</v>
      </c>
      <c r="X109" s="497">
        <f t="shared" si="19"/>
        <v>0</v>
      </c>
      <c r="Y109" s="497">
        <f t="shared" si="19"/>
        <v>0</v>
      </c>
      <c r="Z109" s="497">
        <f t="shared" si="19"/>
        <v>0</v>
      </c>
      <c r="AA109" s="497">
        <f t="shared" si="19"/>
        <v>0</v>
      </c>
      <c r="AB109" s="497">
        <f t="shared" si="19"/>
        <v>0</v>
      </c>
      <c r="AC109" s="497">
        <f t="shared" si="19"/>
        <v>0</v>
      </c>
      <c r="AD109" s="497">
        <f t="shared" si="19"/>
        <v>0</v>
      </c>
      <c r="AE109" s="497">
        <f>AE107+AE92</f>
        <v>0</v>
      </c>
      <c r="AF109" s="497">
        <f t="shared" si="19"/>
        <v>0</v>
      </c>
    </row>
    <row r="110" spans="1:32" ht="15.75">
      <c r="A110" s="419"/>
      <c r="B110" s="419"/>
      <c r="C110" s="419"/>
      <c r="D110" s="419"/>
      <c r="E110" s="419"/>
      <c r="F110" s="498"/>
      <c r="G110" s="498"/>
      <c r="H110" s="498"/>
      <c r="I110" s="498"/>
      <c r="J110" s="498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19"/>
    </row>
    <row r="111" spans="1:32" ht="15.75">
      <c r="A111" s="419"/>
      <c r="B111" s="499"/>
    </row>
    <row r="112" spans="1:32" ht="15.75">
      <c r="A112" s="501"/>
      <c r="B112" s="502"/>
      <c r="C112" s="502"/>
      <c r="D112" s="502"/>
      <c r="E112" s="502"/>
      <c r="F112" s="503"/>
      <c r="G112" s="503"/>
      <c r="H112" s="503"/>
      <c r="I112" s="503"/>
      <c r="J112" s="503"/>
      <c r="K112" s="503"/>
      <c r="L112" s="503"/>
      <c r="M112" s="503"/>
      <c r="N112" s="503"/>
      <c r="O112" s="503"/>
      <c r="P112" s="503"/>
      <c r="Q112" s="503"/>
      <c r="R112" s="503"/>
      <c r="S112" s="503"/>
      <c r="T112" s="503"/>
      <c r="U112" s="503"/>
      <c r="V112" s="503"/>
      <c r="W112" s="503"/>
      <c r="X112" s="503"/>
      <c r="Y112" s="503"/>
      <c r="Z112" s="503"/>
      <c r="AA112" s="503"/>
      <c r="AB112" s="503"/>
      <c r="AC112" s="503"/>
      <c r="AD112" s="503"/>
      <c r="AE112" s="503"/>
      <c r="AF112" s="502"/>
    </row>
    <row r="113" spans="1:1" ht="13.5">
      <c r="A113" s="504"/>
    </row>
    <row r="114" spans="1:1" ht="13.5">
      <c r="A114" s="504"/>
    </row>
  </sheetData>
  <pageMargins left="0.7" right="0.7" top="0.75" bottom="0.75" header="0.3" footer="0.3"/>
  <pageSetup paperSize="9" scale="53"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AE39"/>
  <sheetViews>
    <sheetView topLeftCell="A10" zoomScaleNormal="100" workbookViewId="0">
      <selection sqref="A1:XFD1048576"/>
    </sheetView>
  </sheetViews>
  <sheetFormatPr defaultRowHeight="15"/>
  <cols>
    <col min="1" max="1" width="5" style="510" customWidth="1"/>
    <col min="2" max="2" width="102" style="510" bestFit="1" customWidth="1"/>
    <col min="3" max="3" width="10.5703125" style="510" hidden="1" customWidth="1"/>
    <col min="4" max="4" width="15.42578125" style="547" bestFit="1" customWidth="1"/>
    <col min="5" max="5" width="7.42578125" style="547" hidden="1" customWidth="1"/>
    <col min="6" max="6" width="16.28515625" style="547" bestFit="1" customWidth="1"/>
    <col min="7" max="8" width="10" style="547" hidden="1" customWidth="1"/>
    <col min="9" max="9" width="8.42578125" style="547" bestFit="1" customWidth="1"/>
    <col min="10" max="10" width="9.7109375" style="547" hidden="1" customWidth="1"/>
    <col min="11" max="11" width="15.85546875" style="547" bestFit="1" customWidth="1"/>
    <col min="12" max="12" width="10" style="547" hidden="1" customWidth="1"/>
    <col min="13" max="13" width="4.7109375" style="547" hidden="1" customWidth="1"/>
    <col min="14" max="14" width="9.42578125" style="547" hidden="1" customWidth="1"/>
    <col min="15" max="15" width="11.7109375" style="547" hidden="1" customWidth="1"/>
    <col min="16" max="16" width="8" style="547" hidden="1" customWidth="1"/>
    <col min="17" max="17" width="6.28515625" style="547" hidden="1" customWidth="1"/>
    <col min="18" max="18" width="11" style="547" hidden="1" customWidth="1"/>
    <col min="19" max="19" width="8.7109375" style="547" hidden="1" customWidth="1"/>
    <col min="20" max="20" width="11.42578125" style="547" hidden="1" customWidth="1"/>
    <col min="21" max="21" width="9.28515625" style="547" hidden="1" customWidth="1"/>
    <col min="22" max="22" width="10.140625" style="547" hidden="1" customWidth="1"/>
    <col min="23" max="23" width="6.5703125" style="547" hidden="1" customWidth="1"/>
    <col min="24" max="24" width="11.28515625" style="547" hidden="1" customWidth="1"/>
    <col min="25" max="25" width="7.42578125" style="547" hidden="1" customWidth="1"/>
    <col min="26" max="26" width="10.140625" style="547" hidden="1" customWidth="1"/>
    <col min="27" max="27" width="9.140625" style="547" hidden="1" customWidth="1"/>
    <col min="28" max="28" width="9.5703125" style="547" hidden="1" customWidth="1"/>
    <col min="29" max="29" width="4.5703125" style="547" hidden="1" customWidth="1"/>
    <col min="30" max="30" width="3.28515625" style="548" hidden="1" customWidth="1"/>
    <col min="31" max="31" width="13.7109375" style="510" bestFit="1" customWidth="1"/>
    <col min="32" max="16384" width="9.140625" style="510"/>
  </cols>
  <sheetData>
    <row r="1" spans="1:31" s="508" customFormat="1" ht="32.25" customHeight="1">
      <c r="A1" s="507" t="s">
        <v>588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</row>
    <row r="2" spans="1:31">
      <c r="A2" s="509"/>
      <c r="B2" s="509"/>
      <c r="C2" s="509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09"/>
    </row>
    <row r="3" spans="1:31">
      <c r="A3" s="512" t="s">
        <v>589</v>
      </c>
      <c r="B3" s="512"/>
      <c r="C3" s="512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2"/>
    </row>
    <row r="4" spans="1:31" ht="15.75" thickBot="1">
      <c r="A4" s="514"/>
      <c r="B4" s="514"/>
      <c r="C4" s="514"/>
      <c r="D4" s="515"/>
      <c r="E4" s="515"/>
      <c r="F4" s="515" t="s">
        <v>644</v>
      </c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4"/>
    </row>
    <row r="5" spans="1:31" s="522" customFormat="1" ht="39.75" customHeight="1" thickBot="1">
      <c r="A5" s="516" t="s">
        <v>353</v>
      </c>
      <c r="B5" s="516" t="s">
        <v>2</v>
      </c>
      <c r="C5" s="517" t="s">
        <v>558</v>
      </c>
      <c r="D5" s="518" t="s">
        <v>559</v>
      </c>
      <c r="E5" s="519" t="s">
        <v>560</v>
      </c>
      <c r="F5" s="519" t="s">
        <v>398</v>
      </c>
      <c r="G5" s="519" t="s">
        <v>561</v>
      </c>
      <c r="H5" s="519" t="s">
        <v>562</v>
      </c>
      <c r="I5" s="519" t="s">
        <v>563</v>
      </c>
      <c r="J5" s="519" t="s">
        <v>564</v>
      </c>
      <c r="K5" s="519" t="s">
        <v>565</v>
      </c>
      <c r="L5" s="519" t="s">
        <v>566</v>
      </c>
      <c r="M5" s="519" t="s">
        <v>567</v>
      </c>
      <c r="N5" s="519" t="s">
        <v>568</v>
      </c>
      <c r="O5" s="519" t="s">
        <v>190</v>
      </c>
      <c r="P5" s="519" t="s">
        <v>570</v>
      </c>
      <c r="Q5" s="519" t="s">
        <v>571</v>
      </c>
      <c r="R5" s="519" t="s">
        <v>572</v>
      </c>
      <c r="S5" s="519" t="s">
        <v>573</v>
      </c>
      <c r="T5" s="519" t="s">
        <v>574</v>
      </c>
      <c r="U5" s="519" t="s">
        <v>575</v>
      </c>
      <c r="V5" s="519" t="s">
        <v>576</v>
      </c>
      <c r="W5" s="519" t="s">
        <v>577</v>
      </c>
      <c r="X5" s="519" t="s">
        <v>578</v>
      </c>
      <c r="Y5" s="519" t="s">
        <v>579</v>
      </c>
      <c r="Z5" s="519" t="s">
        <v>576</v>
      </c>
      <c r="AA5" s="519" t="s">
        <v>580</v>
      </c>
      <c r="AB5" s="519" t="s">
        <v>581</v>
      </c>
      <c r="AC5" s="520" t="s">
        <v>484</v>
      </c>
      <c r="AD5" s="521" t="s">
        <v>582</v>
      </c>
    </row>
    <row r="6" spans="1:31" ht="15.75" thickBot="1">
      <c r="A6" s="523">
        <v>1</v>
      </c>
      <c r="B6" s="524" t="s">
        <v>6</v>
      </c>
      <c r="C6" s="524"/>
      <c r="D6" s="525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7"/>
    </row>
    <row r="7" spans="1:31" ht="21.75" customHeight="1" thickBot="1">
      <c r="A7" s="528">
        <v>2</v>
      </c>
      <c r="B7" s="529" t="s">
        <v>7</v>
      </c>
      <c r="C7" s="529"/>
      <c r="D7" s="530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2"/>
      <c r="AE7" s="533"/>
    </row>
    <row r="8" spans="1:31" ht="15.75" thickBot="1">
      <c r="A8" s="528">
        <v>3</v>
      </c>
      <c r="B8" s="529" t="s">
        <v>8</v>
      </c>
      <c r="C8" s="529"/>
      <c r="D8" s="530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32"/>
    </row>
    <row r="9" spans="1:31" ht="15.75" thickBot="1">
      <c r="A9" s="528">
        <v>4</v>
      </c>
      <c r="B9" s="529" t="s">
        <v>9</v>
      </c>
      <c r="C9" s="529"/>
      <c r="D9" s="530"/>
      <c r="E9" s="531"/>
      <c r="F9" s="531"/>
      <c r="G9" s="531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2"/>
    </row>
    <row r="10" spans="1:31" ht="21" customHeight="1" thickBot="1">
      <c r="A10" s="528">
        <v>5</v>
      </c>
      <c r="B10" s="529" t="s">
        <v>10</v>
      </c>
      <c r="C10" s="529"/>
      <c r="D10" s="530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2"/>
    </row>
    <row r="11" spans="1:31" ht="15.75" thickBot="1">
      <c r="A11" s="528">
        <v>6</v>
      </c>
      <c r="B11" s="529" t="s">
        <v>11</v>
      </c>
      <c r="C11" s="529"/>
      <c r="D11" s="530"/>
      <c r="E11" s="531"/>
      <c r="F11" s="531">
        <v>236938</v>
      </c>
      <c r="G11" s="531"/>
      <c r="H11" s="531"/>
      <c r="I11" s="531"/>
      <c r="J11" s="531"/>
      <c r="K11" s="531">
        <v>40500</v>
      </c>
      <c r="L11" s="531"/>
      <c r="M11" s="531"/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2"/>
    </row>
    <row r="12" spans="1:31" ht="15.75" thickBot="1">
      <c r="A12" s="528">
        <v>7</v>
      </c>
      <c r="B12" s="529" t="s">
        <v>12</v>
      </c>
      <c r="C12" s="534">
        <f>SUM(C13:C14)</f>
        <v>0</v>
      </c>
      <c r="D12" s="530">
        <f>SUM(D13:D14)</f>
        <v>0</v>
      </c>
      <c r="E12" s="531">
        <f>SUM(E13:E14)</f>
        <v>0</v>
      </c>
      <c r="F12" s="531">
        <f>SUM(F13:F14)</f>
        <v>0</v>
      </c>
      <c r="G12" s="531">
        <f t="shared" ref="G12:AD12" si="0">SUM(G13:G14)</f>
        <v>0</v>
      </c>
      <c r="H12" s="531">
        <f t="shared" si="0"/>
        <v>0</v>
      </c>
      <c r="I12" s="531">
        <f t="shared" si="0"/>
        <v>0</v>
      </c>
      <c r="J12" s="531">
        <f t="shared" si="0"/>
        <v>0</v>
      </c>
      <c r="K12" s="531">
        <f t="shared" si="0"/>
        <v>0</v>
      </c>
      <c r="L12" s="531">
        <f t="shared" si="0"/>
        <v>0</v>
      </c>
      <c r="M12" s="531">
        <f t="shared" si="0"/>
        <v>0</v>
      </c>
      <c r="N12" s="531">
        <f t="shared" si="0"/>
        <v>0</v>
      </c>
      <c r="O12" s="531">
        <f t="shared" si="0"/>
        <v>0</v>
      </c>
      <c r="P12" s="531">
        <f t="shared" si="0"/>
        <v>0</v>
      </c>
      <c r="Q12" s="531">
        <f t="shared" si="0"/>
        <v>0</v>
      </c>
      <c r="R12" s="531">
        <f t="shared" si="0"/>
        <v>0</v>
      </c>
      <c r="S12" s="531">
        <f t="shared" si="0"/>
        <v>0</v>
      </c>
      <c r="T12" s="531">
        <f t="shared" si="0"/>
        <v>0</v>
      </c>
      <c r="U12" s="531">
        <f t="shared" si="0"/>
        <v>0</v>
      </c>
      <c r="V12" s="531">
        <f t="shared" si="0"/>
        <v>0</v>
      </c>
      <c r="W12" s="531">
        <f t="shared" si="0"/>
        <v>0</v>
      </c>
      <c r="X12" s="531">
        <f t="shared" si="0"/>
        <v>0</v>
      </c>
      <c r="Y12" s="531">
        <f t="shared" si="0"/>
        <v>0</v>
      </c>
      <c r="Z12" s="531">
        <f t="shared" si="0"/>
        <v>0</v>
      </c>
      <c r="AA12" s="531">
        <f t="shared" si="0"/>
        <v>0</v>
      </c>
      <c r="AB12" s="531">
        <f t="shared" si="0"/>
        <v>0</v>
      </c>
      <c r="AC12" s="531">
        <f t="shared" si="0"/>
        <v>0</v>
      </c>
      <c r="AD12" s="532">
        <f t="shared" si="0"/>
        <v>0</v>
      </c>
    </row>
    <row r="13" spans="1:31" ht="15.75" thickBot="1">
      <c r="A13" s="535" t="s">
        <v>13</v>
      </c>
      <c r="B13" s="536" t="s">
        <v>14</v>
      </c>
      <c r="C13" s="534"/>
      <c r="D13" s="530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2"/>
    </row>
    <row r="14" spans="1:31" ht="18.75" customHeight="1" thickBot="1">
      <c r="A14" s="535" t="s">
        <v>15</v>
      </c>
      <c r="B14" s="536" t="s">
        <v>16</v>
      </c>
      <c r="C14" s="534"/>
      <c r="D14" s="530"/>
      <c r="E14" s="531"/>
      <c r="F14" s="531"/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2"/>
    </row>
    <row r="15" spans="1:31" ht="15.75" thickBot="1">
      <c r="A15" s="535" t="s">
        <v>17</v>
      </c>
      <c r="B15" s="536" t="s">
        <v>18</v>
      </c>
      <c r="C15" s="534"/>
      <c r="D15" s="530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2"/>
    </row>
    <row r="16" spans="1:31" ht="15.75" thickBot="1">
      <c r="A16" s="528">
        <v>8</v>
      </c>
      <c r="B16" s="529" t="s">
        <v>19</v>
      </c>
      <c r="C16" s="534"/>
      <c r="D16" s="530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2"/>
    </row>
    <row r="17" spans="1:30" ht="15.75" thickBot="1">
      <c r="A17" s="537"/>
      <c r="B17" s="538" t="s">
        <v>20</v>
      </c>
      <c r="C17" s="539">
        <f>C6+C7+C9+C10+C11+C12+C16</f>
        <v>0</v>
      </c>
      <c r="D17" s="540">
        <f>D6+D7+D9+D10+D11+D12+D16</f>
        <v>0</v>
      </c>
      <c r="E17" s="540">
        <f t="shared" ref="E17:AC17" si="1">E6+E7+E9+E10+E11+E12+E16</f>
        <v>0</v>
      </c>
      <c r="F17" s="540">
        <f t="shared" si="1"/>
        <v>236938</v>
      </c>
      <c r="G17" s="540">
        <f t="shared" si="1"/>
        <v>0</v>
      </c>
      <c r="H17" s="540">
        <f t="shared" si="1"/>
        <v>0</v>
      </c>
      <c r="I17" s="540">
        <f t="shared" si="1"/>
        <v>0</v>
      </c>
      <c r="J17" s="540">
        <f t="shared" si="1"/>
        <v>0</v>
      </c>
      <c r="K17" s="540">
        <f t="shared" si="1"/>
        <v>40500</v>
      </c>
      <c r="L17" s="540">
        <f t="shared" si="1"/>
        <v>0</v>
      </c>
      <c r="M17" s="540">
        <f t="shared" si="1"/>
        <v>0</v>
      </c>
      <c r="N17" s="540">
        <f t="shared" si="1"/>
        <v>0</v>
      </c>
      <c r="O17" s="540">
        <f t="shared" si="1"/>
        <v>0</v>
      </c>
      <c r="P17" s="540">
        <f t="shared" si="1"/>
        <v>0</v>
      </c>
      <c r="Q17" s="540">
        <f t="shared" si="1"/>
        <v>0</v>
      </c>
      <c r="R17" s="540">
        <f t="shared" si="1"/>
        <v>0</v>
      </c>
      <c r="S17" s="540">
        <f t="shared" si="1"/>
        <v>0</v>
      </c>
      <c r="T17" s="540">
        <f t="shared" si="1"/>
        <v>0</v>
      </c>
      <c r="U17" s="540">
        <f t="shared" si="1"/>
        <v>0</v>
      </c>
      <c r="V17" s="540">
        <f t="shared" si="1"/>
        <v>0</v>
      </c>
      <c r="W17" s="540">
        <f t="shared" si="1"/>
        <v>0</v>
      </c>
      <c r="X17" s="540">
        <f t="shared" si="1"/>
        <v>0</v>
      </c>
      <c r="Y17" s="540">
        <f t="shared" si="1"/>
        <v>0</v>
      </c>
      <c r="Z17" s="540">
        <f t="shared" si="1"/>
        <v>0</v>
      </c>
      <c r="AA17" s="540">
        <f t="shared" si="1"/>
        <v>0</v>
      </c>
      <c r="AB17" s="540">
        <f t="shared" si="1"/>
        <v>0</v>
      </c>
      <c r="AC17" s="540">
        <f t="shared" si="1"/>
        <v>0</v>
      </c>
      <c r="AD17" s="541">
        <f>AD6+AD7+AD9+AD10+AD11+AD12+AD16</f>
        <v>0</v>
      </c>
    </row>
    <row r="18" spans="1:30" ht="20.100000000000001" customHeight="1" thickBot="1">
      <c r="A18" s="535"/>
      <c r="B18" s="529"/>
      <c r="C18" s="534"/>
      <c r="D18" s="530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2"/>
    </row>
    <row r="19" spans="1:30" ht="20.25" customHeight="1" thickBot="1">
      <c r="A19" s="528">
        <v>1</v>
      </c>
      <c r="B19" s="529" t="s">
        <v>21</v>
      </c>
      <c r="C19" s="534"/>
      <c r="D19" s="530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2"/>
    </row>
    <row r="20" spans="1:30" ht="15.75" thickBot="1">
      <c r="A20" s="528">
        <v>2</v>
      </c>
      <c r="B20" s="529" t="s">
        <v>22</v>
      </c>
      <c r="C20" s="534"/>
      <c r="D20" s="530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2"/>
    </row>
    <row r="21" spans="1:30" ht="21" customHeight="1" thickBot="1">
      <c r="A21" s="528">
        <v>3</v>
      </c>
      <c r="B21" s="529" t="s">
        <v>23</v>
      </c>
      <c r="C21" s="534">
        <f>SUM(C22:C25)</f>
        <v>0</v>
      </c>
      <c r="D21" s="530">
        <f>SUM(D22:D25)</f>
        <v>0</v>
      </c>
      <c r="E21" s="531">
        <f>SUM(E22:E25)</f>
        <v>0</v>
      </c>
      <c r="F21" s="531">
        <f>SUM(F22:F25)</f>
        <v>0</v>
      </c>
      <c r="G21" s="531">
        <f t="shared" ref="G21:AD21" si="2">SUM(G22:G25)</f>
        <v>0</v>
      </c>
      <c r="H21" s="531">
        <f t="shared" si="2"/>
        <v>0</v>
      </c>
      <c r="I21" s="531">
        <f t="shared" si="2"/>
        <v>0</v>
      </c>
      <c r="J21" s="531">
        <f t="shared" si="2"/>
        <v>0</v>
      </c>
      <c r="K21" s="531">
        <f t="shared" si="2"/>
        <v>0</v>
      </c>
      <c r="L21" s="531">
        <f t="shared" si="2"/>
        <v>0</v>
      </c>
      <c r="M21" s="531">
        <f t="shared" si="2"/>
        <v>0</v>
      </c>
      <c r="N21" s="531">
        <f t="shared" si="2"/>
        <v>0</v>
      </c>
      <c r="O21" s="531">
        <f t="shared" si="2"/>
        <v>0</v>
      </c>
      <c r="P21" s="531">
        <f t="shared" si="2"/>
        <v>0</v>
      </c>
      <c r="Q21" s="531">
        <f t="shared" si="2"/>
        <v>0</v>
      </c>
      <c r="R21" s="531">
        <f t="shared" si="2"/>
        <v>0</v>
      </c>
      <c r="S21" s="531">
        <f t="shared" si="2"/>
        <v>0</v>
      </c>
      <c r="T21" s="531">
        <f t="shared" si="2"/>
        <v>0</v>
      </c>
      <c r="U21" s="531">
        <f t="shared" si="2"/>
        <v>0</v>
      </c>
      <c r="V21" s="531">
        <f t="shared" si="2"/>
        <v>0</v>
      </c>
      <c r="W21" s="531">
        <f t="shared" si="2"/>
        <v>0</v>
      </c>
      <c r="X21" s="531">
        <f t="shared" si="2"/>
        <v>0</v>
      </c>
      <c r="Y21" s="531">
        <f t="shared" si="2"/>
        <v>0</v>
      </c>
      <c r="Z21" s="531">
        <f t="shared" si="2"/>
        <v>0</v>
      </c>
      <c r="AA21" s="531">
        <f t="shared" si="2"/>
        <v>0</v>
      </c>
      <c r="AB21" s="531">
        <f t="shared" si="2"/>
        <v>0</v>
      </c>
      <c r="AC21" s="531">
        <f t="shared" si="2"/>
        <v>0</v>
      </c>
      <c r="AD21" s="532">
        <f t="shared" si="2"/>
        <v>0</v>
      </c>
    </row>
    <row r="22" spans="1:30" ht="15.75" thickBot="1">
      <c r="A22" s="535" t="s">
        <v>24</v>
      </c>
      <c r="B22" s="536" t="s">
        <v>25</v>
      </c>
      <c r="C22" s="534"/>
      <c r="D22" s="530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2"/>
    </row>
    <row r="23" spans="1:30" ht="21.75" customHeight="1" thickBot="1">
      <c r="A23" s="535" t="s">
        <v>26</v>
      </c>
      <c r="B23" s="536" t="s">
        <v>590</v>
      </c>
      <c r="C23" s="534"/>
      <c r="D23" s="530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2"/>
    </row>
    <row r="24" spans="1:30" ht="21.75" customHeight="1" thickBot="1">
      <c r="A24" s="535" t="s">
        <v>28</v>
      </c>
      <c r="B24" s="536" t="s">
        <v>29</v>
      </c>
      <c r="C24" s="534"/>
      <c r="D24" s="530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2"/>
    </row>
    <row r="25" spans="1:30" ht="15.75" thickBot="1">
      <c r="A25" s="535" t="s">
        <v>30</v>
      </c>
      <c r="B25" s="536" t="s">
        <v>591</v>
      </c>
      <c r="C25" s="534"/>
      <c r="D25" s="530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2"/>
    </row>
    <row r="26" spans="1:30" ht="15.75" thickBot="1">
      <c r="A26" s="528"/>
      <c r="B26" s="529" t="s">
        <v>32</v>
      </c>
      <c r="C26" s="534">
        <f>C19+C20+C21</f>
        <v>0</v>
      </c>
      <c r="D26" s="530">
        <f>D19+D20+D21</f>
        <v>0</v>
      </c>
      <c r="E26" s="531">
        <f>E19+E20+E21</f>
        <v>0</v>
      </c>
      <c r="F26" s="531">
        <f>F19+F20+F21</f>
        <v>0</v>
      </c>
      <c r="G26" s="531">
        <f t="shared" ref="G26:AD26" si="3">G19+G20+G21</f>
        <v>0</v>
      </c>
      <c r="H26" s="531">
        <f t="shared" si="3"/>
        <v>0</v>
      </c>
      <c r="I26" s="531">
        <f t="shared" si="3"/>
        <v>0</v>
      </c>
      <c r="J26" s="531">
        <f t="shared" si="3"/>
        <v>0</v>
      </c>
      <c r="K26" s="531">
        <f t="shared" si="3"/>
        <v>0</v>
      </c>
      <c r="L26" s="531">
        <f t="shared" si="3"/>
        <v>0</v>
      </c>
      <c r="M26" s="531">
        <f t="shared" si="3"/>
        <v>0</v>
      </c>
      <c r="N26" s="531">
        <f t="shared" si="3"/>
        <v>0</v>
      </c>
      <c r="O26" s="531">
        <f t="shared" si="3"/>
        <v>0</v>
      </c>
      <c r="P26" s="531">
        <f t="shared" si="3"/>
        <v>0</v>
      </c>
      <c r="Q26" s="531">
        <f t="shared" si="3"/>
        <v>0</v>
      </c>
      <c r="R26" s="531">
        <f t="shared" si="3"/>
        <v>0</v>
      </c>
      <c r="S26" s="531">
        <f t="shared" si="3"/>
        <v>0</v>
      </c>
      <c r="T26" s="531">
        <f t="shared" si="3"/>
        <v>0</v>
      </c>
      <c r="U26" s="531">
        <f t="shared" si="3"/>
        <v>0</v>
      </c>
      <c r="V26" s="531">
        <f t="shared" si="3"/>
        <v>0</v>
      </c>
      <c r="W26" s="531">
        <f t="shared" si="3"/>
        <v>0</v>
      </c>
      <c r="X26" s="531">
        <f t="shared" si="3"/>
        <v>0</v>
      </c>
      <c r="Y26" s="531">
        <f t="shared" si="3"/>
        <v>0</v>
      </c>
      <c r="Z26" s="531">
        <f t="shared" si="3"/>
        <v>0</v>
      </c>
      <c r="AA26" s="531">
        <f t="shared" si="3"/>
        <v>0</v>
      </c>
      <c r="AB26" s="531">
        <f t="shared" si="3"/>
        <v>0</v>
      </c>
      <c r="AC26" s="531">
        <f t="shared" si="3"/>
        <v>0</v>
      </c>
      <c r="AD26" s="532">
        <f t="shared" si="3"/>
        <v>0</v>
      </c>
    </row>
    <row r="27" spans="1:30" ht="15.75" thickBot="1">
      <c r="A27" s="535"/>
      <c r="B27" s="529"/>
      <c r="C27" s="534"/>
      <c r="D27" s="530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2"/>
    </row>
    <row r="28" spans="1:30" ht="15.75" thickBot="1">
      <c r="A28" s="537"/>
      <c r="B28" s="538" t="s">
        <v>33</v>
      </c>
      <c r="C28" s="539">
        <f>C17+C26</f>
        <v>0</v>
      </c>
      <c r="D28" s="540">
        <f>D17+D26</f>
        <v>0</v>
      </c>
      <c r="E28" s="542">
        <f>E17+E26</f>
        <v>0</v>
      </c>
      <c r="F28" s="542">
        <f>F17+F26</f>
        <v>236938</v>
      </c>
      <c r="G28" s="542">
        <f t="shared" ref="G28:AC28" si="4">G17+G26</f>
        <v>0</v>
      </c>
      <c r="H28" s="542">
        <f t="shared" si="4"/>
        <v>0</v>
      </c>
      <c r="I28" s="542">
        <f t="shared" si="4"/>
        <v>0</v>
      </c>
      <c r="J28" s="542">
        <f t="shared" si="4"/>
        <v>0</v>
      </c>
      <c r="K28" s="542">
        <f t="shared" si="4"/>
        <v>40500</v>
      </c>
      <c r="L28" s="542">
        <f t="shared" si="4"/>
        <v>0</v>
      </c>
      <c r="M28" s="542">
        <f t="shared" si="4"/>
        <v>0</v>
      </c>
      <c r="N28" s="542">
        <f t="shared" si="4"/>
        <v>0</v>
      </c>
      <c r="O28" s="542">
        <f t="shared" si="4"/>
        <v>0</v>
      </c>
      <c r="P28" s="542">
        <f t="shared" si="4"/>
        <v>0</v>
      </c>
      <c r="Q28" s="542">
        <f t="shared" si="4"/>
        <v>0</v>
      </c>
      <c r="R28" s="542">
        <f t="shared" si="4"/>
        <v>0</v>
      </c>
      <c r="S28" s="542">
        <f t="shared" si="4"/>
        <v>0</v>
      </c>
      <c r="T28" s="542">
        <f t="shared" si="4"/>
        <v>0</v>
      </c>
      <c r="U28" s="542">
        <f t="shared" si="4"/>
        <v>0</v>
      </c>
      <c r="V28" s="542">
        <f t="shared" si="4"/>
        <v>0</v>
      </c>
      <c r="W28" s="542">
        <f t="shared" si="4"/>
        <v>0</v>
      </c>
      <c r="X28" s="542">
        <f t="shared" si="4"/>
        <v>0</v>
      </c>
      <c r="Y28" s="542">
        <f t="shared" si="4"/>
        <v>0</v>
      </c>
      <c r="Z28" s="542">
        <f t="shared" si="4"/>
        <v>0</v>
      </c>
      <c r="AA28" s="542">
        <f t="shared" si="4"/>
        <v>0</v>
      </c>
      <c r="AB28" s="542">
        <f t="shared" si="4"/>
        <v>0</v>
      </c>
      <c r="AC28" s="542">
        <f t="shared" si="4"/>
        <v>0</v>
      </c>
      <c r="AD28" s="541">
        <f>AD17+AD26</f>
        <v>0</v>
      </c>
    </row>
    <row r="29" spans="1:30" ht="15.75" thickBot="1">
      <c r="A29" s="535"/>
      <c r="B29" s="529"/>
      <c r="C29" s="534"/>
      <c r="D29" s="530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1"/>
      <c r="AA29" s="531"/>
      <c r="AB29" s="531"/>
      <c r="AC29" s="531"/>
      <c r="AD29" s="532"/>
    </row>
    <row r="30" spans="1:30" ht="20.25" customHeight="1" thickBot="1">
      <c r="A30" s="535"/>
      <c r="B30" s="529" t="s">
        <v>34</v>
      </c>
      <c r="C30" s="534"/>
      <c r="D30" s="530"/>
      <c r="E30" s="531"/>
      <c r="F30" s="531"/>
      <c r="G30" s="531"/>
      <c r="H30" s="531"/>
      <c r="I30" s="531"/>
      <c r="J30" s="531"/>
      <c r="K30" s="531"/>
      <c r="L30" s="531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2"/>
    </row>
    <row r="31" spans="1:30" ht="15.75" thickBot="1">
      <c r="A31" s="535"/>
      <c r="B31" s="529"/>
      <c r="C31" s="534"/>
      <c r="D31" s="530"/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1"/>
      <c r="AC31" s="531"/>
      <c r="AD31" s="532"/>
    </row>
    <row r="32" spans="1:30" ht="15.75" thickBot="1">
      <c r="A32" s="537"/>
      <c r="B32" s="538" t="s">
        <v>35</v>
      </c>
      <c r="C32" s="539">
        <f>C28+C30</f>
        <v>0</v>
      </c>
      <c r="D32" s="540">
        <f>D28+D30</f>
        <v>0</v>
      </c>
      <c r="E32" s="542">
        <f>E28+E30</f>
        <v>0</v>
      </c>
      <c r="F32" s="542">
        <f t="shared" ref="F32:AD32" si="5">F28+F30</f>
        <v>236938</v>
      </c>
      <c r="G32" s="542">
        <f t="shared" si="5"/>
        <v>0</v>
      </c>
      <c r="H32" s="542">
        <f t="shared" si="5"/>
        <v>0</v>
      </c>
      <c r="I32" s="542">
        <f t="shared" si="5"/>
        <v>0</v>
      </c>
      <c r="J32" s="542">
        <f t="shared" si="5"/>
        <v>0</v>
      </c>
      <c r="K32" s="542">
        <f t="shared" si="5"/>
        <v>40500</v>
      </c>
      <c r="L32" s="542">
        <f t="shared" si="5"/>
        <v>0</v>
      </c>
      <c r="M32" s="542">
        <f t="shared" si="5"/>
        <v>0</v>
      </c>
      <c r="N32" s="542">
        <f t="shared" si="5"/>
        <v>0</v>
      </c>
      <c r="O32" s="542">
        <f t="shared" si="5"/>
        <v>0</v>
      </c>
      <c r="P32" s="542">
        <f t="shared" si="5"/>
        <v>0</v>
      </c>
      <c r="Q32" s="542">
        <f t="shared" si="5"/>
        <v>0</v>
      </c>
      <c r="R32" s="542">
        <f t="shared" si="5"/>
        <v>0</v>
      </c>
      <c r="S32" s="542">
        <f t="shared" si="5"/>
        <v>0</v>
      </c>
      <c r="T32" s="542">
        <f t="shared" si="5"/>
        <v>0</v>
      </c>
      <c r="U32" s="542">
        <f t="shared" si="5"/>
        <v>0</v>
      </c>
      <c r="V32" s="542">
        <f t="shared" si="5"/>
        <v>0</v>
      </c>
      <c r="W32" s="542">
        <f t="shared" si="5"/>
        <v>0</v>
      </c>
      <c r="X32" s="542">
        <f t="shared" si="5"/>
        <v>0</v>
      </c>
      <c r="Y32" s="542">
        <f t="shared" si="5"/>
        <v>0</v>
      </c>
      <c r="Z32" s="542">
        <f t="shared" si="5"/>
        <v>0</v>
      </c>
      <c r="AA32" s="542">
        <f t="shared" si="5"/>
        <v>0</v>
      </c>
      <c r="AB32" s="542">
        <f t="shared" si="5"/>
        <v>0</v>
      </c>
      <c r="AC32" s="542">
        <f t="shared" si="5"/>
        <v>0</v>
      </c>
      <c r="AD32" s="541">
        <f t="shared" si="5"/>
        <v>0</v>
      </c>
    </row>
    <row r="33" spans="1:30">
      <c r="A33" s="543"/>
      <c r="B33" s="544"/>
      <c r="C33" s="544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4"/>
    </row>
    <row r="34" spans="1:30" ht="15.75">
      <c r="B34" s="546"/>
    </row>
    <row r="39" spans="1:30">
      <c r="M39" s="547">
        <f>L18-K60</f>
        <v>0</v>
      </c>
    </row>
  </sheetData>
  <hyperlinks>
    <hyperlink ref="AC5" location="'RLP FH'!B34" display="UED"/>
  </hyperlinks>
  <pageMargins left="0.7" right="0.7" top="0.75" bottom="0.75" header="0.3" footer="0.3"/>
  <pageSetup paperSize="9" scale="68" orientation="landscape" r:id="rId1"/>
  <colBreaks count="1" manualBreakCount="1">
    <brk id="29" max="3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L11"/>
  <sheetViews>
    <sheetView topLeftCell="A10" zoomScaleNormal="100" workbookViewId="0">
      <selection activeCell="G40" sqref="G40"/>
    </sheetView>
  </sheetViews>
  <sheetFormatPr defaultRowHeight="12.75"/>
  <cols>
    <col min="1" max="1" width="9.42578125" style="298" bestFit="1" customWidth="1"/>
    <col min="2" max="2" width="36.5703125" style="298" customWidth="1"/>
    <col min="3" max="3" width="7.140625" style="298" customWidth="1"/>
    <col min="4" max="4" width="9.42578125" style="298" bestFit="1" customWidth="1"/>
    <col min="5" max="5" width="14" style="298" bestFit="1" customWidth="1"/>
    <col min="6" max="6" width="21.140625" style="298" bestFit="1" customWidth="1"/>
    <col min="7" max="7" width="16.42578125" style="298" bestFit="1" customWidth="1"/>
    <col min="8" max="8" width="20.42578125" style="298" bestFit="1" customWidth="1"/>
    <col min="9" max="9" width="16.5703125" style="298" customWidth="1"/>
    <col min="10" max="10" width="11.85546875" style="298" bestFit="1" customWidth="1"/>
    <col min="11" max="16384" width="9.140625" style="298"/>
  </cols>
  <sheetData>
    <row r="2" spans="1:12" s="508" customFormat="1" ht="32.25" customHeight="1">
      <c r="A2" s="507" t="s">
        <v>588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4" spans="1:12" ht="15">
      <c r="A4" s="820" t="s">
        <v>632</v>
      </c>
      <c r="B4" s="820"/>
      <c r="C4" s="820"/>
      <c r="D4" s="820"/>
      <c r="E4" s="820"/>
      <c r="F4" s="820"/>
      <c r="G4" s="820"/>
      <c r="H4" s="820"/>
      <c r="I4" s="549"/>
    </row>
    <row r="5" spans="1:12" ht="14.25" thickBot="1">
      <c r="A5" s="550"/>
      <c r="B5" s="550"/>
      <c r="C5" s="550"/>
      <c r="D5" s="550"/>
      <c r="E5" s="550"/>
      <c r="F5" s="550"/>
      <c r="G5" s="550"/>
      <c r="H5" s="550"/>
      <c r="I5" s="550"/>
    </row>
    <row r="6" spans="1:12" ht="15.75" thickBot="1">
      <c r="A6" s="551" t="s">
        <v>353</v>
      </c>
      <c r="B6" s="552" t="s">
        <v>338</v>
      </c>
      <c r="C6" s="553" t="s">
        <v>592</v>
      </c>
      <c r="D6" s="552" t="s">
        <v>593</v>
      </c>
      <c r="E6" s="552" t="s">
        <v>594</v>
      </c>
      <c r="F6" s="553" t="s">
        <v>595</v>
      </c>
      <c r="G6" s="552" t="s">
        <v>596</v>
      </c>
      <c r="H6" s="554" t="s">
        <v>597</v>
      </c>
      <c r="I6" s="550"/>
    </row>
    <row r="7" spans="1:12" ht="15.75" thickBot="1">
      <c r="A7" s="555" t="s">
        <v>598</v>
      </c>
      <c r="B7" s="556" t="s">
        <v>599</v>
      </c>
      <c r="C7" s="557" t="s">
        <v>600</v>
      </c>
      <c r="D7" s="556">
        <v>1</v>
      </c>
      <c r="E7" s="556">
        <v>2</v>
      </c>
      <c r="F7" s="557" t="s">
        <v>601</v>
      </c>
      <c r="G7" s="556">
        <v>4</v>
      </c>
      <c r="H7" s="558" t="s">
        <v>602</v>
      </c>
      <c r="I7" s="550"/>
    </row>
    <row r="8" spans="1:12" ht="15.75" thickBot="1">
      <c r="A8" s="559">
        <v>1</v>
      </c>
      <c r="B8" s="560"/>
      <c r="C8" s="561" t="s">
        <v>603</v>
      </c>
      <c r="D8" s="562">
        <v>1</v>
      </c>
      <c r="E8" s="563">
        <v>0</v>
      </c>
      <c r="F8" s="564">
        <f>D8*E8</f>
        <v>0</v>
      </c>
      <c r="G8" s="565"/>
      <c r="H8" s="564">
        <f>SUM(F8:G8)</f>
        <v>0</v>
      </c>
      <c r="I8" s="550"/>
    </row>
    <row r="9" spans="1:12" ht="15.75" thickBot="1">
      <c r="A9" s="567"/>
      <c r="B9" s="566" t="s">
        <v>604</v>
      </c>
      <c r="C9" s="568"/>
      <c r="D9" s="568"/>
      <c r="E9" s="569"/>
      <c r="F9" s="570">
        <f>SUM(F8)</f>
        <v>0</v>
      </c>
      <c r="G9" s="570">
        <f>SUM(G8)</f>
        <v>0</v>
      </c>
      <c r="H9" s="570">
        <f>SUM(H8)</f>
        <v>0</v>
      </c>
    </row>
    <row r="11" spans="1:12">
      <c r="E11" s="18"/>
      <c r="F11" s="18"/>
      <c r="G11" s="18"/>
      <c r="H11" s="18"/>
      <c r="I11" s="18"/>
    </row>
  </sheetData>
  <mergeCells count="1">
    <mergeCell ref="A4:H4"/>
  </mergeCells>
  <pageMargins left="0.7" right="0.7" top="0.75" bottom="0.75" header="0.3" footer="0.3"/>
  <pageSetup paperSize="9" scale="66" orientation="portrait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2:N60"/>
  <sheetViews>
    <sheetView topLeftCell="A10" zoomScaleNormal="100" workbookViewId="0">
      <selection activeCell="J52" sqref="J52"/>
    </sheetView>
  </sheetViews>
  <sheetFormatPr defaultRowHeight="12.75"/>
  <cols>
    <col min="1" max="1" width="3" style="506" customWidth="1"/>
    <col min="2" max="2" width="22.5703125" style="506" customWidth="1"/>
    <col min="3" max="3" width="9.42578125" style="506" customWidth="1"/>
    <col min="4" max="4" width="14.42578125" style="506" customWidth="1"/>
    <col min="5" max="5" width="13.5703125" style="506" customWidth="1"/>
    <col min="6" max="6" width="16.7109375" style="506" customWidth="1"/>
    <col min="7" max="7" width="19.7109375" style="506" customWidth="1"/>
    <col min="8" max="9" width="11.140625" style="506" bestFit="1" customWidth="1"/>
    <col min="10" max="10" width="9.140625" style="506"/>
    <col min="11" max="11" width="10.140625" style="506" bestFit="1" customWidth="1"/>
    <col min="12" max="12" width="11.140625" style="506" bestFit="1" customWidth="1"/>
    <col min="13" max="13" width="9.140625" style="506"/>
    <col min="14" max="14" width="15" style="506" bestFit="1" customWidth="1"/>
    <col min="15" max="16384" width="9.140625" style="506"/>
  </cols>
  <sheetData>
    <row r="2" spans="2:12" s="508" customFormat="1" ht="32.25" customHeight="1">
      <c r="B2" s="507" t="s">
        <v>588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12">
      <c r="B3" s="571"/>
    </row>
    <row r="4" spans="2:12" ht="15.75">
      <c r="B4" s="821" t="s">
        <v>605</v>
      </c>
      <c r="C4" s="821"/>
      <c r="D4" s="821"/>
      <c r="E4" s="821"/>
      <c r="F4" s="821"/>
      <c r="G4" s="821"/>
    </row>
    <row r="6" spans="2:12">
      <c r="B6" s="824" t="s">
        <v>338</v>
      </c>
      <c r="C6" s="826" t="s">
        <v>339</v>
      </c>
      <c r="D6" s="572" t="s">
        <v>340</v>
      </c>
      <c r="E6" s="826" t="s">
        <v>341</v>
      </c>
      <c r="F6" s="826" t="s">
        <v>342</v>
      </c>
      <c r="G6" s="572" t="s">
        <v>340</v>
      </c>
    </row>
    <row r="7" spans="2:12">
      <c r="B7" s="825"/>
      <c r="C7" s="827"/>
      <c r="D7" s="573">
        <v>41275</v>
      </c>
      <c r="E7" s="827"/>
      <c r="F7" s="827"/>
      <c r="G7" s="573">
        <v>41639</v>
      </c>
    </row>
    <row r="8" spans="2:12">
      <c r="B8" s="574" t="s">
        <v>75</v>
      </c>
      <c r="C8" s="575"/>
      <c r="D8" s="584"/>
      <c r="E8" s="584"/>
      <c r="F8" s="584"/>
      <c r="G8" s="584">
        <f t="shared" ref="G8:G16" si="0">D8+E8-F8</f>
        <v>0</v>
      </c>
    </row>
    <row r="9" spans="2:12">
      <c r="B9" s="576" t="s">
        <v>344</v>
      </c>
      <c r="C9" s="575"/>
      <c r="D9" s="584">
        <v>0</v>
      </c>
      <c r="E9" s="584">
        <v>0</v>
      </c>
      <c r="F9" s="584"/>
      <c r="G9" s="584">
        <f t="shared" si="0"/>
        <v>0</v>
      </c>
    </row>
    <row r="10" spans="2:12">
      <c r="B10" s="577" t="s">
        <v>345</v>
      </c>
      <c r="C10" s="575"/>
      <c r="D10" s="584">
        <v>0</v>
      </c>
      <c r="E10" s="584"/>
      <c r="F10" s="584"/>
      <c r="G10" s="584">
        <f t="shared" si="0"/>
        <v>0</v>
      </c>
    </row>
    <row r="11" spans="2:12">
      <c r="B11" s="577" t="s">
        <v>343</v>
      </c>
      <c r="C11" s="575"/>
      <c r="D11" s="584">
        <v>0</v>
      </c>
      <c r="E11" s="584"/>
      <c r="F11" s="584"/>
      <c r="G11" s="584">
        <f t="shared" si="0"/>
        <v>0</v>
      </c>
    </row>
    <row r="12" spans="2:12">
      <c r="B12" s="577" t="s">
        <v>606</v>
      </c>
      <c r="C12" s="575"/>
      <c r="D12" s="584">
        <v>0</v>
      </c>
      <c r="E12" s="615"/>
      <c r="F12" s="584"/>
      <c r="G12" s="584">
        <f t="shared" si="0"/>
        <v>0</v>
      </c>
    </row>
    <row r="13" spans="2:12">
      <c r="B13" s="577" t="s">
        <v>347</v>
      </c>
      <c r="C13" s="575"/>
      <c r="D13" s="616">
        <v>0</v>
      </c>
      <c r="E13" s="584"/>
      <c r="F13" s="584"/>
      <c r="G13" s="584">
        <f t="shared" si="0"/>
        <v>0</v>
      </c>
    </row>
    <row r="14" spans="2:12">
      <c r="B14" s="577" t="s">
        <v>607</v>
      </c>
      <c r="C14" s="575"/>
      <c r="D14" s="584">
        <v>0</v>
      </c>
      <c r="E14" s="584"/>
      <c r="F14" s="584"/>
      <c r="G14" s="584">
        <f t="shared" si="0"/>
        <v>0</v>
      </c>
    </row>
    <row r="15" spans="2:12">
      <c r="B15" s="579"/>
      <c r="C15" s="575"/>
      <c r="D15" s="584"/>
      <c r="E15" s="584"/>
      <c r="F15" s="584"/>
      <c r="G15" s="584">
        <f t="shared" si="0"/>
        <v>0</v>
      </c>
    </row>
    <row r="16" spans="2:12" ht="13.5" thickBot="1">
      <c r="B16" s="580"/>
      <c r="C16" s="572"/>
      <c r="D16" s="617"/>
      <c r="E16" s="617"/>
      <c r="F16" s="617"/>
      <c r="G16" s="617">
        <f t="shared" si="0"/>
        <v>0</v>
      </c>
    </row>
    <row r="17" spans="2:14" ht="13.5" thickBot="1">
      <c r="B17" s="581" t="s">
        <v>348</v>
      </c>
      <c r="C17" s="582"/>
      <c r="D17" s="618">
        <f>SUM(D8:D16)</f>
        <v>0</v>
      </c>
      <c r="E17" s="618">
        <f>SUM(E8:E16)</f>
        <v>0</v>
      </c>
      <c r="F17" s="618">
        <f>SUM(F8:F16)</f>
        <v>0</v>
      </c>
      <c r="G17" s="619">
        <f>SUM(G8:G16)</f>
        <v>0</v>
      </c>
    </row>
    <row r="18" spans="2:14">
      <c r="D18" s="272"/>
    </row>
    <row r="20" spans="2:14" ht="15.75">
      <c r="B20" s="821" t="s">
        <v>608</v>
      </c>
      <c r="C20" s="821"/>
      <c r="D20" s="821"/>
      <c r="E20" s="821"/>
      <c r="F20" s="821"/>
      <c r="G20" s="821"/>
    </row>
    <row r="22" spans="2:14">
      <c r="B22" s="824" t="s">
        <v>338</v>
      </c>
      <c r="C22" s="826" t="s">
        <v>339</v>
      </c>
      <c r="D22" s="572" t="s">
        <v>340</v>
      </c>
      <c r="E22" s="826" t="s">
        <v>341</v>
      </c>
      <c r="F22" s="826" t="s">
        <v>342</v>
      </c>
      <c r="G22" s="572" t="s">
        <v>340</v>
      </c>
    </row>
    <row r="23" spans="2:14">
      <c r="B23" s="825"/>
      <c r="C23" s="827"/>
      <c r="D23" s="573">
        <v>41275</v>
      </c>
      <c r="E23" s="827"/>
      <c r="F23" s="827"/>
      <c r="G23" s="573">
        <v>41639</v>
      </c>
    </row>
    <row r="24" spans="2:14">
      <c r="B24" s="574" t="s">
        <v>75</v>
      </c>
      <c r="C24" s="575"/>
      <c r="D24" s="584"/>
      <c r="E24" s="584"/>
      <c r="F24" s="584"/>
      <c r="G24" s="584"/>
      <c r="I24" s="583"/>
    </row>
    <row r="25" spans="2:14">
      <c r="B25" s="576" t="s">
        <v>344</v>
      </c>
      <c r="C25" s="575"/>
      <c r="D25" s="584"/>
      <c r="E25" s="584"/>
      <c r="F25" s="584"/>
      <c r="G25" s="584">
        <f>D25+E25-F25</f>
        <v>0</v>
      </c>
    </row>
    <row r="26" spans="2:14">
      <c r="B26" s="577" t="s">
        <v>609</v>
      </c>
      <c r="C26" s="575"/>
      <c r="D26" s="584"/>
      <c r="E26" s="584"/>
      <c r="F26" s="584"/>
      <c r="G26" s="584">
        <f>D26+E26-F26</f>
        <v>0</v>
      </c>
    </row>
    <row r="27" spans="2:14">
      <c r="B27" s="577" t="s">
        <v>343</v>
      </c>
      <c r="C27" s="575"/>
      <c r="D27" s="584"/>
      <c r="E27" s="584"/>
      <c r="F27" s="584"/>
      <c r="G27" s="584">
        <f t="shared" ref="G27:G32" si="1">D27+E27-F27</f>
        <v>0</v>
      </c>
    </row>
    <row r="28" spans="2:14">
      <c r="B28" s="577" t="s">
        <v>606</v>
      </c>
      <c r="C28" s="575"/>
      <c r="D28" s="584"/>
      <c r="E28" s="615"/>
      <c r="F28" s="584"/>
      <c r="G28" s="584">
        <f t="shared" si="1"/>
        <v>0</v>
      </c>
    </row>
    <row r="29" spans="2:14">
      <c r="B29" s="577" t="s">
        <v>347</v>
      </c>
      <c r="C29" s="575"/>
      <c r="D29" s="616"/>
      <c r="E29" s="584"/>
      <c r="F29" s="584"/>
      <c r="G29" s="584">
        <f t="shared" si="1"/>
        <v>0</v>
      </c>
      <c r="N29" s="585"/>
    </row>
    <row r="30" spans="2:14">
      <c r="B30" s="577" t="s">
        <v>607</v>
      </c>
      <c r="C30" s="575"/>
      <c r="D30" s="584"/>
      <c r="E30" s="584"/>
      <c r="F30" s="584"/>
      <c r="G30" s="584">
        <f t="shared" si="1"/>
        <v>0</v>
      </c>
    </row>
    <row r="31" spans="2:14">
      <c r="B31" s="579"/>
      <c r="C31" s="575"/>
      <c r="D31" s="584"/>
      <c r="E31" s="584"/>
      <c r="F31" s="584"/>
      <c r="G31" s="584">
        <f t="shared" si="1"/>
        <v>0</v>
      </c>
      <c r="I31" s="583"/>
    </row>
    <row r="32" spans="2:14" ht="13.5" thickBot="1">
      <c r="B32" s="580"/>
      <c r="C32" s="572"/>
      <c r="D32" s="617"/>
      <c r="E32" s="617"/>
      <c r="F32" s="617"/>
      <c r="G32" s="617">
        <f t="shared" si="1"/>
        <v>0</v>
      </c>
    </row>
    <row r="33" spans="2:14" ht="13.5" thickBot="1">
      <c r="B33" s="581" t="s">
        <v>348</v>
      </c>
      <c r="C33" s="582"/>
      <c r="D33" s="618">
        <f>SUM(D24:D32)</f>
        <v>0</v>
      </c>
      <c r="E33" s="618">
        <f>SUM(E24:E32)</f>
        <v>0</v>
      </c>
      <c r="F33" s="618">
        <f>SUM(F24:F32)</f>
        <v>0</v>
      </c>
      <c r="G33" s="619">
        <f>SUM(G24:G32)</f>
        <v>0</v>
      </c>
    </row>
    <row r="34" spans="2:14">
      <c r="G34" s="586"/>
      <c r="H34" s="583"/>
    </row>
    <row r="36" spans="2:14" ht="15.75">
      <c r="B36" s="821" t="s">
        <v>610</v>
      </c>
      <c r="C36" s="821"/>
      <c r="D36" s="821"/>
      <c r="E36" s="821"/>
      <c r="F36" s="821"/>
      <c r="G36" s="821"/>
    </row>
    <row r="38" spans="2:14" ht="12.75" customHeight="1">
      <c r="B38" s="824" t="s">
        <v>338</v>
      </c>
      <c r="C38" s="826" t="s">
        <v>339</v>
      </c>
      <c r="D38" s="572" t="s">
        <v>340</v>
      </c>
      <c r="E38" s="826" t="s">
        <v>341</v>
      </c>
      <c r="F38" s="826" t="s">
        <v>342</v>
      </c>
      <c r="G38" s="572" t="s">
        <v>340</v>
      </c>
      <c r="N38" s="583"/>
    </row>
    <row r="39" spans="2:14" ht="12.75" customHeight="1">
      <c r="B39" s="825"/>
      <c r="C39" s="827"/>
      <c r="D39" s="573">
        <v>41275</v>
      </c>
      <c r="E39" s="827"/>
      <c r="F39" s="827"/>
      <c r="G39" s="573">
        <v>41639</v>
      </c>
    </row>
    <row r="40" spans="2:14">
      <c r="B40" s="576" t="s">
        <v>75</v>
      </c>
      <c r="C40" s="575"/>
      <c r="D40" s="584">
        <f t="shared" ref="D40:D47" si="2">D8-D24</f>
        <v>0</v>
      </c>
      <c r="E40" s="584"/>
      <c r="F40" s="584"/>
      <c r="G40" s="584"/>
      <c r="K40" s="583"/>
      <c r="L40" s="583"/>
    </row>
    <row r="41" spans="2:14">
      <c r="B41" s="577" t="s">
        <v>344</v>
      </c>
      <c r="C41" s="575"/>
      <c r="D41" s="584">
        <f>D9-D25</f>
        <v>0</v>
      </c>
      <c r="E41" s="584">
        <f>E9</f>
        <v>0</v>
      </c>
      <c r="F41" s="584"/>
      <c r="G41" s="584">
        <f>D41+E41-F41</f>
        <v>0</v>
      </c>
      <c r="H41" s="583"/>
      <c r="I41" s="583"/>
    </row>
    <row r="42" spans="2:14">
      <c r="B42" s="577" t="s">
        <v>609</v>
      </c>
      <c r="C42" s="575"/>
      <c r="D42" s="584">
        <f t="shared" si="2"/>
        <v>0</v>
      </c>
      <c r="E42" s="584"/>
      <c r="F42" s="584"/>
      <c r="G42" s="584">
        <f>D42+E42-F42</f>
        <v>0</v>
      </c>
      <c r="H42" s="583"/>
      <c r="I42" s="583"/>
      <c r="K42" s="583"/>
    </row>
    <row r="43" spans="2:14">
      <c r="B43" s="577" t="s">
        <v>343</v>
      </c>
      <c r="C43" s="575"/>
      <c r="D43" s="584">
        <f t="shared" si="2"/>
        <v>0</v>
      </c>
      <c r="E43" s="584"/>
      <c r="F43" s="584"/>
      <c r="G43" s="584">
        <f t="shared" ref="G43:G48" si="3">D43+E43-F43</f>
        <v>0</v>
      </c>
      <c r="H43" s="583"/>
      <c r="I43" s="583"/>
    </row>
    <row r="44" spans="2:14">
      <c r="B44" s="577" t="s">
        <v>606</v>
      </c>
      <c r="C44" s="575"/>
      <c r="D44" s="584">
        <f t="shared" si="2"/>
        <v>0</v>
      </c>
      <c r="E44" s="584"/>
      <c r="F44" s="584"/>
      <c r="G44" s="584">
        <f t="shared" si="3"/>
        <v>0</v>
      </c>
      <c r="H44" s="583"/>
      <c r="I44" s="583"/>
      <c r="L44" s="583"/>
    </row>
    <row r="45" spans="2:14">
      <c r="B45" s="577" t="s">
        <v>347</v>
      </c>
      <c r="C45" s="575"/>
      <c r="D45" s="584">
        <f t="shared" si="2"/>
        <v>0</v>
      </c>
      <c r="E45" s="584"/>
      <c r="F45" s="584"/>
      <c r="G45" s="584">
        <f t="shared" si="3"/>
        <v>0</v>
      </c>
      <c r="H45" s="583"/>
      <c r="I45" s="583"/>
    </row>
    <row r="46" spans="2:14">
      <c r="B46" s="577" t="s">
        <v>607</v>
      </c>
      <c r="C46" s="575"/>
      <c r="D46" s="584">
        <f t="shared" si="2"/>
        <v>0</v>
      </c>
      <c r="E46" s="584"/>
      <c r="F46" s="584"/>
      <c r="G46" s="584">
        <f t="shared" si="3"/>
        <v>0</v>
      </c>
      <c r="H46" s="583"/>
      <c r="I46" s="583"/>
      <c r="L46" s="583"/>
    </row>
    <row r="47" spans="2:14">
      <c r="B47" s="579"/>
      <c r="C47" s="575"/>
      <c r="D47" s="584">
        <f t="shared" si="2"/>
        <v>0</v>
      </c>
      <c r="E47" s="584"/>
      <c r="F47" s="584"/>
      <c r="G47" s="584">
        <f t="shared" si="3"/>
        <v>0</v>
      </c>
      <c r="H47" s="583"/>
      <c r="I47" s="583"/>
    </row>
    <row r="48" spans="2:14" ht="13.5" thickBot="1">
      <c r="B48" s="580"/>
      <c r="C48" s="572"/>
      <c r="D48" s="617"/>
      <c r="E48" s="584"/>
      <c r="F48" s="584"/>
      <c r="G48" s="584">
        <f t="shared" si="3"/>
        <v>0</v>
      </c>
      <c r="H48" s="583"/>
      <c r="I48" s="583"/>
      <c r="L48" s="583"/>
    </row>
    <row r="49" spans="2:9" ht="13.5" thickBot="1">
      <c r="B49" s="581" t="s">
        <v>348</v>
      </c>
      <c r="C49" s="582"/>
      <c r="D49" s="618">
        <f>SUM(D40:D48)</f>
        <v>0</v>
      </c>
      <c r="E49" s="618">
        <f>SUM(E40:E48)</f>
        <v>0</v>
      </c>
      <c r="F49" s="618">
        <f>SUM(F40:F48)</f>
        <v>0</v>
      </c>
      <c r="G49" s="618">
        <f>SUM(G41:G48)</f>
        <v>0</v>
      </c>
      <c r="H49" s="583"/>
      <c r="I49" s="583"/>
    </row>
    <row r="50" spans="2:9">
      <c r="B50" s="587"/>
      <c r="C50" s="587"/>
      <c r="D50" s="587"/>
      <c r="E50" s="587"/>
      <c r="F50" s="588"/>
      <c r="G50" s="589"/>
    </row>
    <row r="51" spans="2:9">
      <c r="D51" s="583"/>
      <c r="E51" s="583"/>
      <c r="G51" s="583"/>
    </row>
    <row r="52" spans="2:9">
      <c r="D52" s="583"/>
      <c r="E52" s="583"/>
      <c r="G52" s="583"/>
    </row>
    <row r="53" spans="2:9" ht="15.75">
      <c r="D53" s="583"/>
      <c r="E53" s="822"/>
      <c r="F53" s="823"/>
      <c r="G53" s="823"/>
    </row>
    <row r="54" spans="2:9">
      <c r="E54" s="583"/>
      <c r="F54" s="583"/>
    </row>
    <row r="55" spans="2:9">
      <c r="D55" s="583"/>
      <c r="G55" s="583"/>
    </row>
    <row r="56" spans="2:9">
      <c r="E56" s="583"/>
      <c r="F56" s="583"/>
    </row>
    <row r="57" spans="2:9">
      <c r="D57" s="590"/>
    </row>
    <row r="59" spans="2:9">
      <c r="D59" s="583"/>
      <c r="E59" s="583"/>
      <c r="F59" s="583"/>
      <c r="G59" s="583"/>
    </row>
    <row r="60" spans="2:9">
      <c r="D60" s="583"/>
      <c r="E60" s="583"/>
      <c r="G60" s="583"/>
    </row>
  </sheetData>
  <mergeCells count="16">
    <mergeCell ref="B4:G4"/>
    <mergeCell ref="B6:B7"/>
    <mergeCell ref="C6:C7"/>
    <mergeCell ref="E6:E7"/>
    <mergeCell ref="F6:F7"/>
    <mergeCell ref="B20:G20"/>
    <mergeCell ref="E53:G53"/>
    <mergeCell ref="B22:B23"/>
    <mergeCell ref="C22:C23"/>
    <mergeCell ref="E22:E23"/>
    <mergeCell ref="F22:F23"/>
    <mergeCell ref="B36:G36"/>
    <mergeCell ref="B38:B39"/>
    <mergeCell ref="C38:C39"/>
    <mergeCell ref="E38:E39"/>
    <mergeCell ref="F38:F39"/>
  </mergeCells>
  <pageMargins left="0.17" right="0.69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P27"/>
  <sheetViews>
    <sheetView zoomScaleNormal="100" zoomScaleSheetLayoutView="80" workbookViewId="0">
      <selection activeCell="G30" sqref="G30"/>
    </sheetView>
  </sheetViews>
  <sheetFormatPr defaultRowHeight="14.25"/>
  <cols>
    <col min="1" max="1" width="5.28515625" style="593" customWidth="1"/>
    <col min="2" max="2" width="28.7109375" style="593" customWidth="1"/>
    <col min="3" max="3" width="17.5703125" style="593" customWidth="1"/>
    <col min="4" max="4" width="14" style="593" bestFit="1" customWidth="1"/>
    <col min="5" max="5" width="16.28515625" style="593" bestFit="1" customWidth="1"/>
    <col min="6" max="6" width="16.85546875" style="593" bestFit="1" customWidth="1"/>
    <col min="7" max="7" width="15.42578125" style="593" customWidth="1"/>
    <col min="8" max="8" width="10.85546875" style="593" customWidth="1"/>
    <col min="9" max="9" width="12.42578125" style="593" customWidth="1"/>
    <col min="10" max="10" width="15" style="593" customWidth="1"/>
    <col min="11" max="11" width="17.7109375" style="593" bestFit="1" customWidth="1"/>
    <col min="12" max="12" width="14" style="593" bestFit="1" customWidth="1"/>
    <col min="13" max="13" width="16.5703125" style="593" customWidth="1"/>
    <col min="14" max="14" width="14" style="593" bestFit="1" customWidth="1"/>
    <col min="15" max="15" width="15.85546875" style="593" bestFit="1" customWidth="1"/>
    <col min="16" max="16" width="12.7109375" style="593" bestFit="1" customWidth="1"/>
    <col min="17" max="16384" width="9.140625" style="593"/>
  </cols>
  <sheetData>
    <row r="2" spans="1:16" s="508" customFormat="1" ht="32.25" customHeight="1">
      <c r="B2" s="507" t="s">
        <v>588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5" spans="1:16" ht="15">
      <c r="A5" s="591"/>
      <c r="B5" s="591"/>
      <c r="C5" s="828" t="s">
        <v>611</v>
      </c>
      <c r="D5" s="828"/>
      <c r="E5" s="828"/>
      <c r="F5" s="828"/>
      <c r="G5" s="828" t="s">
        <v>612</v>
      </c>
      <c r="H5" s="828"/>
      <c r="I5" s="828"/>
      <c r="J5" s="828"/>
      <c r="K5" s="591"/>
      <c r="L5" s="591"/>
      <c r="M5" s="591"/>
      <c r="N5" s="591"/>
      <c r="O5" s="592"/>
      <c r="P5" s="592"/>
    </row>
    <row r="6" spans="1:16" ht="60">
      <c r="A6" s="594" t="s">
        <v>613</v>
      </c>
      <c r="B6" s="595" t="s">
        <v>338</v>
      </c>
      <c r="C6" s="594" t="s">
        <v>614</v>
      </c>
      <c r="D6" s="594" t="s">
        <v>615</v>
      </c>
      <c r="E6" s="594" t="s">
        <v>616</v>
      </c>
      <c r="F6" s="594" t="s">
        <v>617</v>
      </c>
      <c r="G6" s="596" t="s">
        <v>618</v>
      </c>
      <c r="H6" s="594" t="s">
        <v>615</v>
      </c>
      <c r="I6" s="594" t="s">
        <v>616</v>
      </c>
      <c r="J6" s="594" t="s">
        <v>619</v>
      </c>
      <c r="K6" s="594" t="s">
        <v>620</v>
      </c>
      <c r="L6" s="594" t="s">
        <v>621</v>
      </c>
      <c r="M6" s="594" t="s">
        <v>622</v>
      </c>
      <c r="N6" s="594" t="s">
        <v>623</v>
      </c>
      <c r="O6" s="594" t="s">
        <v>624</v>
      </c>
      <c r="P6" s="594" t="s">
        <v>625</v>
      </c>
    </row>
    <row r="7" spans="1:16" ht="15">
      <c r="A7" s="597"/>
      <c r="B7" s="598"/>
      <c r="C7" s="597"/>
      <c r="D7" s="597"/>
      <c r="E7" s="597"/>
      <c r="F7" s="597" t="s">
        <v>42</v>
      </c>
      <c r="G7" s="597"/>
      <c r="H7" s="597" t="s">
        <v>88</v>
      </c>
      <c r="I7" s="597"/>
      <c r="J7" s="597" t="s">
        <v>626</v>
      </c>
      <c r="K7" s="597"/>
      <c r="L7" s="597"/>
      <c r="M7" s="597" t="s">
        <v>42</v>
      </c>
      <c r="N7" s="597" t="s">
        <v>88</v>
      </c>
      <c r="O7" s="597" t="s">
        <v>627</v>
      </c>
      <c r="P7" s="597"/>
    </row>
    <row r="8" spans="1:16" ht="15">
      <c r="A8" s="599">
        <v>1</v>
      </c>
      <c r="B8" s="600" t="s">
        <v>344</v>
      </c>
      <c r="C8" s="601"/>
      <c r="D8" s="601"/>
      <c r="E8" s="602"/>
      <c r="F8" s="602">
        <f t="shared" ref="F8:F13" si="0">C8+D8-E8</f>
        <v>0</v>
      </c>
      <c r="G8" s="603">
        <v>0</v>
      </c>
      <c r="H8" s="602">
        <f>+D8*0.05</f>
        <v>0</v>
      </c>
      <c r="I8" s="602"/>
      <c r="J8" s="603">
        <f t="shared" ref="J8:J14" si="1">G8+H8-I8</f>
        <v>0</v>
      </c>
      <c r="K8" s="602">
        <f t="shared" ref="K8:K13" si="2">C8-G8</f>
        <v>0</v>
      </c>
      <c r="L8" s="604">
        <v>0.05</v>
      </c>
      <c r="M8" s="603">
        <f>K8*L8</f>
        <v>0</v>
      </c>
      <c r="N8" s="601">
        <f t="shared" ref="N8:N14" si="3">H8</f>
        <v>0</v>
      </c>
      <c r="O8" s="605">
        <f t="shared" ref="O8:O13" si="4">+M8+N8</f>
        <v>0</v>
      </c>
      <c r="P8" s="601">
        <f t="shared" ref="P8:P13" si="5">+G8+H8-I8+M8</f>
        <v>0</v>
      </c>
    </row>
    <row r="9" spans="1:16" ht="15">
      <c r="A9" s="599">
        <v>2</v>
      </c>
      <c r="B9" s="600" t="s">
        <v>628</v>
      </c>
      <c r="C9" s="601"/>
      <c r="D9" s="601"/>
      <c r="E9" s="602"/>
      <c r="F9" s="602">
        <f>C9+D9-E9</f>
        <v>0</v>
      </c>
      <c r="G9" s="603">
        <v>0</v>
      </c>
      <c r="H9" s="602"/>
      <c r="I9" s="602"/>
      <c r="J9" s="603">
        <f t="shared" si="1"/>
        <v>0</v>
      </c>
      <c r="K9" s="602">
        <f t="shared" si="2"/>
        <v>0</v>
      </c>
      <c r="L9" s="604">
        <v>0.2</v>
      </c>
      <c r="M9" s="603">
        <f>K9*L9</f>
        <v>0</v>
      </c>
      <c r="N9" s="601">
        <f t="shared" si="3"/>
        <v>0</v>
      </c>
      <c r="O9" s="605">
        <f t="shared" si="4"/>
        <v>0</v>
      </c>
      <c r="P9" s="601">
        <f t="shared" si="5"/>
        <v>0</v>
      </c>
    </row>
    <row r="10" spans="1:16" ht="15">
      <c r="A10" s="599">
        <v>3</v>
      </c>
      <c r="B10" s="600" t="s">
        <v>629</v>
      </c>
      <c r="C10" s="606"/>
      <c r="D10" s="601"/>
      <c r="E10" s="607"/>
      <c r="F10" s="602">
        <f>C10+D10-E10</f>
        <v>0</v>
      </c>
      <c r="G10" s="603">
        <v>0</v>
      </c>
      <c r="H10" s="602"/>
      <c r="I10" s="602">
        <f>+E10*0.05</f>
        <v>0</v>
      </c>
      <c r="J10" s="603">
        <f t="shared" si="1"/>
        <v>0</v>
      </c>
      <c r="K10" s="602">
        <f t="shared" si="2"/>
        <v>0</v>
      </c>
      <c r="L10" s="608">
        <v>0.2</v>
      </c>
      <c r="M10" s="603">
        <f>K10*L10</f>
        <v>0</v>
      </c>
      <c r="N10" s="601">
        <f t="shared" si="3"/>
        <v>0</v>
      </c>
      <c r="O10" s="605">
        <f t="shared" si="4"/>
        <v>0</v>
      </c>
      <c r="P10" s="601">
        <f t="shared" si="5"/>
        <v>0</v>
      </c>
    </row>
    <row r="11" spans="1:16" ht="15">
      <c r="A11" s="599">
        <v>4</v>
      </c>
      <c r="B11" s="600" t="s">
        <v>630</v>
      </c>
      <c r="C11" s="601"/>
      <c r="D11" s="601"/>
      <c r="E11" s="602"/>
      <c r="F11" s="602">
        <f t="shared" si="0"/>
        <v>0</v>
      </c>
      <c r="G11" s="603">
        <v>0</v>
      </c>
      <c r="H11" s="602"/>
      <c r="I11" s="602">
        <v>0</v>
      </c>
      <c r="J11" s="603">
        <f t="shared" si="1"/>
        <v>0</v>
      </c>
      <c r="K11" s="602">
        <f t="shared" si="2"/>
        <v>0</v>
      </c>
      <c r="L11" s="604">
        <v>0.2</v>
      </c>
      <c r="M11" s="603">
        <f>+K11*L11/12</f>
        <v>0</v>
      </c>
      <c r="N11" s="601">
        <f t="shared" si="3"/>
        <v>0</v>
      </c>
      <c r="O11" s="601">
        <f t="shared" si="4"/>
        <v>0</v>
      </c>
      <c r="P11" s="601">
        <f t="shared" si="5"/>
        <v>0</v>
      </c>
    </row>
    <row r="12" spans="1:16" ht="15">
      <c r="A12" s="599">
        <v>5</v>
      </c>
      <c r="B12" s="600" t="s">
        <v>631</v>
      </c>
      <c r="C12" s="601"/>
      <c r="D12" s="601"/>
      <c r="E12" s="602"/>
      <c r="F12" s="602">
        <f t="shared" si="0"/>
        <v>0</v>
      </c>
      <c r="G12" s="603">
        <v>0</v>
      </c>
      <c r="H12" s="602"/>
      <c r="I12" s="602">
        <v>0</v>
      </c>
      <c r="J12" s="603">
        <f t="shared" si="1"/>
        <v>0</v>
      </c>
      <c r="K12" s="602">
        <f t="shared" si="2"/>
        <v>0</v>
      </c>
      <c r="L12" s="604">
        <v>0.25</v>
      </c>
      <c r="M12" s="603">
        <f>K12*L12</f>
        <v>0</v>
      </c>
      <c r="N12" s="601">
        <f t="shared" si="3"/>
        <v>0</v>
      </c>
      <c r="O12" s="601">
        <f t="shared" si="4"/>
        <v>0</v>
      </c>
      <c r="P12" s="601">
        <f t="shared" si="5"/>
        <v>0</v>
      </c>
    </row>
    <row r="13" spans="1:16" ht="15">
      <c r="A13" s="599">
        <v>6</v>
      </c>
      <c r="B13" s="600" t="s">
        <v>607</v>
      </c>
      <c r="C13" s="606"/>
      <c r="D13" s="601"/>
      <c r="E13" s="602">
        <f>E135</f>
        <v>0</v>
      </c>
      <c r="F13" s="602">
        <f t="shared" si="0"/>
        <v>0</v>
      </c>
      <c r="G13" s="603">
        <v>0</v>
      </c>
      <c r="H13" s="602"/>
      <c r="I13" s="602"/>
      <c r="J13" s="603">
        <f t="shared" si="1"/>
        <v>0</v>
      </c>
      <c r="K13" s="602">
        <f t="shared" si="2"/>
        <v>0</v>
      </c>
      <c r="L13" s="604">
        <v>0.2</v>
      </c>
      <c r="M13" s="603">
        <f>K13*L13</f>
        <v>0</v>
      </c>
      <c r="N13" s="601">
        <f t="shared" si="3"/>
        <v>0</v>
      </c>
      <c r="O13" s="601">
        <f t="shared" si="4"/>
        <v>0</v>
      </c>
      <c r="P13" s="601">
        <f t="shared" si="5"/>
        <v>0</v>
      </c>
    </row>
    <row r="14" spans="1:16">
      <c r="A14" s="609"/>
      <c r="B14" s="610" t="s">
        <v>171</v>
      </c>
      <c r="C14" s="611">
        <f>SUM(C8:C13)</f>
        <v>0</v>
      </c>
      <c r="D14" s="611">
        <f>SUM(D7:D13)</f>
        <v>0</v>
      </c>
      <c r="E14" s="611">
        <f>SUM(E8:E13)</f>
        <v>0</v>
      </c>
      <c r="F14" s="611">
        <f>SUM(F8:F13)</f>
        <v>0</v>
      </c>
      <c r="G14" s="611">
        <f>SUM(G8:G13)</f>
        <v>0</v>
      </c>
      <c r="H14" s="611">
        <f>SUM(H8:H13)</f>
        <v>0</v>
      </c>
      <c r="I14" s="611">
        <f>SUM(I8:I13)</f>
        <v>0</v>
      </c>
      <c r="J14" s="611">
        <f t="shared" si="1"/>
        <v>0</v>
      </c>
      <c r="K14" s="611">
        <f>SUM(K8:K13)</f>
        <v>0</v>
      </c>
      <c r="L14" s="611"/>
      <c r="M14" s="611">
        <f>SUM(M8:M13)</f>
        <v>0</v>
      </c>
      <c r="N14" s="611">
        <f t="shared" si="3"/>
        <v>0</v>
      </c>
      <c r="O14" s="611">
        <f>SUM(O8:O13)</f>
        <v>0</v>
      </c>
      <c r="P14" s="611">
        <f>SUM(P8:P13)</f>
        <v>0</v>
      </c>
    </row>
    <row r="15" spans="1:16" ht="19.5" customHeight="1">
      <c r="J15" s="612"/>
    </row>
    <row r="16" spans="1:16">
      <c r="C16" s="612"/>
      <c r="I16" s="612"/>
      <c r="M16" s="612"/>
    </row>
    <row r="17" spans="4:14">
      <c r="K17" s="612"/>
    </row>
    <row r="18" spans="4:14">
      <c r="K18" s="612"/>
      <c r="N18" s="612"/>
    </row>
    <row r="19" spans="4:14">
      <c r="J19" s="607"/>
      <c r="K19" s="607"/>
    </row>
    <row r="20" spans="4:14">
      <c r="D20" s="612"/>
      <c r="J20" s="607"/>
      <c r="K20" s="607"/>
    </row>
    <row r="21" spans="4:14">
      <c r="J21" s="607"/>
      <c r="K21" s="607"/>
      <c r="M21" s="612"/>
    </row>
    <row r="22" spans="4:14">
      <c r="J22" s="607"/>
      <c r="K22" s="607"/>
    </row>
    <row r="23" spans="4:14">
      <c r="J23" s="607"/>
      <c r="K23" s="607"/>
    </row>
    <row r="24" spans="4:14">
      <c r="H24" s="829"/>
      <c r="I24" s="829"/>
      <c r="J24" s="613"/>
    </row>
    <row r="25" spans="4:14" ht="15">
      <c r="J25" s="614"/>
      <c r="L25" s="612"/>
    </row>
    <row r="26" spans="4:14">
      <c r="K26" s="612"/>
    </row>
    <row r="27" spans="4:14">
      <c r="K27" s="612"/>
    </row>
  </sheetData>
  <mergeCells count="3">
    <mergeCell ref="C5:F5"/>
    <mergeCell ref="G5:J5"/>
    <mergeCell ref="H24:I24"/>
  </mergeCells>
  <pageMargins left="0.17" right="0.31" top="0.39" bottom="0.75" header="0.3" footer="0.3"/>
  <pageSetup paperSize="9" scale="6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N76"/>
  <sheetViews>
    <sheetView topLeftCell="A16" zoomScaleNormal="100" workbookViewId="0">
      <selection activeCell="J47" sqref="J47"/>
    </sheetView>
  </sheetViews>
  <sheetFormatPr defaultRowHeight="12.75"/>
  <cols>
    <col min="1" max="1" width="2.85546875" style="298" customWidth="1"/>
    <col min="2" max="2" width="9.140625" style="298"/>
    <col min="3" max="3" width="11.28515625" style="298" customWidth="1"/>
    <col min="4" max="4" width="14.7109375" style="298" customWidth="1"/>
    <col min="5" max="6" width="3.85546875" style="298" customWidth="1"/>
    <col min="7" max="7" width="10.28515625" style="298" bestFit="1" customWidth="1"/>
    <col min="8" max="8" width="10" style="298" customWidth="1"/>
    <col min="9" max="9" width="12.5703125" style="506" customWidth="1"/>
    <col min="10" max="10" width="15.42578125" style="298" customWidth="1"/>
    <col min="11" max="11" width="15.5703125" style="298" hidden="1" customWidth="1"/>
    <col min="12" max="12" width="15" style="298" hidden="1" customWidth="1"/>
    <col min="13" max="13" width="9.140625" style="298"/>
    <col min="14" max="14" width="9.28515625" style="298" bestFit="1" customWidth="1"/>
    <col min="15" max="16" width="9.140625" style="298"/>
    <col min="17" max="18" width="10.28515625" style="298" bestFit="1" customWidth="1"/>
    <col min="19" max="16384" width="9.140625" style="298"/>
  </cols>
  <sheetData>
    <row r="2" spans="1:10" ht="15">
      <c r="A2" s="506"/>
      <c r="B2" s="620" t="s">
        <v>643</v>
      </c>
      <c r="D2" s="506"/>
      <c r="E2" s="506"/>
      <c r="F2" s="506"/>
      <c r="G2" s="506"/>
      <c r="H2" s="621" t="s">
        <v>221</v>
      </c>
    </row>
    <row r="3" spans="1:10">
      <c r="A3" s="587"/>
      <c r="B3" s="571" t="s">
        <v>642</v>
      </c>
      <c r="D3" s="587"/>
      <c r="E3" s="587"/>
      <c r="F3" s="587"/>
      <c r="G3" s="587"/>
      <c r="H3" s="587"/>
      <c r="I3" s="587"/>
      <c r="J3" s="622" t="s">
        <v>633</v>
      </c>
    </row>
    <row r="4" spans="1:10" ht="12.75" customHeight="1" thickBot="1">
      <c r="A4" s="736" t="s">
        <v>194</v>
      </c>
      <c r="B4" s="737"/>
      <c r="C4" s="737"/>
      <c r="D4" s="737"/>
      <c r="E4" s="737"/>
      <c r="F4" s="737"/>
      <c r="G4" s="737"/>
      <c r="H4" s="737"/>
      <c r="I4" s="737"/>
      <c r="J4" s="737"/>
    </row>
    <row r="5" spans="1:10" ht="22.5" customHeight="1" thickBot="1">
      <c r="A5" s="157"/>
      <c r="B5" s="857" t="s">
        <v>222</v>
      </c>
      <c r="C5" s="858"/>
      <c r="D5" s="858"/>
      <c r="E5" s="858"/>
      <c r="F5" s="859"/>
      <c r="G5" s="158" t="s">
        <v>196</v>
      </c>
      <c r="H5" s="158" t="s">
        <v>197</v>
      </c>
      <c r="I5" s="158" t="s">
        <v>634</v>
      </c>
      <c r="J5" s="623" t="s">
        <v>635</v>
      </c>
    </row>
    <row r="6" spans="1:10" ht="12.75" customHeight="1">
      <c r="A6" s="159">
        <v>1</v>
      </c>
      <c r="B6" s="860" t="s">
        <v>223</v>
      </c>
      <c r="C6" s="861"/>
      <c r="D6" s="861"/>
      <c r="E6" s="861"/>
      <c r="F6" s="757"/>
      <c r="G6" s="160">
        <v>60</v>
      </c>
      <c r="H6" s="160">
        <v>12100</v>
      </c>
      <c r="I6" s="623">
        <f>I7+I8+I9</f>
        <v>0</v>
      </c>
      <c r="J6" s="623">
        <f>J7+J8+J9</f>
        <v>0</v>
      </c>
    </row>
    <row r="7" spans="1:10" ht="12.75" customHeight="1">
      <c r="A7" s="163" t="s">
        <v>224</v>
      </c>
      <c r="B7" s="839" t="s">
        <v>225</v>
      </c>
      <c r="C7" s="840"/>
      <c r="D7" s="840"/>
      <c r="E7" s="840"/>
      <c r="F7" s="841"/>
      <c r="G7" s="164" t="s">
        <v>227</v>
      </c>
      <c r="H7" s="164">
        <v>12101</v>
      </c>
      <c r="I7" s="624">
        <v>0</v>
      </c>
      <c r="J7" s="624"/>
    </row>
    <row r="8" spans="1:10" ht="12.75" customHeight="1">
      <c r="A8" s="163" t="s">
        <v>202</v>
      </c>
      <c r="B8" s="839" t="s">
        <v>228</v>
      </c>
      <c r="C8" s="840"/>
      <c r="D8" s="840"/>
      <c r="E8" s="840"/>
      <c r="F8" s="841"/>
      <c r="G8" s="164"/>
      <c r="H8" s="167">
        <v>12102</v>
      </c>
      <c r="I8" s="626"/>
      <c r="J8" s="625"/>
    </row>
    <row r="9" spans="1:10" ht="12.75" customHeight="1">
      <c r="A9" s="163" t="s">
        <v>204</v>
      </c>
      <c r="B9" s="839" t="s">
        <v>229</v>
      </c>
      <c r="C9" s="840"/>
      <c r="D9" s="840"/>
      <c r="E9" s="840"/>
      <c r="F9" s="841"/>
      <c r="G9" s="164" t="s">
        <v>230</v>
      </c>
      <c r="H9" s="164">
        <v>12103</v>
      </c>
      <c r="I9" s="657">
        <v>0</v>
      </c>
      <c r="J9" s="624"/>
    </row>
    <row r="10" spans="1:10" ht="12.75" customHeight="1">
      <c r="A10" s="163" t="s">
        <v>231</v>
      </c>
      <c r="B10" s="851" t="s">
        <v>232</v>
      </c>
      <c r="C10" s="852"/>
      <c r="D10" s="852"/>
      <c r="E10" s="852"/>
      <c r="F10" s="853"/>
      <c r="G10" s="164"/>
      <c r="H10" s="167">
        <v>12104</v>
      </c>
      <c r="I10" s="626"/>
      <c r="J10" s="625"/>
    </row>
    <row r="11" spans="1:10" ht="12.75" customHeight="1">
      <c r="A11" s="163" t="s">
        <v>233</v>
      </c>
      <c r="B11" s="839" t="s">
        <v>234</v>
      </c>
      <c r="C11" s="840"/>
      <c r="D11" s="840"/>
      <c r="E11" s="840"/>
      <c r="F11" s="841"/>
      <c r="G11" s="164" t="s">
        <v>235</v>
      </c>
      <c r="H11" s="167">
        <v>12105</v>
      </c>
      <c r="I11" s="626">
        <v>0</v>
      </c>
      <c r="J11" s="624"/>
    </row>
    <row r="12" spans="1:10" ht="12.75" customHeight="1">
      <c r="A12" s="168">
        <v>2</v>
      </c>
      <c r="B12" s="842" t="s">
        <v>236</v>
      </c>
      <c r="C12" s="843"/>
      <c r="D12" s="843"/>
      <c r="E12" s="843"/>
      <c r="F12" s="844"/>
      <c r="G12" s="169">
        <v>64</v>
      </c>
      <c r="H12" s="169">
        <v>12200</v>
      </c>
      <c r="I12" s="625">
        <f>I13+I14</f>
        <v>2748.9640000000004</v>
      </c>
      <c r="J12" s="625">
        <f>J13+J14</f>
        <v>2582.9780000000001</v>
      </c>
    </row>
    <row r="13" spans="1:10" ht="12.75" customHeight="1">
      <c r="A13" s="171" t="s">
        <v>237</v>
      </c>
      <c r="B13" s="842" t="s">
        <v>238</v>
      </c>
      <c r="C13" s="843"/>
      <c r="D13" s="843"/>
      <c r="E13" s="843"/>
      <c r="F13" s="844"/>
      <c r="G13" s="167">
        <v>641</v>
      </c>
      <c r="H13" s="167">
        <v>12201</v>
      </c>
      <c r="I13" s="624">
        <f>2562597/1000</f>
        <v>2562.5970000000002</v>
      </c>
      <c r="J13" s="624">
        <f>2403442/1000</f>
        <v>2403.442</v>
      </c>
    </row>
    <row r="14" spans="1:10" ht="12.75" customHeight="1">
      <c r="A14" s="171" t="s">
        <v>239</v>
      </c>
      <c r="B14" s="854" t="s">
        <v>240</v>
      </c>
      <c r="C14" s="855"/>
      <c r="D14" s="855"/>
      <c r="E14" s="855"/>
      <c r="F14" s="856"/>
      <c r="G14" s="167">
        <v>644</v>
      </c>
      <c r="H14" s="167">
        <v>12202</v>
      </c>
      <c r="I14" s="624">
        <f>186367/1000</f>
        <v>186.36699999999999</v>
      </c>
      <c r="J14" s="624">
        <f>179536/1000</f>
        <v>179.536</v>
      </c>
    </row>
    <row r="15" spans="1:10" ht="12.75" customHeight="1">
      <c r="A15" s="168">
        <v>3</v>
      </c>
      <c r="B15" s="842" t="s">
        <v>241</v>
      </c>
      <c r="C15" s="843"/>
      <c r="D15" s="843"/>
      <c r="E15" s="843"/>
      <c r="F15" s="844"/>
      <c r="G15" s="169">
        <v>68</v>
      </c>
      <c r="H15" s="169">
        <v>12300</v>
      </c>
      <c r="I15" s="625">
        <v>0</v>
      </c>
      <c r="J15" s="625">
        <v>0</v>
      </c>
    </row>
    <row r="16" spans="1:10" ht="12.75" customHeight="1">
      <c r="A16" s="168">
        <v>4</v>
      </c>
      <c r="B16" s="842" t="s">
        <v>242</v>
      </c>
      <c r="C16" s="843"/>
      <c r="D16" s="843"/>
      <c r="E16" s="843"/>
      <c r="F16" s="844"/>
      <c r="G16" s="169">
        <v>61</v>
      </c>
      <c r="H16" s="169">
        <v>12400</v>
      </c>
      <c r="I16" s="625">
        <f>I17+I18+I19+I20+I21+I22+I23+I25+I26+I27+I28+I31</f>
        <v>2797.9663599999999</v>
      </c>
      <c r="J16" s="625">
        <f>J17+J18+J19+J20+J21+J22+J23+J25+J26+J27+J28+J31</f>
        <v>2132.0411400000003</v>
      </c>
    </row>
    <row r="17" spans="1:12">
      <c r="A17" s="171" t="s">
        <v>13</v>
      </c>
      <c r="B17" s="830" t="s">
        <v>243</v>
      </c>
      <c r="C17" s="831"/>
      <c r="D17" s="831"/>
      <c r="E17" s="831"/>
      <c r="F17" s="832"/>
      <c r="G17" s="164"/>
      <c r="H17" s="164">
        <v>12401</v>
      </c>
      <c r="I17" s="625"/>
      <c r="J17" s="624"/>
    </row>
    <row r="18" spans="1:12">
      <c r="A18" s="171" t="s">
        <v>15</v>
      </c>
      <c r="B18" s="830" t="s">
        <v>244</v>
      </c>
      <c r="C18" s="831"/>
      <c r="D18" s="831"/>
      <c r="E18" s="831"/>
      <c r="F18" s="832"/>
      <c r="G18" s="174">
        <v>611</v>
      </c>
      <c r="H18" s="164">
        <v>12402</v>
      </c>
      <c r="I18" s="625">
        <v>20.5</v>
      </c>
      <c r="J18" s="18">
        <f>19966.67/1000</f>
        <v>19.966669999999997</v>
      </c>
    </row>
    <row r="19" spans="1:12">
      <c r="A19" s="171" t="s">
        <v>17</v>
      </c>
      <c r="B19" s="830" t="s">
        <v>245</v>
      </c>
      <c r="C19" s="831"/>
      <c r="D19" s="831"/>
      <c r="E19" s="831"/>
      <c r="F19" s="832"/>
      <c r="G19" s="164">
        <v>613</v>
      </c>
      <c r="H19" s="164">
        <v>12403</v>
      </c>
      <c r="I19" s="624">
        <f>218741.9/1000</f>
        <v>218.74189999999999</v>
      </c>
      <c r="J19" s="624">
        <f>217189/1000</f>
        <v>217.18899999999999</v>
      </c>
    </row>
    <row r="20" spans="1:12">
      <c r="A20" s="171" t="s">
        <v>55</v>
      </c>
      <c r="B20" s="830" t="s">
        <v>246</v>
      </c>
      <c r="C20" s="831"/>
      <c r="D20" s="831"/>
      <c r="E20" s="831"/>
      <c r="F20" s="832"/>
      <c r="G20" s="174">
        <v>615</v>
      </c>
      <c r="H20" s="164">
        <v>12404</v>
      </c>
      <c r="I20" s="625">
        <v>0</v>
      </c>
      <c r="J20" s="626"/>
    </row>
    <row r="21" spans="1:12">
      <c r="A21" s="171" t="s">
        <v>62</v>
      </c>
      <c r="B21" s="830" t="s">
        <v>247</v>
      </c>
      <c r="C21" s="831"/>
      <c r="D21" s="831"/>
      <c r="E21" s="831"/>
      <c r="F21" s="832"/>
      <c r="G21" s="174">
        <v>616</v>
      </c>
      <c r="H21" s="164">
        <v>12405</v>
      </c>
      <c r="I21" s="625"/>
      <c r="J21" s="624"/>
    </row>
    <row r="22" spans="1:12">
      <c r="A22" s="171" t="s">
        <v>248</v>
      </c>
      <c r="B22" s="830" t="s">
        <v>249</v>
      </c>
      <c r="C22" s="831"/>
      <c r="D22" s="831"/>
      <c r="E22" s="831"/>
      <c r="F22" s="832"/>
      <c r="G22" s="174">
        <v>617</v>
      </c>
      <c r="H22" s="164">
        <v>12406</v>
      </c>
      <c r="I22" s="625"/>
      <c r="J22" s="624"/>
    </row>
    <row r="23" spans="1:12" ht="12.75" customHeight="1">
      <c r="A23" s="171" t="s">
        <v>250</v>
      </c>
      <c r="B23" s="839" t="s">
        <v>251</v>
      </c>
      <c r="C23" s="840"/>
      <c r="D23" s="840"/>
      <c r="E23" s="840"/>
      <c r="F23" s="841"/>
      <c r="G23" s="174">
        <v>618</v>
      </c>
      <c r="H23" s="164">
        <v>12407</v>
      </c>
      <c r="I23" s="625"/>
      <c r="J23" s="624">
        <f>70833/1000</f>
        <v>70.832999999999998</v>
      </c>
    </row>
    <row r="24" spans="1:12" ht="12.75" customHeight="1">
      <c r="A24" s="171" t="s">
        <v>252</v>
      </c>
      <c r="B24" s="839" t="s">
        <v>253</v>
      </c>
      <c r="C24" s="840"/>
      <c r="D24" s="840"/>
      <c r="E24" s="840"/>
      <c r="F24" s="841"/>
      <c r="G24" s="174">
        <v>623</v>
      </c>
      <c r="H24" s="164">
        <v>12408</v>
      </c>
      <c r="I24" s="625"/>
      <c r="J24" s="624"/>
    </row>
    <row r="25" spans="1:12" ht="12.75" customHeight="1">
      <c r="A25" s="171" t="s">
        <v>254</v>
      </c>
      <c r="B25" s="839" t="s">
        <v>255</v>
      </c>
      <c r="C25" s="840"/>
      <c r="D25" s="840"/>
      <c r="E25" s="840"/>
      <c r="F25" s="841"/>
      <c r="G25" s="174">
        <v>624</v>
      </c>
      <c r="H25" s="164">
        <v>12409</v>
      </c>
      <c r="I25" s="624">
        <f>2224203.4/1000</f>
        <v>2224.2033999999999</v>
      </c>
      <c r="J25" s="624">
        <f>1528794.01/1000</f>
        <v>1528.7940100000001</v>
      </c>
    </row>
    <row r="26" spans="1:12" ht="12.75" customHeight="1">
      <c r="A26" s="171" t="s">
        <v>256</v>
      </c>
      <c r="B26" s="839" t="s">
        <v>257</v>
      </c>
      <c r="C26" s="840"/>
      <c r="D26" s="840"/>
      <c r="E26" s="840"/>
      <c r="F26" s="841"/>
      <c r="G26" s="174">
        <v>625</v>
      </c>
      <c r="H26" s="164">
        <v>12410</v>
      </c>
      <c r="I26" s="625"/>
      <c r="J26" s="624"/>
    </row>
    <row r="27" spans="1:12" ht="12.75" customHeight="1">
      <c r="A27" s="171" t="s">
        <v>258</v>
      </c>
      <c r="B27" s="839" t="s">
        <v>259</v>
      </c>
      <c r="C27" s="840"/>
      <c r="D27" s="840"/>
      <c r="E27" s="840"/>
      <c r="F27" s="841"/>
      <c r="G27" s="174">
        <v>626</v>
      </c>
      <c r="H27" s="164">
        <v>12411</v>
      </c>
      <c r="I27" s="624">
        <f>280328.63/1000</f>
        <v>280.32863000000003</v>
      </c>
      <c r="J27" s="624">
        <f>154764.66/1000</f>
        <v>154.76465999999999</v>
      </c>
    </row>
    <row r="28" spans="1:12" ht="12.75" customHeight="1">
      <c r="A28" s="176" t="s">
        <v>260</v>
      </c>
      <c r="B28" s="839" t="s">
        <v>261</v>
      </c>
      <c r="C28" s="840"/>
      <c r="D28" s="840"/>
      <c r="E28" s="840"/>
      <c r="F28" s="841"/>
      <c r="G28" s="174">
        <v>627</v>
      </c>
      <c r="H28" s="164">
        <v>12412</v>
      </c>
      <c r="I28" s="625"/>
      <c r="J28" s="624"/>
    </row>
    <row r="29" spans="1:12" ht="12.75" customHeight="1">
      <c r="A29" s="171"/>
      <c r="B29" s="848" t="s">
        <v>262</v>
      </c>
      <c r="C29" s="849"/>
      <c r="D29" s="849"/>
      <c r="E29" s="849"/>
      <c r="F29" s="850"/>
      <c r="G29" s="174">
        <v>6271</v>
      </c>
      <c r="H29" s="174">
        <v>124121</v>
      </c>
      <c r="I29" s="624"/>
      <c r="J29" s="624"/>
    </row>
    <row r="30" spans="1:12">
      <c r="A30" s="171"/>
      <c r="B30" s="848" t="s">
        <v>263</v>
      </c>
      <c r="C30" s="849"/>
      <c r="D30" s="849"/>
      <c r="E30" s="849"/>
      <c r="F30" s="850"/>
      <c r="G30" s="174">
        <v>6272</v>
      </c>
      <c r="H30" s="174">
        <v>124122</v>
      </c>
      <c r="I30" s="625"/>
      <c r="J30" s="624"/>
    </row>
    <row r="31" spans="1:12" ht="12.75" customHeight="1">
      <c r="A31" s="171" t="s">
        <v>264</v>
      </c>
      <c r="B31" s="839" t="s">
        <v>636</v>
      </c>
      <c r="C31" s="840"/>
      <c r="D31" s="840"/>
      <c r="E31" s="840"/>
      <c r="F31" s="841"/>
      <c r="G31" s="174">
        <v>628</v>
      </c>
      <c r="H31" s="174">
        <v>12413</v>
      </c>
      <c r="I31" s="624">
        <f>54192.43/1000</f>
        <v>54.192430000000002</v>
      </c>
      <c r="J31" s="624">
        <f>140493.8/1000</f>
        <v>140.49379999999999</v>
      </c>
    </row>
    <row r="32" spans="1:12" ht="12.75" customHeight="1">
      <c r="A32" s="168">
        <v>5</v>
      </c>
      <c r="B32" s="851" t="s">
        <v>266</v>
      </c>
      <c r="C32" s="852"/>
      <c r="D32" s="852"/>
      <c r="E32" s="852"/>
      <c r="F32" s="853"/>
      <c r="G32" s="165">
        <v>63</v>
      </c>
      <c r="H32" s="165">
        <v>12500</v>
      </c>
      <c r="I32" s="625">
        <f>I33+I35+I36</f>
        <v>22.12</v>
      </c>
      <c r="J32" s="625">
        <f>J33+J35+J36</f>
        <v>23.32</v>
      </c>
      <c r="K32" s="627"/>
      <c r="L32" s="627"/>
    </row>
    <row r="33" spans="1:14" ht="12.75" customHeight="1">
      <c r="A33" s="171" t="s">
        <v>13</v>
      </c>
      <c r="B33" s="839" t="s">
        <v>267</v>
      </c>
      <c r="C33" s="840"/>
      <c r="D33" s="840"/>
      <c r="E33" s="840"/>
      <c r="F33" s="841"/>
      <c r="G33" s="174">
        <v>632</v>
      </c>
      <c r="H33" s="174">
        <v>12501</v>
      </c>
      <c r="I33" s="624"/>
      <c r="J33" s="625"/>
    </row>
    <row r="34" spans="1:14">
      <c r="A34" s="171" t="s">
        <v>15</v>
      </c>
      <c r="B34" s="839" t="s">
        <v>268</v>
      </c>
      <c r="C34" s="840"/>
      <c r="D34" s="840"/>
      <c r="E34" s="840"/>
      <c r="F34" s="841"/>
      <c r="G34" s="174">
        <v>633</v>
      </c>
      <c r="H34" s="174">
        <v>12502</v>
      </c>
      <c r="I34" s="625"/>
      <c r="J34" s="625"/>
    </row>
    <row r="35" spans="1:14" ht="12.75" customHeight="1">
      <c r="A35" s="171" t="s">
        <v>17</v>
      </c>
      <c r="B35" s="839" t="s">
        <v>269</v>
      </c>
      <c r="C35" s="840"/>
      <c r="D35" s="840"/>
      <c r="E35" s="840"/>
      <c r="F35" s="841"/>
      <c r="G35" s="174">
        <v>634</v>
      </c>
      <c r="H35" s="174">
        <v>12503</v>
      </c>
      <c r="I35" s="624">
        <v>22.12</v>
      </c>
      <c r="J35" s="624">
        <f>22120/1000</f>
        <v>22.12</v>
      </c>
    </row>
    <row r="36" spans="1:14" ht="12.75" customHeight="1">
      <c r="A36" s="171" t="s">
        <v>55</v>
      </c>
      <c r="B36" s="839" t="s">
        <v>270</v>
      </c>
      <c r="C36" s="840"/>
      <c r="D36" s="840"/>
      <c r="E36" s="840"/>
      <c r="F36" s="841"/>
      <c r="G36" s="174" t="s">
        <v>271</v>
      </c>
      <c r="H36" s="174">
        <v>12504</v>
      </c>
      <c r="I36" s="624"/>
      <c r="J36" s="625">
        <v>1.2</v>
      </c>
    </row>
    <row r="37" spans="1:14" ht="12.75" customHeight="1">
      <c r="A37" s="168" t="s">
        <v>272</v>
      </c>
      <c r="B37" s="842" t="s">
        <v>273</v>
      </c>
      <c r="C37" s="843"/>
      <c r="D37" s="843"/>
      <c r="E37" s="843"/>
      <c r="F37" s="844"/>
      <c r="G37" s="174"/>
      <c r="H37" s="174">
        <v>12600</v>
      </c>
      <c r="I37" s="625">
        <f>I6+I12+I15+I16+I32</f>
        <v>5569.0503600000002</v>
      </c>
      <c r="J37" s="625">
        <f>J6+J12+J15+J16+J32</f>
        <v>4738.33914</v>
      </c>
      <c r="K37" s="298">
        <v>653</v>
      </c>
      <c r="L37" s="18">
        <f>'[4]PASH 2013'!D67</f>
        <v>2187434.65</v>
      </c>
    </row>
    <row r="38" spans="1:14">
      <c r="A38" s="628"/>
      <c r="B38" s="629" t="s">
        <v>274</v>
      </c>
      <c r="C38" s="630"/>
      <c r="D38" s="630"/>
      <c r="E38" s="630"/>
      <c r="F38" s="630"/>
      <c r="G38" s="630"/>
      <c r="H38" s="630"/>
      <c r="I38" s="625" t="s">
        <v>634</v>
      </c>
      <c r="J38" s="181" t="s">
        <v>635</v>
      </c>
      <c r="K38" s="298">
        <v>652</v>
      </c>
      <c r="L38" s="18">
        <f>'[4]PASH 2013'!D66</f>
        <v>110319687</v>
      </c>
    </row>
    <row r="39" spans="1:14">
      <c r="A39" s="183">
        <v>1</v>
      </c>
      <c r="B39" s="845" t="s">
        <v>275</v>
      </c>
      <c r="C39" s="846"/>
      <c r="D39" s="846"/>
      <c r="E39" s="846"/>
      <c r="F39" s="847"/>
      <c r="G39" s="165"/>
      <c r="H39" s="165">
        <v>14000</v>
      </c>
      <c r="I39" s="624">
        <v>1</v>
      </c>
      <c r="J39" s="625">
        <v>1</v>
      </c>
      <c r="K39" s="298">
        <v>654</v>
      </c>
      <c r="L39" s="18">
        <f>'[4]PASH 2013'!D68</f>
        <v>544600</v>
      </c>
    </row>
    <row r="40" spans="1:14">
      <c r="A40" s="183">
        <v>2</v>
      </c>
      <c r="B40" s="845" t="s">
        <v>276</v>
      </c>
      <c r="C40" s="846"/>
      <c r="D40" s="846"/>
      <c r="E40" s="846"/>
      <c r="F40" s="847"/>
      <c r="G40" s="165"/>
      <c r="H40" s="165">
        <v>15000</v>
      </c>
      <c r="I40" s="625"/>
      <c r="J40" s="625"/>
      <c r="K40" s="298">
        <v>657</v>
      </c>
      <c r="L40" s="18">
        <f>'[4]PASH 2013'!D69</f>
        <v>2149586</v>
      </c>
    </row>
    <row r="41" spans="1:14">
      <c r="A41" s="631" t="s">
        <v>13</v>
      </c>
      <c r="B41" s="830" t="s">
        <v>277</v>
      </c>
      <c r="C41" s="831"/>
      <c r="D41" s="831"/>
      <c r="E41" s="831"/>
      <c r="F41" s="832"/>
      <c r="G41" s="165"/>
      <c r="H41" s="174">
        <v>15001</v>
      </c>
      <c r="I41" s="624"/>
      <c r="J41" s="625"/>
      <c r="K41" s="298">
        <v>658</v>
      </c>
      <c r="L41" s="18">
        <f>'[4]PASH 2013'!D70</f>
        <v>47158</v>
      </c>
    </row>
    <row r="42" spans="1:14">
      <c r="A42" s="631"/>
      <c r="B42" s="833" t="s">
        <v>278</v>
      </c>
      <c r="C42" s="834"/>
      <c r="D42" s="834"/>
      <c r="E42" s="834"/>
      <c r="F42" s="835"/>
      <c r="G42" s="165"/>
      <c r="H42" s="174">
        <v>150011</v>
      </c>
      <c r="I42" s="625"/>
      <c r="J42" s="624">
        <v>0</v>
      </c>
      <c r="K42" s="298">
        <v>667</v>
      </c>
      <c r="L42" s="18">
        <f>'[4]PASH 2013'!D71</f>
        <v>2471888.88</v>
      </c>
    </row>
    <row r="43" spans="1:14">
      <c r="A43" s="185" t="s">
        <v>15</v>
      </c>
      <c r="B43" s="830" t="s">
        <v>279</v>
      </c>
      <c r="C43" s="831"/>
      <c r="D43" s="831"/>
      <c r="E43" s="831"/>
      <c r="F43" s="832"/>
      <c r="G43" s="165"/>
      <c r="H43" s="174">
        <v>15002</v>
      </c>
      <c r="I43" s="624"/>
      <c r="J43" s="625"/>
      <c r="K43" s="298">
        <v>669</v>
      </c>
      <c r="L43" s="18">
        <f>'[4]PASH 2013'!D72</f>
        <v>463207.13</v>
      </c>
      <c r="N43" s="658"/>
    </row>
    <row r="44" spans="1:14" ht="13.5" thickBot="1">
      <c r="A44" s="186"/>
      <c r="B44" s="836" t="s">
        <v>280</v>
      </c>
      <c r="C44" s="837"/>
      <c r="D44" s="837"/>
      <c r="E44" s="837"/>
      <c r="F44" s="838"/>
      <c r="G44" s="187"/>
      <c r="H44" s="188">
        <v>150021</v>
      </c>
      <c r="I44" s="632">
        <v>0</v>
      </c>
      <c r="J44" s="632"/>
      <c r="L44" s="506">
        <f>SUM(L37:L43)</f>
        <v>118183561.66</v>
      </c>
    </row>
    <row r="45" spans="1:14">
      <c r="L45" s="295">
        <f>L44/1000</f>
        <v>118183.56165999999</v>
      </c>
    </row>
    <row r="46" spans="1:14">
      <c r="J46" s="621" t="s">
        <v>637</v>
      </c>
    </row>
    <row r="47" spans="1:14">
      <c r="J47" s="298" t="s">
        <v>648</v>
      </c>
    </row>
    <row r="48" spans="1:14">
      <c r="I48" s="674"/>
      <c r="L48" s="627"/>
    </row>
    <row r="49" spans="2:12">
      <c r="L49" s="627"/>
    </row>
    <row r="50" spans="2:12">
      <c r="B50" s="506"/>
      <c r="C50" s="621">
        <v>2012</v>
      </c>
      <c r="E50"/>
      <c r="F50" s="227"/>
      <c r="G50" s="291">
        <v>2013</v>
      </c>
      <c r="L50" s="627"/>
    </row>
    <row r="51" spans="2:12">
      <c r="B51" s="263">
        <v>608</v>
      </c>
      <c r="C51" s="272">
        <v>1215</v>
      </c>
      <c r="E51">
        <v>713</v>
      </c>
      <c r="F51" s="227"/>
      <c r="G51" s="263"/>
    </row>
    <row r="52" spans="2:12">
      <c r="B52">
        <v>611</v>
      </c>
      <c r="C52" s="18">
        <v>19966.669999999998</v>
      </c>
      <c r="E52">
        <v>766</v>
      </c>
      <c r="F52" s="18"/>
      <c r="G52" s="272">
        <v>313527.31</v>
      </c>
    </row>
    <row r="53" spans="2:12">
      <c r="B53">
        <v>613</v>
      </c>
      <c r="C53" s="18">
        <v>217189</v>
      </c>
      <c r="E53">
        <v>767</v>
      </c>
      <c r="F53" s="18"/>
      <c r="G53" s="272">
        <v>14611.01</v>
      </c>
    </row>
    <row r="54" spans="2:12">
      <c r="B54">
        <v>618</v>
      </c>
      <c r="C54" s="18">
        <v>70833</v>
      </c>
      <c r="E54"/>
      <c r="F54" s="18"/>
      <c r="G54" s="103">
        <f>SUM(G51:G53)</f>
        <v>328138.32</v>
      </c>
    </row>
    <row r="55" spans="2:12">
      <c r="B55">
        <v>619</v>
      </c>
      <c r="C55" s="18"/>
      <c r="E55"/>
      <c r="F55" s="18"/>
      <c r="G55" s="272"/>
    </row>
    <row r="56" spans="2:12">
      <c r="B56">
        <v>623</v>
      </c>
      <c r="C56" s="18"/>
      <c r="E56">
        <v>608</v>
      </c>
      <c r="F56" s="18"/>
      <c r="G56" s="272">
        <v>0</v>
      </c>
    </row>
    <row r="57" spans="2:12">
      <c r="B57">
        <v>624</v>
      </c>
      <c r="C57" s="18">
        <v>1528794.01</v>
      </c>
      <c r="E57">
        <v>611</v>
      </c>
      <c r="F57" s="18"/>
      <c r="G57" s="272">
        <v>20500</v>
      </c>
    </row>
    <row r="58" spans="2:12">
      <c r="B58">
        <v>626</v>
      </c>
      <c r="C58" s="18">
        <v>154764.66</v>
      </c>
      <c r="E58">
        <v>613</v>
      </c>
      <c r="F58" s="18"/>
      <c r="G58" s="223">
        <v>218741.9</v>
      </c>
    </row>
    <row r="59" spans="2:12">
      <c r="B59">
        <v>628</v>
      </c>
      <c r="C59" s="18">
        <v>140493.79999999999</v>
      </c>
      <c r="E59">
        <v>618</v>
      </c>
      <c r="F59" s="18"/>
      <c r="G59" s="272">
        <v>0</v>
      </c>
    </row>
    <row r="60" spans="2:12">
      <c r="B60">
        <v>634</v>
      </c>
      <c r="C60" s="18">
        <v>22120</v>
      </c>
      <c r="E60">
        <v>619</v>
      </c>
      <c r="F60" s="18"/>
      <c r="G60" s="272"/>
    </row>
    <row r="61" spans="2:12">
      <c r="B61">
        <v>638</v>
      </c>
      <c r="C61" s="18">
        <v>1200</v>
      </c>
      <c r="E61">
        <v>623</v>
      </c>
      <c r="F61" s="18"/>
      <c r="G61" s="272"/>
    </row>
    <row r="62" spans="2:12">
      <c r="B62">
        <v>641</v>
      </c>
      <c r="C62" s="18">
        <v>2403442</v>
      </c>
      <c r="E62">
        <v>624</v>
      </c>
      <c r="F62" s="18"/>
      <c r="G62" s="272">
        <v>2224203.4</v>
      </c>
    </row>
    <row r="63" spans="2:12">
      <c r="B63">
        <v>644</v>
      </c>
      <c r="C63" s="18">
        <v>179536</v>
      </c>
      <c r="D63" s="299">
        <f>SUM(C52:C63)</f>
        <v>4738339.1399999997</v>
      </c>
      <c r="E63">
        <v>626</v>
      </c>
      <c r="F63" s="18"/>
      <c r="G63" s="272">
        <v>280328.63</v>
      </c>
    </row>
    <row r="64" spans="2:12">
      <c r="B64">
        <v>654</v>
      </c>
      <c r="C64" s="18">
        <v>2500</v>
      </c>
      <c r="E64">
        <v>628</v>
      </c>
      <c r="F64" s="18"/>
      <c r="G64" s="272">
        <v>54192.43</v>
      </c>
    </row>
    <row r="65" spans="2:7">
      <c r="B65">
        <v>655</v>
      </c>
      <c r="C65" s="18"/>
      <c r="E65">
        <v>634</v>
      </c>
      <c r="F65" s="18"/>
      <c r="G65" s="272">
        <v>22120</v>
      </c>
    </row>
    <row r="66" spans="2:7">
      <c r="B66">
        <v>657</v>
      </c>
      <c r="C66" s="18">
        <v>54453.95</v>
      </c>
      <c r="E66">
        <v>638</v>
      </c>
      <c r="F66" s="18"/>
      <c r="G66" s="272"/>
    </row>
    <row r="67" spans="2:7">
      <c r="B67">
        <v>658</v>
      </c>
      <c r="C67" s="18">
        <v>0</v>
      </c>
      <c r="E67">
        <v>641</v>
      </c>
      <c r="F67" s="18"/>
      <c r="G67" s="223">
        <v>2562597</v>
      </c>
    </row>
    <row r="68" spans="2:7">
      <c r="B68">
        <v>666</v>
      </c>
      <c r="C68" s="18"/>
      <c r="E68">
        <v>644</v>
      </c>
      <c r="F68" s="18"/>
      <c r="G68" s="223">
        <v>186367</v>
      </c>
    </row>
    <row r="69" spans="2:7">
      <c r="B69">
        <v>667</v>
      </c>
      <c r="C69" s="18"/>
      <c r="E69">
        <v>654</v>
      </c>
      <c r="F69" s="18"/>
      <c r="G69" s="272">
        <v>316300</v>
      </c>
    </row>
    <row r="70" spans="2:7">
      <c r="B70">
        <v>669</v>
      </c>
      <c r="C70" s="18">
        <v>1740473.96</v>
      </c>
      <c r="E70">
        <v>655</v>
      </c>
      <c r="F70" s="18"/>
      <c r="G70" s="272">
        <v>68792</v>
      </c>
    </row>
    <row r="71" spans="2:7">
      <c r="E71">
        <v>657</v>
      </c>
      <c r="F71" s="18"/>
      <c r="G71" s="272">
        <v>39859.67</v>
      </c>
    </row>
    <row r="72" spans="2:7">
      <c r="C72" s="299">
        <f>+SUM(C51:C70)</f>
        <v>6536982.0499999998</v>
      </c>
      <c r="E72">
        <v>658</v>
      </c>
      <c r="F72" s="18"/>
      <c r="G72" s="272">
        <v>12596.7</v>
      </c>
    </row>
    <row r="73" spans="2:7">
      <c r="E73">
        <v>666</v>
      </c>
      <c r="F73" s="18"/>
      <c r="G73" s="272"/>
    </row>
    <row r="74" spans="2:7">
      <c r="E74">
        <v>667</v>
      </c>
      <c r="F74" s="18"/>
      <c r="G74" s="272"/>
    </row>
    <row r="75" spans="2:7">
      <c r="E75">
        <v>669</v>
      </c>
      <c r="F75" s="18"/>
      <c r="G75" s="272">
        <v>2478711.11</v>
      </c>
    </row>
    <row r="76" spans="2:7">
      <c r="E76"/>
      <c r="F76" s="18"/>
      <c r="G76" s="103">
        <f>SUM(G56:G75)</f>
        <v>8485309.8399999999</v>
      </c>
    </row>
  </sheetData>
  <mergeCells count="40">
    <mergeCell ref="A4:J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41:F41"/>
    <mergeCell ref="B42:F42"/>
    <mergeCell ref="B43:F43"/>
    <mergeCell ref="B44:F44"/>
    <mergeCell ref="B34:F34"/>
    <mergeCell ref="B35:F35"/>
    <mergeCell ref="B36:F36"/>
    <mergeCell ref="B37:F37"/>
    <mergeCell ref="B39:F39"/>
    <mergeCell ref="B40:F40"/>
  </mergeCells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60"/>
  <sheetViews>
    <sheetView topLeftCell="A28" zoomScaleNormal="100" workbookViewId="0">
      <selection activeCell="J63" sqref="J63:J64"/>
    </sheetView>
  </sheetViews>
  <sheetFormatPr defaultRowHeight="12.75"/>
  <cols>
    <col min="1" max="1" width="3.7109375" style="298" customWidth="1"/>
    <col min="2" max="2" width="10.85546875" style="298" customWidth="1"/>
    <col min="3" max="3" width="33.85546875" style="298" customWidth="1"/>
    <col min="4" max="4" width="23.85546875" style="298" customWidth="1"/>
    <col min="5" max="16384" width="9.140625" style="298"/>
  </cols>
  <sheetData>
    <row r="2" spans="1:10" ht="15">
      <c r="A2" s="506"/>
      <c r="B2" s="620" t="s">
        <v>641</v>
      </c>
      <c r="D2" s="506"/>
      <c r="E2" s="506"/>
      <c r="F2" s="506"/>
      <c r="G2" s="506"/>
      <c r="H2" s="621" t="s">
        <v>221</v>
      </c>
      <c r="I2" s="506"/>
    </row>
    <row r="3" spans="1:10">
      <c r="A3" s="587"/>
      <c r="B3" s="571" t="s">
        <v>642</v>
      </c>
      <c r="D3" s="587"/>
      <c r="E3" s="587"/>
      <c r="F3" s="587"/>
      <c r="G3" s="587"/>
      <c r="H3" s="587"/>
      <c r="I3" s="587"/>
      <c r="J3" s="622" t="s">
        <v>633</v>
      </c>
    </row>
    <row r="4" spans="1:10">
      <c r="B4" s="571"/>
      <c r="D4" s="621" t="s">
        <v>281</v>
      </c>
    </row>
    <row r="5" spans="1:10">
      <c r="D5" s="621" t="s">
        <v>638</v>
      </c>
    </row>
    <row r="6" spans="1:10">
      <c r="A6" s="633"/>
      <c r="B6" s="633"/>
      <c r="C6" s="578" t="s">
        <v>282</v>
      </c>
      <c r="D6" s="578" t="s">
        <v>283</v>
      </c>
    </row>
    <row r="7" spans="1:10">
      <c r="A7" s="633">
        <v>1</v>
      </c>
      <c r="B7" s="578" t="s">
        <v>284</v>
      </c>
      <c r="C7" s="579" t="s">
        <v>285</v>
      </c>
      <c r="D7" s="579"/>
    </row>
    <row r="8" spans="1:10">
      <c r="A8" s="633">
        <v>2</v>
      </c>
      <c r="B8" s="578" t="s">
        <v>284</v>
      </c>
      <c r="C8" s="579" t="s">
        <v>286</v>
      </c>
      <c r="D8" s="633"/>
    </row>
    <row r="9" spans="1:10">
      <c r="A9" s="633">
        <v>3</v>
      </c>
      <c r="B9" s="578" t="s">
        <v>284</v>
      </c>
      <c r="C9" s="579" t="s">
        <v>287</v>
      </c>
      <c r="D9" s="633"/>
    </row>
    <row r="10" spans="1:10">
      <c r="A10" s="633">
        <v>4</v>
      </c>
      <c r="B10" s="578" t="s">
        <v>284</v>
      </c>
      <c r="C10" s="579" t="s">
        <v>288</v>
      </c>
      <c r="D10" s="633"/>
    </row>
    <row r="11" spans="1:10">
      <c r="A11" s="633">
        <v>5</v>
      </c>
      <c r="B11" s="578" t="s">
        <v>284</v>
      </c>
      <c r="C11" s="579" t="s">
        <v>289</v>
      </c>
      <c r="D11" s="633"/>
    </row>
    <row r="12" spans="1:10">
      <c r="A12" s="633">
        <v>6</v>
      </c>
      <c r="B12" s="578" t="s">
        <v>284</v>
      </c>
      <c r="C12" s="579" t="s">
        <v>290</v>
      </c>
      <c r="D12" s="633"/>
    </row>
    <row r="13" spans="1:10">
      <c r="A13" s="633">
        <v>7</v>
      </c>
      <c r="B13" s="578" t="s">
        <v>284</v>
      </c>
      <c r="C13" s="579" t="s">
        <v>291</v>
      </c>
      <c r="D13" s="633"/>
    </row>
    <row r="14" spans="1:10">
      <c r="A14" s="633">
        <v>8</v>
      </c>
      <c r="B14" s="578" t="s">
        <v>284</v>
      </c>
      <c r="C14" s="579" t="s">
        <v>292</v>
      </c>
      <c r="D14" s="633"/>
    </row>
    <row r="15" spans="1:10">
      <c r="A15" s="578" t="s">
        <v>44</v>
      </c>
      <c r="B15" s="578"/>
      <c r="C15" s="578" t="s">
        <v>293</v>
      </c>
      <c r="D15" s="578"/>
    </row>
    <row r="16" spans="1:10">
      <c r="A16" s="633">
        <v>9</v>
      </c>
      <c r="B16" s="578" t="s">
        <v>294</v>
      </c>
      <c r="C16" s="579" t="s">
        <v>295</v>
      </c>
      <c r="D16" s="633"/>
    </row>
    <row r="17" spans="1:4">
      <c r="A17" s="633">
        <v>10</v>
      </c>
      <c r="B17" s="578" t="s">
        <v>294</v>
      </c>
      <c r="C17" s="579" t="s">
        <v>296</v>
      </c>
      <c r="D17" s="579"/>
    </row>
    <row r="18" spans="1:4">
      <c r="A18" s="633">
        <v>11</v>
      </c>
      <c r="B18" s="578" t="s">
        <v>294</v>
      </c>
      <c r="C18" s="579" t="s">
        <v>297</v>
      </c>
      <c r="D18" s="633"/>
    </row>
    <row r="19" spans="1:4">
      <c r="A19" s="578" t="s">
        <v>67</v>
      </c>
      <c r="B19" s="578"/>
      <c r="C19" s="578" t="s">
        <v>298</v>
      </c>
      <c r="D19" s="578"/>
    </row>
    <row r="20" spans="1:4">
      <c r="A20" s="633">
        <v>12</v>
      </c>
      <c r="B20" s="578" t="s">
        <v>299</v>
      </c>
      <c r="C20" s="579" t="s">
        <v>300</v>
      </c>
      <c r="D20" s="633"/>
    </row>
    <row r="21" spans="1:4">
      <c r="A21" s="633">
        <v>13</v>
      </c>
      <c r="B21" s="578" t="s">
        <v>299</v>
      </c>
      <c r="C21" s="579" t="s">
        <v>301</v>
      </c>
      <c r="D21" s="633"/>
    </row>
    <row r="22" spans="1:4">
      <c r="A22" s="633">
        <v>14</v>
      </c>
      <c r="B22" s="578" t="s">
        <v>299</v>
      </c>
      <c r="C22" s="579" t="s">
        <v>302</v>
      </c>
      <c r="D22" s="633"/>
    </row>
    <row r="23" spans="1:4">
      <c r="A23" s="633">
        <v>15</v>
      </c>
      <c r="B23" s="578" t="s">
        <v>299</v>
      </c>
      <c r="C23" s="579" t="s">
        <v>303</v>
      </c>
      <c r="D23" s="633"/>
    </row>
    <row r="24" spans="1:4">
      <c r="A24" s="633">
        <v>16</v>
      </c>
      <c r="B24" s="578" t="s">
        <v>299</v>
      </c>
      <c r="C24" s="579" t="s">
        <v>304</v>
      </c>
      <c r="D24" s="633"/>
    </row>
    <row r="25" spans="1:4">
      <c r="A25" s="633">
        <v>17</v>
      </c>
      <c r="B25" s="578" t="s">
        <v>299</v>
      </c>
      <c r="C25" s="579" t="s">
        <v>305</v>
      </c>
      <c r="D25" s="633"/>
    </row>
    <row r="26" spans="1:4">
      <c r="A26" s="633">
        <v>18</v>
      </c>
      <c r="B26" s="578" t="s">
        <v>299</v>
      </c>
      <c r="C26" s="579" t="s">
        <v>306</v>
      </c>
      <c r="D26" s="633"/>
    </row>
    <row r="27" spans="1:4">
      <c r="A27" s="633">
        <v>19</v>
      </c>
      <c r="B27" s="578" t="s">
        <v>299</v>
      </c>
      <c r="C27" s="579" t="s">
        <v>307</v>
      </c>
      <c r="D27" s="633"/>
    </row>
    <row r="28" spans="1:4">
      <c r="A28" s="578" t="s">
        <v>114</v>
      </c>
      <c r="B28" s="578"/>
      <c r="C28" s="578" t="s">
        <v>308</v>
      </c>
      <c r="D28" s="633"/>
    </row>
    <row r="29" spans="1:4">
      <c r="A29" s="633">
        <v>20</v>
      </c>
      <c r="B29" s="578" t="s">
        <v>309</v>
      </c>
      <c r="C29" s="579" t="s">
        <v>310</v>
      </c>
      <c r="D29" s="633"/>
    </row>
    <row r="30" spans="1:4">
      <c r="A30" s="633">
        <v>21</v>
      </c>
      <c r="B30" s="578" t="s">
        <v>309</v>
      </c>
      <c r="C30" s="579" t="s">
        <v>311</v>
      </c>
      <c r="D30" s="579"/>
    </row>
    <row r="31" spans="1:4">
      <c r="A31" s="633">
        <v>22</v>
      </c>
      <c r="B31" s="578" t="s">
        <v>309</v>
      </c>
      <c r="C31" s="579" t="s">
        <v>312</v>
      </c>
      <c r="D31" s="579"/>
    </row>
    <row r="32" spans="1:4">
      <c r="A32" s="633">
        <v>23</v>
      </c>
      <c r="B32" s="578" t="s">
        <v>309</v>
      </c>
      <c r="C32" s="579" t="s">
        <v>313</v>
      </c>
      <c r="D32" s="633"/>
    </row>
    <row r="33" spans="1:4">
      <c r="A33" s="578" t="s">
        <v>314</v>
      </c>
      <c r="B33" s="578"/>
      <c r="C33" s="578" t="s">
        <v>315</v>
      </c>
      <c r="D33" s="633"/>
    </row>
    <row r="34" spans="1:4">
      <c r="A34" s="633">
        <v>24</v>
      </c>
      <c r="B34" s="578" t="s">
        <v>316</v>
      </c>
      <c r="C34" s="579" t="s">
        <v>317</v>
      </c>
      <c r="D34" s="633"/>
    </row>
    <row r="35" spans="1:4">
      <c r="A35" s="633">
        <v>25</v>
      </c>
      <c r="B35" s="578" t="s">
        <v>316</v>
      </c>
      <c r="C35" s="579" t="s">
        <v>318</v>
      </c>
      <c r="D35" s="633"/>
    </row>
    <row r="36" spans="1:4">
      <c r="A36" s="633">
        <v>26</v>
      </c>
      <c r="B36" s="578" t="s">
        <v>316</v>
      </c>
      <c r="C36" s="579" t="s">
        <v>319</v>
      </c>
      <c r="D36" s="633"/>
    </row>
    <row r="37" spans="1:4">
      <c r="A37" s="633">
        <v>27</v>
      </c>
      <c r="B37" s="578" t="s">
        <v>316</v>
      </c>
      <c r="C37" s="579" t="s">
        <v>320</v>
      </c>
      <c r="D37" s="633"/>
    </row>
    <row r="38" spans="1:4">
      <c r="A38" s="633">
        <v>28</v>
      </c>
      <c r="B38" s="578" t="s">
        <v>316</v>
      </c>
      <c r="C38" s="579" t="s">
        <v>321</v>
      </c>
      <c r="D38" s="579"/>
    </row>
    <row r="39" spans="1:4">
      <c r="A39" s="633">
        <v>29</v>
      </c>
      <c r="B39" s="578" t="s">
        <v>316</v>
      </c>
      <c r="C39" s="634" t="s">
        <v>322</v>
      </c>
      <c r="D39" s="633"/>
    </row>
    <row r="40" spans="1:4">
      <c r="A40" s="633">
        <v>30</v>
      </c>
      <c r="B40" s="578" t="s">
        <v>316</v>
      </c>
      <c r="C40" s="579" t="s">
        <v>323</v>
      </c>
      <c r="D40" s="633"/>
    </row>
    <row r="41" spans="1:4">
      <c r="A41" s="633">
        <v>31</v>
      </c>
      <c r="B41" s="578" t="s">
        <v>316</v>
      </c>
      <c r="C41" s="579" t="s">
        <v>324</v>
      </c>
      <c r="D41" s="633"/>
    </row>
    <row r="42" spans="1:4">
      <c r="A42" s="633">
        <v>32</v>
      </c>
      <c r="B42" s="578" t="s">
        <v>316</v>
      </c>
      <c r="C42" s="579" t="s">
        <v>325</v>
      </c>
      <c r="D42" s="633"/>
    </row>
    <row r="43" spans="1:4">
      <c r="A43" s="633">
        <v>33</v>
      </c>
      <c r="B43" s="578" t="s">
        <v>316</v>
      </c>
      <c r="C43" s="579" t="s">
        <v>326</v>
      </c>
      <c r="D43" s="633"/>
    </row>
    <row r="44" spans="1:4">
      <c r="A44" s="635">
        <v>34</v>
      </c>
      <c r="B44" s="578" t="s">
        <v>316</v>
      </c>
      <c r="C44" s="579" t="s">
        <v>327</v>
      </c>
      <c r="D44" s="636"/>
    </row>
    <row r="45" spans="1:4">
      <c r="A45" s="578" t="s">
        <v>328</v>
      </c>
      <c r="B45" s="633"/>
      <c r="C45" s="578" t="s">
        <v>329</v>
      </c>
      <c r="D45" s="615">
        <f>SUM(D44)</f>
        <v>0</v>
      </c>
    </row>
    <row r="46" spans="1:4">
      <c r="A46" s="633"/>
      <c r="B46" s="633"/>
      <c r="C46" s="578" t="s">
        <v>330</v>
      </c>
      <c r="D46" s="615">
        <f>SUM(D45)</f>
        <v>0</v>
      </c>
    </row>
    <row r="49" spans="2:4">
      <c r="B49" s="637" t="s">
        <v>639</v>
      </c>
      <c r="C49" s="638"/>
      <c r="D49" s="578" t="s">
        <v>331</v>
      </c>
    </row>
    <row r="50" spans="2:4">
      <c r="B50" s="639"/>
      <c r="C50" s="640"/>
      <c r="D50" s="640"/>
    </row>
    <row r="51" spans="2:4">
      <c r="B51" s="641" t="s">
        <v>332</v>
      </c>
      <c r="C51" s="641"/>
      <c r="D51" s="633"/>
    </row>
    <row r="52" spans="2:4">
      <c r="B52" s="633" t="s">
        <v>333</v>
      </c>
      <c r="C52" s="633"/>
      <c r="D52" s="633"/>
    </row>
    <row r="53" spans="2:4">
      <c r="B53" s="633" t="s">
        <v>334</v>
      </c>
      <c r="C53" s="633"/>
      <c r="D53" s="633"/>
    </row>
    <row r="54" spans="2:4">
      <c r="B54" s="633" t="s">
        <v>335</v>
      </c>
      <c r="C54" s="633"/>
      <c r="D54" s="633">
        <v>1</v>
      </c>
    </row>
    <row r="55" spans="2:4">
      <c r="B55" s="580" t="s">
        <v>336</v>
      </c>
      <c r="C55" s="638"/>
      <c r="D55" s="633"/>
    </row>
    <row r="56" spans="2:4">
      <c r="B56" s="642"/>
      <c r="C56" s="643" t="s">
        <v>50</v>
      </c>
      <c r="D56" s="643"/>
    </row>
    <row r="58" spans="2:4">
      <c r="D58" s="621" t="s">
        <v>220</v>
      </c>
    </row>
    <row r="59" spans="2:4">
      <c r="D59" s="298" t="s">
        <v>649</v>
      </c>
    </row>
    <row r="60" spans="2:4">
      <c r="B60" s="621" t="s">
        <v>640</v>
      </c>
    </row>
  </sheetData>
  <pageMargins left="0.7" right="0.7" top="0.75" bottom="0.75" header="0.3" footer="0.3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6:G91"/>
  <sheetViews>
    <sheetView topLeftCell="A79" workbookViewId="0">
      <selection activeCell="L115" sqref="L115"/>
    </sheetView>
  </sheetViews>
  <sheetFormatPr defaultRowHeight="12.75"/>
  <cols>
    <col min="1" max="1" width="5.42578125" style="298" customWidth="1"/>
    <col min="2" max="2" width="38" style="298" customWidth="1"/>
    <col min="3" max="3" width="17.5703125" style="298" customWidth="1"/>
    <col min="4" max="4" width="14.42578125" style="298" customWidth="1"/>
    <col min="5" max="5" width="13" style="298" customWidth="1"/>
    <col min="6" max="6" width="11.85546875" style="298" bestFit="1" customWidth="1"/>
    <col min="7" max="7" width="10.85546875" style="298" bestFit="1" customWidth="1"/>
    <col min="8" max="16384" width="9.140625" style="298"/>
  </cols>
  <sheetData>
    <row r="6" spans="1:6" ht="15">
      <c r="A6" s="550"/>
      <c r="B6" s="550"/>
      <c r="C6" s="644">
        <v>2013</v>
      </c>
      <c r="D6" s="644">
        <v>2012</v>
      </c>
      <c r="E6" s="659">
        <v>2011</v>
      </c>
    </row>
    <row r="7" spans="1:6" ht="15">
      <c r="A7" s="645">
        <v>11</v>
      </c>
      <c r="B7" s="645" t="s">
        <v>386</v>
      </c>
      <c r="C7" s="660">
        <f>C8+C11</f>
        <v>16120900.652399998</v>
      </c>
      <c r="D7" s="660">
        <f>D8+D11</f>
        <v>17036292.23</v>
      </c>
      <c r="E7" s="660">
        <f>E8+E11</f>
        <v>4406315.26</v>
      </c>
      <c r="F7" s="299"/>
    </row>
    <row r="8" spans="1:6" ht="14.25">
      <c r="A8" s="656" t="s">
        <v>13</v>
      </c>
      <c r="B8" s="651" t="s">
        <v>387</v>
      </c>
      <c r="C8" s="661">
        <f>SUM(C9:C10)</f>
        <v>42385.45</v>
      </c>
      <c r="D8" s="661">
        <f>SUM(D9:D10)</f>
        <v>20644</v>
      </c>
      <c r="E8" s="661">
        <f>SUM(E9:E10)</f>
        <v>2340</v>
      </c>
    </row>
    <row r="9" spans="1:6" ht="14.25">
      <c r="A9" s="648"/>
      <c r="B9" s="649" t="s">
        <v>388</v>
      </c>
      <c r="C9" s="256">
        <f>Bilanci!D149</f>
        <v>35375.449999999997</v>
      </c>
      <c r="D9" s="256">
        <v>20644</v>
      </c>
      <c r="E9" s="256">
        <v>2340</v>
      </c>
    </row>
    <row r="10" spans="1:6" ht="14.25">
      <c r="A10" s="646"/>
      <c r="B10" s="647" t="s">
        <v>389</v>
      </c>
      <c r="C10" s="261">
        <f>Bilanci!D150</f>
        <v>7010</v>
      </c>
      <c r="D10" s="261">
        <v>0</v>
      </c>
      <c r="E10" s="261">
        <v>0</v>
      </c>
    </row>
    <row r="11" spans="1:6" ht="14.25">
      <c r="A11" s="656" t="s">
        <v>15</v>
      </c>
      <c r="B11" s="651" t="s">
        <v>390</v>
      </c>
      <c r="C11" s="661">
        <f>SUM(C12:C14)</f>
        <v>16078515.202399999</v>
      </c>
      <c r="D11" s="661">
        <f>SUM(D12:D14)</f>
        <v>17015648.23</v>
      </c>
      <c r="E11" s="661">
        <f>SUM(E12:E14)</f>
        <v>4403975.26</v>
      </c>
    </row>
    <row r="12" spans="1:6" ht="14.25">
      <c r="A12" s="648"/>
      <c r="B12" s="649" t="s">
        <v>391</v>
      </c>
      <c r="C12" s="256">
        <f>Bilanci!D147</f>
        <v>93497.45</v>
      </c>
      <c r="D12" s="256">
        <v>2021108.15</v>
      </c>
      <c r="E12" s="662">
        <v>4221931.46</v>
      </c>
    </row>
    <row r="13" spans="1:6" ht="14.25">
      <c r="A13" s="663"/>
      <c r="B13" s="664" t="s">
        <v>392</v>
      </c>
      <c r="C13" s="260">
        <f>Bilanci!D148</f>
        <v>15985017.7524</v>
      </c>
      <c r="D13" s="672">
        <v>1035540.08</v>
      </c>
      <c r="E13" s="665">
        <v>182043.8</v>
      </c>
    </row>
    <row r="14" spans="1:6" ht="14.25">
      <c r="A14" s="646"/>
      <c r="B14" s="647" t="s">
        <v>440</v>
      </c>
      <c r="C14" s="261">
        <f>Bilanci!D151</f>
        <v>0</v>
      </c>
      <c r="D14" s="673">
        <v>13959000</v>
      </c>
      <c r="E14" s="666"/>
    </row>
    <row r="15" spans="1:6">
      <c r="C15" s="299">
        <f>+C7-Bilanci!D8</f>
        <v>0</v>
      </c>
      <c r="D15" s="299">
        <f>+D7-Bilanci!E8</f>
        <v>0</v>
      </c>
    </row>
    <row r="18" spans="1:5" ht="15">
      <c r="A18" s="550"/>
      <c r="B18" s="550"/>
      <c r="C18" s="644">
        <v>2013</v>
      </c>
      <c r="D18" s="644">
        <v>2012</v>
      </c>
      <c r="E18" s="659">
        <v>2011</v>
      </c>
    </row>
    <row r="19" spans="1:5" ht="15">
      <c r="A19" s="645"/>
      <c r="B19" s="645" t="s">
        <v>394</v>
      </c>
      <c r="C19" s="660">
        <f>SUM(C20:C24)</f>
        <v>173515836.66</v>
      </c>
      <c r="D19" s="660">
        <f>SUM(D20:D24)</f>
        <v>103723770.87</v>
      </c>
      <c r="E19" s="660">
        <f>SUM(E20:E24)</f>
        <v>68511007.290000007</v>
      </c>
    </row>
    <row r="20" spans="1:5" ht="14.25">
      <c r="A20" s="648" t="s">
        <v>13</v>
      </c>
      <c r="B20" s="649" t="s">
        <v>395</v>
      </c>
      <c r="C20" s="256">
        <f>Bilanci!D142</f>
        <v>110000</v>
      </c>
      <c r="D20" s="652">
        <v>110000</v>
      </c>
      <c r="E20" s="667">
        <v>110000</v>
      </c>
    </row>
    <row r="21" spans="1:5" ht="14.25">
      <c r="A21" s="663" t="s">
        <v>15</v>
      </c>
      <c r="B21" s="664" t="s">
        <v>396</v>
      </c>
      <c r="C21" s="260">
        <f>Bilanci!D145</f>
        <v>102314257.76000001</v>
      </c>
      <c r="D21" s="672">
        <v>102314257.76000001</v>
      </c>
      <c r="E21" s="665">
        <v>68401007.290000007</v>
      </c>
    </row>
    <row r="22" spans="1:5" ht="14.25">
      <c r="A22" s="663" t="s">
        <v>17</v>
      </c>
      <c r="B22" s="664" t="s">
        <v>438</v>
      </c>
      <c r="C22" s="260">
        <f>Bilanci!D146</f>
        <v>1139199.3</v>
      </c>
      <c r="D22" s="672">
        <v>1299513.1100000001</v>
      </c>
      <c r="E22" s="665"/>
    </row>
    <row r="23" spans="1:5" ht="14.25">
      <c r="A23" s="663" t="s">
        <v>55</v>
      </c>
      <c r="B23" s="664" t="s">
        <v>481</v>
      </c>
      <c r="C23" s="260">
        <f>+Bilanci!D140</f>
        <v>462379.6</v>
      </c>
      <c r="D23" s="672">
        <v>0</v>
      </c>
      <c r="E23" s="665"/>
    </row>
    <row r="24" spans="1:5" ht="14.25">
      <c r="A24" s="646" t="s">
        <v>62</v>
      </c>
      <c r="B24" s="647" t="s">
        <v>499</v>
      </c>
      <c r="C24" s="261">
        <f>+Bilanci!D16</f>
        <v>69490000</v>
      </c>
      <c r="D24" s="673">
        <v>0</v>
      </c>
      <c r="E24" s="665"/>
    </row>
    <row r="25" spans="1:5">
      <c r="C25" s="299">
        <f>+C19-Bilanci!D18</f>
        <v>0</v>
      </c>
      <c r="D25" s="299">
        <f>+D19-Bilanci!E18</f>
        <v>0</v>
      </c>
    </row>
    <row r="27" spans="1:5" ht="15">
      <c r="A27" s="550"/>
      <c r="B27" s="550"/>
      <c r="C27" s="644">
        <v>2013</v>
      </c>
      <c r="D27" s="644">
        <v>2012</v>
      </c>
      <c r="E27" s="659">
        <v>2011</v>
      </c>
    </row>
    <row r="28" spans="1:5" ht="15">
      <c r="A28" s="645"/>
      <c r="B28" s="645" t="s">
        <v>397</v>
      </c>
      <c r="C28" s="660">
        <f>C29</f>
        <v>0</v>
      </c>
      <c r="D28" s="660">
        <f>D29</f>
        <v>65993635.850000001</v>
      </c>
      <c r="E28" s="660">
        <f>E29</f>
        <v>174850489.38999999</v>
      </c>
    </row>
    <row r="29" spans="1:5" ht="14.25">
      <c r="A29" s="648" t="s">
        <v>13</v>
      </c>
      <c r="B29" s="649" t="s">
        <v>398</v>
      </c>
      <c r="C29" s="649">
        <f>Bilanci!D139</f>
        <v>0</v>
      </c>
      <c r="D29" s="667">
        <v>65993635.850000001</v>
      </c>
      <c r="E29" s="667">
        <v>174850489.38999999</v>
      </c>
    </row>
    <row r="30" spans="1:5">
      <c r="D30" s="299">
        <f>+D28-Bilanci!E139</f>
        <v>0</v>
      </c>
    </row>
    <row r="33" spans="1:7" ht="15">
      <c r="A33" s="550"/>
      <c r="B33" s="550"/>
      <c r="C33" s="644">
        <v>2013</v>
      </c>
      <c r="D33" s="644">
        <v>2012</v>
      </c>
      <c r="E33" s="659">
        <v>2011</v>
      </c>
    </row>
    <row r="34" spans="1:7" ht="15">
      <c r="A34" s="645">
        <v>10</v>
      </c>
      <c r="B34" s="645" t="s">
        <v>405</v>
      </c>
      <c r="C34" s="255">
        <f>C41</f>
        <v>0</v>
      </c>
      <c r="D34" s="255">
        <f>D41</f>
        <v>0</v>
      </c>
      <c r="E34" s="255">
        <f>E41</f>
        <v>0</v>
      </c>
    </row>
    <row r="35" spans="1:7" ht="13.5">
      <c r="A35" s="650"/>
      <c r="B35" s="650" t="s">
        <v>406</v>
      </c>
      <c r="C35" s="668">
        <f>'Fitim-Humbje'!D45</f>
        <v>328138.32</v>
      </c>
      <c r="D35" s="668">
        <v>254903.98</v>
      </c>
      <c r="E35" s="668">
        <v>4977832.25</v>
      </c>
    </row>
    <row r="36" spans="1:7" ht="14.25">
      <c r="A36" s="650"/>
      <c r="B36" s="650" t="s">
        <v>407</v>
      </c>
      <c r="C36" s="256">
        <f>'Fitim-Humbje'!D67</f>
        <v>8485309.8399999999</v>
      </c>
      <c r="D36" s="256">
        <v>6536982.0499999998</v>
      </c>
      <c r="E36" s="256">
        <v>2159507</v>
      </c>
    </row>
    <row r="37" spans="1:7" ht="14.25">
      <c r="A37" s="653"/>
      <c r="B37" s="654" t="s">
        <v>408</v>
      </c>
      <c r="C37" s="257">
        <f>C35-C36</f>
        <v>-8157171.5199999996</v>
      </c>
      <c r="D37" s="257">
        <f>D35-D36</f>
        <v>-6282078.0699999994</v>
      </c>
      <c r="E37" s="257">
        <f>E35-E36</f>
        <v>2818325.25</v>
      </c>
      <c r="G37" s="299"/>
    </row>
    <row r="38" spans="1:7" ht="14.25">
      <c r="A38" s="650"/>
      <c r="B38" s="650" t="s">
        <v>409</v>
      </c>
      <c r="C38" s="256">
        <f>-'Fitim-Humbje'!D60-'Fitim-Humbje'!D61-'Fitim-Humbje'!D62-'Fitim-Humbje'!D63</f>
        <v>-437548.37</v>
      </c>
      <c r="D38" s="256">
        <v>-54453.95</v>
      </c>
      <c r="E38" s="256">
        <v>0</v>
      </c>
    </row>
    <row r="39" spans="1:7" ht="14.25">
      <c r="A39" s="650"/>
      <c r="B39" s="650" t="s">
        <v>413</v>
      </c>
      <c r="C39" s="256">
        <f>Bilanci!D112</f>
        <v>-7584636.25</v>
      </c>
      <c r="D39" s="256">
        <f>E40</f>
        <v>-1302558.08</v>
      </c>
      <c r="E39" s="256">
        <f>[5]bilanci!E112</f>
        <v>-4120883.33</v>
      </c>
    </row>
    <row r="40" spans="1:7" ht="14.25">
      <c r="A40" s="653"/>
      <c r="B40" s="654" t="s">
        <v>410</v>
      </c>
      <c r="C40" s="257">
        <f>C37-C38+C39</f>
        <v>-15304259.399999999</v>
      </c>
      <c r="D40" s="257">
        <f>D37-D38+D39</f>
        <v>-7530182.1999999993</v>
      </c>
      <c r="E40" s="257">
        <f>SUM(E37:E39)</f>
        <v>-1302558.08</v>
      </c>
    </row>
    <row r="41" spans="1:7" ht="14.25">
      <c r="A41" s="650"/>
      <c r="B41" s="650" t="s">
        <v>411</v>
      </c>
      <c r="C41" s="256"/>
      <c r="D41" s="256">
        <v>0</v>
      </c>
      <c r="E41" s="256">
        <v>0</v>
      </c>
    </row>
    <row r="42" spans="1:7" ht="14.25">
      <c r="A42" s="653"/>
      <c r="B42" s="655" t="s">
        <v>412</v>
      </c>
      <c r="C42" s="258">
        <f>C37-C41</f>
        <v>-8157171.5199999996</v>
      </c>
      <c r="D42" s="258">
        <f>D37-D41</f>
        <v>-6282078.0699999994</v>
      </c>
      <c r="E42" s="258">
        <f>E37-E41</f>
        <v>2818325.25</v>
      </c>
    </row>
    <row r="43" spans="1:7">
      <c r="C43" s="299">
        <f>+C42-'Fitim-Humbje'!D32</f>
        <v>0</v>
      </c>
      <c r="D43" s="299">
        <f>+D42-'Fitim-Humbje'!E32</f>
        <v>0</v>
      </c>
    </row>
    <row r="45" spans="1:7" ht="15">
      <c r="A45" s="550"/>
      <c r="B45" s="550"/>
      <c r="C45" s="644"/>
      <c r="D45" s="862">
        <v>2013</v>
      </c>
      <c r="E45" s="862"/>
    </row>
    <row r="46" spans="1:7" ht="15">
      <c r="A46" s="645">
        <v>29</v>
      </c>
      <c r="B46" s="645" t="s">
        <v>414</v>
      </c>
      <c r="C46" s="259"/>
      <c r="D46" s="259" t="s">
        <v>415</v>
      </c>
      <c r="E46" s="259" t="s">
        <v>416</v>
      </c>
    </row>
    <row r="47" spans="1:7" ht="14.25">
      <c r="A47" s="663" t="s">
        <v>13</v>
      </c>
      <c r="B47" s="664" t="s">
        <v>421</v>
      </c>
      <c r="C47" s="260">
        <f>Bilanci!D139</f>
        <v>0</v>
      </c>
      <c r="D47" s="260">
        <v>65993635.850000001</v>
      </c>
      <c r="E47" s="260"/>
    </row>
    <row r="48" spans="1:7" ht="14.25">
      <c r="A48" s="663" t="s">
        <v>15</v>
      </c>
      <c r="B48" s="664" t="s">
        <v>418</v>
      </c>
      <c r="C48" s="260"/>
      <c r="D48" s="260"/>
      <c r="E48" s="260">
        <f>Bilanci!D130</f>
        <v>85716550.400000006</v>
      </c>
      <c r="F48" s="299"/>
    </row>
    <row r="49" spans="1:5" ht="14.25">
      <c r="A49" s="646" t="s">
        <v>17</v>
      </c>
      <c r="B49" s="647" t="s">
        <v>419</v>
      </c>
      <c r="C49" s="261"/>
      <c r="D49" s="261"/>
      <c r="E49" s="261">
        <f>Bilanci!D122</f>
        <v>20716514.420000002</v>
      </c>
    </row>
    <row r="50" spans="1:5" ht="14.25">
      <c r="A50" s="650"/>
      <c r="B50" s="651" t="s">
        <v>420</v>
      </c>
      <c r="C50" s="669">
        <f>SUM(C47:C49)</f>
        <v>0</v>
      </c>
      <c r="D50" s="669">
        <f>SUM(D47:D49)</f>
        <v>65993635.850000001</v>
      </c>
      <c r="E50" s="669">
        <f>SUM(E47:E49)</f>
        <v>106433064.82000001</v>
      </c>
    </row>
    <row r="55" spans="1:5" ht="15">
      <c r="A55" s="550"/>
      <c r="B55" s="550"/>
      <c r="C55" s="644">
        <v>2013</v>
      </c>
      <c r="D55" s="644">
        <v>2012</v>
      </c>
      <c r="E55" s="659">
        <v>2011</v>
      </c>
    </row>
    <row r="56" spans="1:5" ht="15">
      <c r="A56" s="645"/>
      <c r="B56" s="645" t="s">
        <v>99</v>
      </c>
      <c r="C56" s="660">
        <f>C57+C58</f>
        <v>47923</v>
      </c>
      <c r="D56" s="660">
        <f>D57+D58</f>
        <v>46461</v>
      </c>
      <c r="E56" s="660">
        <f>E57+E58</f>
        <v>8000</v>
      </c>
    </row>
    <row r="57" spans="1:5" s="506" customFormat="1" ht="13.5">
      <c r="A57" s="670" t="s">
        <v>13</v>
      </c>
      <c r="B57" s="650" t="s">
        <v>457</v>
      </c>
      <c r="C57" s="667">
        <f>Bilanci!D129</f>
        <v>21382</v>
      </c>
      <c r="D57" s="667">
        <v>20940</v>
      </c>
      <c r="E57" s="667">
        <v>8000</v>
      </c>
    </row>
    <row r="58" spans="1:5" s="506" customFormat="1" ht="14.25">
      <c r="A58" s="670" t="s">
        <v>15</v>
      </c>
      <c r="B58" s="671" t="s">
        <v>458</v>
      </c>
      <c r="C58" s="260">
        <f>Bilanci!D128</f>
        <v>26541</v>
      </c>
      <c r="D58" s="260">
        <v>25521</v>
      </c>
    </row>
    <row r="59" spans="1:5">
      <c r="C59" s="299">
        <f>+C56-Bilanci!D79</f>
        <v>0</v>
      </c>
      <c r="D59" s="299">
        <f>+D56-Bilanci!E79</f>
        <v>0</v>
      </c>
    </row>
    <row r="61" spans="1:5" ht="15">
      <c r="A61" s="550"/>
      <c r="B61" s="550"/>
      <c r="C61" s="644">
        <v>2013</v>
      </c>
      <c r="D61" s="644">
        <v>2012</v>
      </c>
      <c r="E61" s="659">
        <v>2011</v>
      </c>
    </row>
    <row r="62" spans="1:5" ht="15">
      <c r="A62" s="645"/>
      <c r="B62" s="645" t="s">
        <v>397</v>
      </c>
      <c r="C62" s="660">
        <f>C63</f>
        <v>1019059890.98</v>
      </c>
      <c r="D62" s="660">
        <f>D63</f>
        <v>462420047.66000003</v>
      </c>
      <c r="E62" s="660">
        <f>E63</f>
        <v>172114512.53</v>
      </c>
    </row>
    <row r="63" spans="1:5" ht="13.5">
      <c r="A63" s="670" t="s">
        <v>13</v>
      </c>
      <c r="B63" s="650" t="s">
        <v>459</v>
      </c>
      <c r="C63" s="667">
        <f>-Bilanci!D141</f>
        <v>1019059890.98</v>
      </c>
      <c r="D63" s="667">
        <v>462420047.66000003</v>
      </c>
      <c r="E63" s="667">
        <v>172114512.53</v>
      </c>
    </row>
    <row r="66" spans="1:5" ht="15">
      <c r="A66" s="550"/>
      <c r="B66" s="550"/>
      <c r="C66" s="644">
        <v>2013</v>
      </c>
      <c r="D66" s="644">
        <v>2012</v>
      </c>
      <c r="E66" s="659">
        <v>2011</v>
      </c>
    </row>
    <row r="67" spans="1:5" ht="15">
      <c r="A67" s="645"/>
      <c r="B67" s="682" t="s">
        <v>645</v>
      </c>
      <c r="C67" s="660">
        <f>C68+C69</f>
        <v>495514598.37</v>
      </c>
      <c r="D67" s="660">
        <f>D68+D69</f>
        <v>642809113.53999996</v>
      </c>
      <c r="E67" s="660">
        <f>E68+E69</f>
        <v>415477111.5</v>
      </c>
    </row>
    <row r="68" spans="1:5" ht="13.5">
      <c r="A68" s="670" t="s">
        <v>13</v>
      </c>
      <c r="B68" s="650" t="s">
        <v>94</v>
      </c>
      <c r="C68" s="667">
        <f>Bilanci!D73</f>
        <v>229086296.66999999</v>
      </c>
      <c r="D68" s="667">
        <v>206508005.44</v>
      </c>
      <c r="E68" s="667">
        <v>25180431.000000004</v>
      </c>
    </row>
    <row r="69" spans="1:5" ht="14.25">
      <c r="A69" s="670" t="s">
        <v>15</v>
      </c>
      <c r="B69" s="671" t="s">
        <v>107</v>
      </c>
      <c r="C69" s="260">
        <f>Bilanci!D91</f>
        <v>266428301.69999999</v>
      </c>
      <c r="D69" s="260">
        <v>436301108.10000002</v>
      </c>
      <c r="E69" s="260">
        <v>390296680.5</v>
      </c>
    </row>
    <row r="72" spans="1:5" ht="15">
      <c r="A72" s="550"/>
      <c r="B72" s="550"/>
      <c r="C72" s="644">
        <v>2013</v>
      </c>
      <c r="D72" s="644">
        <v>2012</v>
      </c>
      <c r="E72" s="659">
        <v>2011</v>
      </c>
    </row>
    <row r="73" spans="1:5" ht="15">
      <c r="A73" s="645"/>
      <c r="B73" s="645" t="s">
        <v>460</v>
      </c>
      <c r="C73" s="660">
        <f>C74</f>
        <v>85716550.400000006</v>
      </c>
      <c r="D73" s="660">
        <f>D74</f>
        <v>133284854.77</v>
      </c>
      <c r="E73" s="660">
        <f>E74</f>
        <v>296653663.89999998</v>
      </c>
    </row>
    <row r="74" spans="1:5" ht="13.5">
      <c r="A74" s="670" t="s">
        <v>13</v>
      </c>
      <c r="B74" s="650" t="s">
        <v>461</v>
      </c>
      <c r="C74" s="667">
        <f>Bilanci!D130</f>
        <v>85716550.400000006</v>
      </c>
      <c r="D74" s="667">
        <v>133284854.77</v>
      </c>
      <c r="E74" s="667">
        <v>296653663.89999998</v>
      </c>
    </row>
    <row r="77" spans="1:5" ht="15">
      <c r="A77" s="550"/>
      <c r="B77" s="550"/>
      <c r="C77" s="644">
        <v>2013</v>
      </c>
      <c r="D77" s="644">
        <v>2012</v>
      </c>
      <c r="E77" s="659">
        <v>2011</v>
      </c>
    </row>
    <row r="78" spans="1:5" ht="15">
      <c r="A78" s="645"/>
      <c r="B78" s="645" t="s">
        <v>462</v>
      </c>
      <c r="C78" s="660">
        <f>C79</f>
        <v>1421646007.3699999</v>
      </c>
      <c r="D78" s="660">
        <f>D79</f>
        <v>1051036871.12</v>
      </c>
      <c r="E78" s="660">
        <f>E79</f>
        <v>639778170.88999999</v>
      </c>
    </row>
    <row r="79" spans="1:5" ht="13.5">
      <c r="A79" s="670" t="s">
        <v>13</v>
      </c>
      <c r="B79" s="650" t="s">
        <v>463</v>
      </c>
      <c r="C79" s="667">
        <f>Bilanci!D21</f>
        <v>1421646007.3699999</v>
      </c>
      <c r="D79" s="667">
        <v>1051036871.12</v>
      </c>
      <c r="E79" s="667">
        <v>639778170.88999999</v>
      </c>
    </row>
    <row r="80" spans="1:5" ht="13.5">
      <c r="A80" s="670"/>
      <c r="B80" s="650"/>
      <c r="C80" s="667"/>
      <c r="D80" s="667"/>
      <c r="E80" s="667"/>
    </row>
    <row r="82" spans="1:6" ht="15">
      <c r="C82" s="644">
        <v>2013</v>
      </c>
      <c r="D82" s="644">
        <v>2012</v>
      </c>
    </row>
    <row r="83" spans="1:6" ht="15">
      <c r="B83" s="683" t="str">
        <f>+Bilanci!B77</f>
        <v>Te pagueshme ndaj furnitorëve</v>
      </c>
      <c r="C83" s="684">
        <f>+C84+C85</f>
        <v>4951692.4500000197</v>
      </c>
      <c r="D83" s="684">
        <f>+D84+D85</f>
        <v>4812235</v>
      </c>
    </row>
    <row r="84" spans="1:6">
      <c r="A84">
        <v>401</v>
      </c>
      <c r="B84" s="96" t="s">
        <v>646</v>
      </c>
      <c r="C84" s="242">
        <v>3689789.8800000199</v>
      </c>
      <c r="D84" s="242">
        <f>4812235-D85</f>
        <v>4708522</v>
      </c>
      <c r="F84" s="242"/>
    </row>
    <row r="85" spans="1:6">
      <c r="A85">
        <v>402</v>
      </c>
      <c r="B85" s="96" t="s">
        <v>476</v>
      </c>
      <c r="C85" s="242">
        <v>1261902.57</v>
      </c>
      <c r="D85" s="658">
        <v>103713</v>
      </c>
      <c r="F85" s="242"/>
    </row>
    <row r="88" spans="1:6" ht="15">
      <c r="C88" s="644">
        <v>2013</v>
      </c>
      <c r="D88" s="644">
        <v>2012</v>
      </c>
    </row>
    <row r="89" spans="1:6" ht="15">
      <c r="B89" s="683" t="str">
        <f>+Bilanci!B78</f>
        <v>Te pagueshme ndaj punonjësve</v>
      </c>
      <c r="C89" s="684">
        <f>+C90+C91</f>
        <v>728004</v>
      </c>
      <c r="D89" s="684">
        <f>+D90+D91</f>
        <v>1902494</v>
      </c>
    </row>
    <row r="90" spans="1:6">
      <c r="B90" s="96" t="s">
        <v>647</v>
      </c>
      <c r="C90" s="242">
        <f>+Bilanci!D78</f>
        <v>728004</v>
      </c>
      <c r="D90" s="242">
        <f>+Bilanci!E78</f>
        <v>1902494</v>
      </c>
    </row>
    <row r="91" spans="1:6">
      <c r="B91" s="96"/>
      <c r="C91" s="242"/>
      <c r="D91" s="658"/>
    </row>
  </sheetData>
  <mergeCells count="1">
    <mergeCell ref="D45:E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DS155"/>
  <sheetViews>
    <sheetView topLeftCell="A64" zoomScaleNormal="100" workbookViewId="0">
      <selection activeCell="H141" sqref="H141"/>
    </sheetView>
  </sheetViews>
  <sheetFormatPr defaultRowHeight="12.75" outlineLevelRow="1"/>
  <cols>
    <col min="1" max="1" width="8.28515625" customWidth="1"/>
    <col min="2" max="2" width="35.85546875" customWidth="1"/>
    <col min="3" max="3" width="14" customWidth="1"/>
    <col min="4" max="4" width="15.140625" style="18" customWidth="1"/>
    <col min="5" max="5" width="18" style="263" customWidth="1"/>
    <col min="6" max="6" width="14.7109375" hidden="1" customWidth="1"/>
    <col min="7" max="7" width="14.5703125" bestFit="1" customWidth="1"/>
    <col min="8" max="8" width="15.5703125" bestFit="1" customWidth="1"/>
    <col min="9" max="9" width="17.28515625" style="18" bestFit="1" customWidth="1"/>
    <col min="10" max="10" width="13" style="18" customWidth="1"/>
    <col min="11" max="11" width="16.5703125" style="18" bestFit="1" customWidth="1"/>
    <col min="16" max="16" width="19.5703125" customWidth="1"/>
    <col min="17" max="17" width="15" bestFit="1" customWidth="1"/>
    <col min="18" max="18" width="17.28515625" style="295" bestFit="1" customWidth="1"/>
    <col min="19" max="19" width="16.140625" style="18" bestFit="1" customWidth="1"/>
  </cols>
  <sheetData>
    <row r="1" spans="1:19" s="289" customFormat="1" ht="31.5" customHeight="1" thickBot="1">
      <c r="A1" s="288"/>
      <c r="B1" s="293" t="s">
        <v>498</v>
      </c>
      <c r="C1" s="709" t="str">
        <f>'Fitim-Humbje'!C1:D1</f>
        <v xml:space="preserve">RFZ Building  sh.p.k </v>
      </c>
      <c r="D1" s="709"/>
      <c r="E1" s="709"/>
      <c r="F1" s="709"/>
      <c r="I1" s="297"/>
      <c r="J1" s="297"/>
      <c r="K1" s="297"/>
      <c r="R1" s="294"/>
      <c r="S1" s="297"/>
    </row>
    <row r="2" spans="1:19" ht="14.25">
      <c r="A2" s="81"/>
      <c r="B2" s="82" t="s">
        <v>40</v>
      </c>
      <c r="C2" s="83" t="s">
        <v>3</v>
      </c>
      <c r="D2" s="694" t="s">
        <v>493</v>
      </c>
      <c r="E2" s="695" t="s">
        <v>41</v>
      </c>
      <c r="F2" s="685"/>
    </row>
    <row r="3" spans="1:19" ht="14.25">
      <c r="A3" s="84"/>
      <c r="B3" s="44"/>
      <c r="C3" s="43"/>
      <c r="D3" s="277"/>
      <c r="E3" s="696"/>
      <c r="F3" s="686"/>
    </row>
    <row r="4" spans="1:19" ht="14.25">
      <c r="A4" s="85" t="s">
        <v>42</v>
      </c>
      <c r="B4" s="45" t="s">
        <v>43</v>
      </c>
      <c r="C4" s="46"/>
      <c r="D4" s="230"/>
      <c r="E4" s="696"/>
      <c r="F4" s="686"/>
    </row>
    <row r="5" spans="1:19" ht="14.25">
      <c r="A5" s="85"/>
      <c r="B5" s="47"/>
      <c r="C5" s="46"/>
      <c r="D5" s="230"/>
      <c r="E5" s="696"/>
      <c r="F5" s="686"/>
    </row>
    <row r="6" spans="1:19" ht="14.25">
      <c r="A6" s="85" t="s">
        <v>44</v>
      </c>
      <c r="B6" s="48" t="s">
        <v>45</v>
      </c>
      <c r="C6" s="46"/>
      <c r="D6" s="230"/>
      <c r="E6" s="696"/>
      <c r="F6" s="686"/>
    </row>
    <row r="7" spans="1:19" ht="14.25">
      <c r="A7" s="85"/>
      <c r="B7" s="47"/>
      <c r="C7" s="46"/>
      <c r="D7" s="230"/>
      <c r="E7" s="696"/>
      <c r="F7" s="686"/>
    </row>
    <row r="8" spans="1:19" ht="14.25">
      <c r="A8" s="85">
        <v>1</v>
      </c>
      <c r="B8" s="48" t="s">
        <v>46</v>
      </c>
      <c r="C8" s="98">
        <v>2.2000000000000002</v>
      </c>
      <c r="D8" s="37">
        <f>D147+D148+D149+D150</f>
        <v>16120900.652399998</v>
      </c>
      <c r="E8" s="696">
        <f>SUM(E147:E151)</f>
        <v>17036292.23</v>
      </c>
      <c r="F8" s="686">
        <v>4406315.26</v>
      </c>
      <c r="G8" s="28"/>
    </row>
    <row r="9" spans="1:19" ht="28.5">
      <c r="A9" s="85">
        <v>2</v>
      </c>
      <c r="B9" s="48" t="s">
        <v>47</v>
      </c>
      <c r="C9" s="98"/>
      <c r="D9" s="278"/>
      <c r="E9" s="696"/>
      <c r="F9" s="686"/>
      <c r="G9" s="28"/>
    </row>
    <row r="10" spans="1:19" ht="14.25">
      <c r="A10" s="86" t="s">
        <v>13</v>
      </c>
      <c r="B10" s="47" t="s">
        <v>48</v>
      </c>
      <c r="C10" s="98"/>
      <c r="D10" s="278"/>
      <c r="E10" s="696"/>
      <c r="F10" s="687"/>
      <c r="G10" s="28"/>
    </row>
    <row r="11" spans="1:19" ht="14.25">
      <c r="A11" s="86" t="s">
        <v>15</v>
      </c>
      <c r="B11" s="47" t="s">
        <v>49</v>
      </c>
      <c r="C11" s="98"/>
      <c r="D11" s="278"/>
      <c r="E11" s="696"/>
      <c r="F11" s="687"/>
      <c r="G11" s="28"/>
    </row>
    <row r="12" spans="1:19" ht="14.25">
      <c r="A12" s="87"/>
      <c r="B12" s="50" t="s">
        <v>50</v>
      </c>
      <c r="C12" s="99"/>
      <c r="D12" s="234">
        <f>SUM(D8:D11)</f>
        <v>16120900.652399998</v>
      </c>
      <c r="E12" s="697">
        <f>E9+E8</f>
        <v>17036292.23</v>
      </c>
      <c r="F12" s="688">
        <v>4406315.26</v>
      </c>
      <c r="G12" s="28"/>
    </row>
    <row r="13" spans="1:19" ht="14.25">
      <c r="A13" s="85">
        <v>3</v>
      </c>
      <c r="B13" s="48" t="s">
        <v>51</v>
      </c>
      <c r="C13" s="98"/>
      <c r="D13" s="278"/>
      <c r="E13" s="696"/>
      <c r="F13" s="686"/>
      <c r="G13" s="28"/>
    </row>
    <row r="14" spans="1:19" ht="14.25">
      <c r="A14" s="86" t="s">
        <v>13</v>
      </c>
      <c r="B14" s="47" t="s">
        <v>52</v>
      </c>
      <c r="C14" s="98"/>
      <c r="D14" s="278"/>
      <c r="E14" s="696"/>
      <c r="F14" s="687"/>
      <c r="G14" s="28"/>
    </row>
    <row r="15" spans="1:19" ht="14.25">
      <c r="A15" s="86" t="s">
        <v>15</v>
      </c>
      <c r="B15" s="47" t="s">
        <v>53</v>
      </c>
      <c r="C15" s="98">
        <v>2.2999999999999998</v>
      </c>
      <c r="D15" s="280">
        <f>D142+D145+D146+D140</f>
        <v>104025836.66</v>
      </c>
      <c r="E15" s="698">
        <f>E142+E145+E146</f>
        <v>103723770.87</v>
      </c>
      <c r="F15" s="689">
        <v>68511007.290000007</v>
      </c>
      <c r="G15" s="28"/>
    </row>
    <row r="16" spans="1:19" ht="14.25">
      <c r="A16" s="86" t="s">
        <v>17</v>
      </c>
      <c r="B16" s="47" t="s">
        <v>54</v>
      </c>
      <c r="C16" s="98"/>
      <c r="D16" s="280">
        <f>D144</f>
        <v>69490000</v>
      </c>
      <c r="E16" s="696"/>
      <c r="F16" s="687"/>
      <c r="G16" s="28"/>
    </row>
    <row r="17" spans="1:8" ht="14.25">
      <c r="A17" s="86" t="s">
        <v>55</v>
      </c>
      <c r="B17" s="47" t="s">
        <v>56</v>
      </c>
      <c r="C17" s="98"/>
      <c r="D17" s="278"/>
      <c r="E17" s="696"/>
      <c r="F17" s="687"/>
      <c r="G17" s="28"/>
    </row>
    <row r="18" spans="1:8" ht="14.25">
      <c r="A18" s="88"/>
      <c r="B18" s="50" t="s">
        <v>50</v>
      </c>
      <c r="C18" s="99"/>
      <c r="D18" s="234">
        <f>SUM(D14:D17)</f>
        <v>173515836.66</v>
      </c>
      <c r="E18" s="697">
        <f>SUM(E14:E17)</f>
        <v>103723770.87</v>
      </c>
      <c r="F18" s="688">
        <v>68511007.290000007</v>
      </c>
      <c r="G18" s="678"/>
    </row>
    <row r="19" spans="1:8" ht="14.25">
      <c r="A19" s="85">
        <v>4</v>
      </c>
      <c r="B19" s="48" t="s">
        <v>57</v>
      </c>
      <c r="C19" s="98"/>
      <c r="D19" s="278"/>
      <c r="E19" s="696"/>
      <c r="F19" s="686"/>
      <c r="G19" s="28"/>
    </row>
    <row r="20" spans="1:8" ht="14.25">
      <c r="A20" s="86" t="s">
        <v>13</v>
      </c>
      <c r="B20" s="47" t="s">
        <v>58</v>
      </c>
      <c r="C20" s="98"/>
      <c r="D20" s="278"/>
      <c r="E20" s="696"/>
      <c r="F20" s="687"/>
      <c r="G20" s="28"/>
    </row>
    <row r="21" spans="1:8" ht="14.25">
      <c r="A21" s="86" t="s">
        <v>15</v>
      </c>
      <c r="B21" s="47" t="s">
        <v>59</v>
      </c>
      <c r="C21" s="98">
        <v>2.4</v>
      </c>
      <c r="D21" s="280">
        <f>D136</f>
        <v>1421646007.3699999</v>
      </c>
      <c r="E21" s="698">
        <f>E136</f>
        <v>1051036871.12</v>
      </c>
      <c r="F21" s="689">
        <v>639778170.88999999</v>
      </c>
      <c r="G21" s="28"/>
    </row>
    <row r="22" spans="1:8" ht="14.25">
      <c r="A22" s="86" t="s">
        <v>17</v>
      </c>
      <c r="B22" s="47" t="s">
        <v>60</v>
      </c>
      <c r="C22" s="98"/>
      <c r="D22" s="278"/>
      <c r="E22" s="696"/>
      <c r="F22" s="687"/>
      <c r="G22" s="28"/>
      <c r="H22" s="28"/>
    </row>
    <row r="23" spans="1:8" ht="14.25">
      <c r="A23" s="86" t="s">
        <v>55</v>
      </c>
      <c r="B23" s="47" t="s">
        <v>61</v>
      </c>
      <c r="C23" s="98"/>
      <c r="D23" s="278"/>
      <c r="E23" s="696"/>
      <c r="F23" s="687"/>
      <c r="G23" s="28"/>
      <c r="H23" s="18"/>
    </row>
    <row r="24" spans="1:8" ht="14.25">
      <c r="A24" s="89" t="s">
        <v>62</v>
      </c>
      <c r="B24" s="47" t="s">
        <v>135</v>
      </c>
      <c r="C24" s="98"/>
      <c r="D24" s="278"/>
      <c r="E24" s="699"/>
      <c r="F24" s="690"/>
      <c r="G24" s="28"/>
    </row>
    <row r="25" spans="1:8" ht="14.25">
      <c r="A25" s="88"/>
      <c r="B25" s="50" t="s">
        <v>50</v>
      </c>
      <c r="C25" s="99"/>
      <c r="D25" s="234">
        <f>SUM(D20:D24)</f>
        <v>1421646007.3699999</v>
      </c>
      <c r="E25" s="697">
        <f>SUM(E20:E24)</f>
        <v>1051036871.12</v>
      </c>
      <c r="F25" s="688">
        <v>639778170.88999999</v>
      </c>
      <c r="G25" s="678"/>
    </row>
    <row r="26" spans="1:8" ht="14.25">
      <c r="A26" s="85">
        <v>5</v>
      </c>
      <c r="B26" s="48" t="s">
        <v>63</v>
      </c>
      <c r="C26" s="98"/>
      <c r="D26" s="278"/>
      <c r="E26" s="696"/>
      <c r="F26" s="686"/>
      <c r="G26" s="28"/>
    </row>
    <row r="27" spans="1:8" ht="14.25">
      <c r="A27" s="85">
        <v>6</v>
      </c>
      <c r="B27" s="48" t="s">
        <v>64</v>
      </c>
      <c r="C27" s="98"/>
      <c r="D27" s="278"/>
      <c r="E27" s="696"/>
      <c r="F27" s="686"/>
      <c r="G27" s="28"/>
    </row>
    <row r="28" spans="1:8" ht="14.25">
      <c r="A28" s="85">
        <v>7</v>
      </c>
      <c r="B28" s="48" t="s">
        <v>65</v>
      </c>
      <c r="C28" s="98">
        <v>2.5</v>
      </c>
      <c r="D28" s="280">
        <v>0</v>
      </c>
      <c r="E28" s="698">
        <f>E139</f>
        <v>65993635.850000001</v>
      </c>
      <c r="F28" s="689">
        <v>174850489.38999999</v>
      </c>
      <c r="G28" s="678"/>
    </row>
    <row r="29" spans="1:8" ht="14.25">
      <c r="A29" s="90"/>
      <c r="B29" s="53" t="s">
        <v>66</v>
      </c>
      <c r="C29" s="99"/>
      <c r="D29" s="234">
        <f>D12+D18+D26+D25+D27+D28</f>
        <v>1611282744.6823997</v>
      </c>
      <c r="E29" s="697">
        <f>E12+E18+E25+E26+E27+E28</f>
        <v>1237790570.0699999</v>
      </c>
      <c r="F29" s="688">
        <v>887545982.83000004</v>
      </c>
      <c r="G29" s="678"/>
    </row>
    <row r="30" spans="1:8" ht="14.25">
      <c r="A30" s="86"/>
      <c r="B30" s="47"/>
      <c r="C30" s="98"/>
      <c r="D30" s="278"/>
      <c r="E30" s="696"/>
      <c r="F30" s="687"/>
      <c r="G30" s="678"/>
    </row>
    <row r="31" spans="1:8" ht="14.25">
      <c r="A31" s="85" t="s">
        <v>67</v>
      </c>
      <c r="B31" s="48" t="s">
        <v>68</v>
      </c>
      <c r="C31" s="98"/>
      <c r="D31" s="278"/>
      <c r="E31" s="696"/>
      <c r="F31" s="687"/>
      <c r="G31" s="678"/>
    </row>
    <row r="32" spans="1:8" ht="14.25">
      <c r="A32" s="86"/>
      <c r="B32" s="47"/>
      <c r="C32" s="98"/>
      <c r="D32" s="278"/>
      <c r="E32" s="696"/>
      <c r="F32" s="687"/>
      <c r="G32" s="678"/>
    </row>
    <row r="33" spans="1:7" ht="14.25">
      <c r="A33" s="85">
        <v>1</v>
      </c>
      <c r="B33" s="48" t="s">
        <v>69</v>
      </c>
      <c r="C33" s="98"/>
      <c r="D33" s="278"/>
      <c r="E33" s="696"/>
      <c r="F33" s="686"/>
      <c r="G33" s="678"/>
    </row>
    <row r="34" spans="1:7" ht="41.25">
      <c r="A34" s="86" t="s">
        <v>13</v>
      </c>
      <c r="B34" s="47" t="s">
        <v>70</v>
      </c>
      <c r="C34" s="98"/>
      <c r="D34" s="278"/>
      <c r="E34" s="696"/>
      <c r="F34" s="687"/>
      <c r="G34" s="678"/>
    </row>
    <row r="35" spans="1:7" ht="27.75">
      <c r="A35" s="86" t="s">
        <v>15</v>
      </c>
      <c r="B35" s="47" t="s">
        <v>71</v>
      </c>
      <c r="C35" s="98"/>
      <c r="D35" s="278"/>
      <c r="E35" s="696"/>
      <c r="F35" s="687"/>
      <c r="G35" s="678"/>
    </row>
    <row r="36" spans="1:7" ht="14.25">
      <c r="A36" s="86" t="s">
        <v>17</v>
      </c>
      <c r="B36" s="47" t="s">
        <v>72</v>
      </c>
      <c r="C36" s="98"/>
      <c r="D36" s="278"/>
      <c r="E36" s="696"/>
      <c r="F36" s="687"/>
      <c r="G36" s="678"/>
    </row>
    <row r="37" spans="1:7" ht="14.25">
      <c r="A37" s="89" t="s">
        <v>55</v>
      </c>
      <c r="B37" s="47" t="s">
        <v>73</v>
      </c>
      <c r="C37" s="98"/>
      <c r="D37" s="280">
        <v>0</v>
      </c>
      <c r="E37" s="696"/>
      <c r="F37" s="687"/>
      <c r="G37" s="678"/>
    </row>
    <row r="38" spans="1:7" ht="14.25">
      <c r="A38" s="88"/>
      <c r="B38" s="50" t="s">
        <v>50</v>
      </c>
      <c r="C38" s="99"/>
      <c r="D38" s="271">
        <f>D34+D35+D36+D37</f>
        <v>0</v>
      </c>
      <c r="E38" s="697"/>
      <c r="F38" s="691"/>
      <c r="G38" s="678"/>
    </row>
    <row r="39" spans="1:7" ht="14.25">
      <c r="A39" s="85">
        <v>2</v>
      </c>
      <c r="B39" s="48" t="s">
        <v>74</v>
      </c>
      <c r="C39" s="98"/>
      <c r="D39" s="278"/>
      <c r="E39" s="696"/>
      <c r="F39" s="686"/>
      <c r="G39" s="678"/>
    </row>
    <row r="40" spans="1:7" ht="14.25">
      <c r="A40" s="86" t="s">
        <v>13</v>
      </c>
      <c r="B40" s="47" t="s">
        <v>75</v>
      </c>
      <c r="C40" s="98"/>
      <c r="D40" s="278"/>
      <c r="E40" s="696"/>
      <c r="F40" s="687"/>
      <c r="G40" s="678"/>
    </row>
    <row r="41" spans="1:7" ht="14.25">
      <c r="A41" s="86" t="s">
        <v>15</v>
      </c>
      <c r="B41" s="47" t="s">
        <v>76</v>
      </c>
      <c r="C41" s="98"/>
      <c r="D41" s="278"/>
      <c r="E41" s="696"/>
      <c r="F41" s="687"/>
      <c r="G41" s="678"/>
    </row>
    <row r="42" spans="1:7" ht="14.25">
      <c r="A42" s="86" t="s">
        <v>17</v>
      </c>
      <c r="B42" s="47" t="s">
        <v>77</v>
      </c>
      <c r="C42" s="98"/>
      <c r="D42" s="278"/>
      <c r="E42" s="696"/>
      <c r="F42" s="687"/>
      <c r="G42" s="678"/>
    </row>
    <row r="43" spans="1:7" ht="27.75">
      <c r="A43" s="89" t="s">
        <v>55</v>
      </c>
      <c r="B43" s="47" t="s">
        <v>78</v>
      </c>
      <c r="C43" s="98"/>
      <c r="D43" s="278"/>
      <c r="E43" s="698">
        <v>0</v>
      </c>
      <c r="F43" s="689">
        <v>0</v>
      </c>
      <c r="G43" s="678"/>
    </row>
    <row r="44" spans="1:7" ht="14.25">
      <c r="A44" s="88"/>
      <c r="B44" s="50" t="s">
        <v>50</v>
      </c>
      <c r="C44" s="99"/>
      <c r="D44" s="279"/>
      <c r="E44" s="697">
        <f>SUM(E40+E41+E42+E43)</f>
        <v>0</v>
      </c>
      <c r="F44" s="691">
        <v>0</v>
      </c>
      <c r="G44" s="678"/>
    </row>
    <row r="45" spans="1:7" ht="14.25">
      <c r="A45" s="85">
        <v>3</v>
      </c>
      <c r="B45" s="48" t="s">
        <v>79</v>
      </c>
      <c r="C45" s="98"/>
      <c r="D45" s="278"/>
      <c r="E45" s="696"/>
      <c r="F45" s="686"/>
      <c r="G45" s="678"/>
    </row>
    <row r="46" spans="1:7" ht="14.25">
      <c r="A46" s="85">
        <v>4</v>
      </c>
      <c r="B46" s="48" t="s">
        <v>80</v>
      </c>
      <c r="C46" s="98"/>
      <c r="D46" s="278"/>
      <c r="E46" s="696"/>
      <c r="F46" s="686"/>
      <c r="G46" s="678"/>
    </row>
    <row r="47" spans="1:7" ht="14.25">
      <c r="A47" s="86" t="s">
        <v>13</v>
      </c>
      <c r="B47" s="47" t="s">
        <v>81</v>
      </c>
      <c r="C47" s="98"/>
      <c r="D47" s="278"/>
      <c r="E47" s="696"/>
      <c r="F47" s="687"/>
      <c r="G47" s="678"/>
    </row>
    <row r="48" spans="1:7" ht="14.25">
      <c r="A48" s="86" t="s">
        <v>15</v>
      </c>
      <c r="B48" s="47" t="s">
        <v>82</v>
      </c>
      <c r="C48" s="98"/>
      <c r="D48" s="278"/>
      <c r="E48" s="696"/>
      <c r="F48" s="687"/>
      <c r="G48" s="678"/>
    </row>
    <row r="49" spans="1:123" ht="14.25">
      <c r="A49" s="86" t="s">
        <v>17</v>
      </c>
      <c r="B49" s="47" t="s">
        <v>83</v>
      </c>
      <c r="C49" s="98"/>
      <c r="D49" s="278"/>
      <c r="E49" s="696"/>
      <c r="F49" s="687"/>
      <c r="G49" s="678"/>
    </row>
    <row r="50" spans="1:123" ht="14.25">
      <c r="A50" s="88"/>
      <c r="B50" s="50" t="s">
        <v>50</v>
      </c>
      <c r="C50" s="99"/>
      <c r="D50" s="279"/>
      <c r="E50" s="697">
        <f>E45+E46</f>
        <v>0</v>
      </c>
      <c r="F50" s="691">
        <v>0</v>
      </c>
      <c r="G50" s="678"/>
    </row>
    <row r="51" spans="1:123" ht="14.25">
      <c r="A51" s="85">
        <v>5</v>
      </c>
      <c r="B51" s="48" t="s">
        <v>84</v>
      </c>
      <c r="C51" s="98"/>
      <c r="D51" s="278"/>
      <c r="E51" s="696"/>
      <c r="F51" s="686"/>
      <c r="G51" s="678"/>
    </row>
    <row r="52" spans="1:123" ht="14.25">
      <c r="A52" s="85">
        <v>6</v>
      </c>
      <c r="B52" s="48" t="s">
        <v>85</v>
      </c>
      <c r="C52" s="98"/>
      <c r="D52" s="278">
        <f>D137+D138</f>
        <v>0</v>
      </c>
      <c r="E52" s="698"/>
      <c r="F52" s="692"/>
      <c r="G52" s="678"/>
    </row>
    <row r="53" spans="1:123" ht="14.25">
      <c r="A53" s="86"/>
      <c r="B53" s="47"/>
      <c r="C53" s="98"/>
      <c r="D53" s="278"/>
      <c r="E53" s="696"/>
      <c r="F53" s="687"/>
      <c r="G53" s="678"/>
    </row>
    <row r="54" spans="1:123" ht="14.25">
      <c r="A54" s="90"/>
      <c r="B54" s="53" t="s">
        <v>86</v>
      </c>
      <c r="C54" s="99"/>
      <c r="D54" s="234">
        <f>D38+D44+D50+D52</f>
        <v>0</v>
      </c>
      <c r="E54" s="697">
        <f>E38+E44+E50+E52</f>
        <v>0</v>
      </c>
      <c r="F54" s="688">
        <v>0</v>
      </c>
      <c r="G54" s="678"/>
    </row>
    <row r="55" spans="1:123" ht="14.25">
      <c r="A55" s="86"/>
      <c r="B55" s="47"/>
      <c r="C55" s="98"/>
      <c r="D55" s="278"/>
      <c r="E55" s="696"/>
      <c r="F55" s="687"/>
      <c r="G55" s="678"/>
    </row>
    <row r="56" spans="1:123" ht="14.25">
      <c r="A56" s="90"/>
      <c r="B56" s="53" t="s">
        <v>87</v>
      </c>
      <c r="C56" s="99"/>
      <c r="D56" s="234">
        <f>D54+D29</f>
        <v>1611282744.6823997</v>
      </c>
      <c r="E56" s="697">
        <f>E54+E29</f>
        <v>1237790570.0699999</v>
      </c>
      <c r="F56" s="688">
        <v>887545982.83000004</v>
      </c>
      <c r="G56" s="678"/>
    </row>
    <row r="57" spans="1:123" ht="15" thickBot="1">
      <c r="A57" s="91"/>
      <c r="B57" s="80"/>
      <c r="C57" s="100"/>
      <c r="D57" s="281"/>
      <c r="E57" s="700"/>
      <c r="F57" s="693"/>
      <c r="G57" s="678"/>
    </row>
    <row r="58" spans="1:123" ht="14.25">
      <c r="A58" s="76"/>
      <c r="B58" s="77"/>
      <c r="C58" s="78"/>
      <c r="D58" s="282"/>
      <c r="E58" s="79"/>
      <c r="F58" s="79"/>
      <c r="G58" s="678"/>
    </row>
    <row r="59" spans="1:123" ht="14.25">
      <c r="A59" s="76"/>
      <c r="B59" s="77"/>
      <c r="C59" s="78"/>
      <c r="D59" s="282"/>
      <c r="E59" s="79"/>
      <c r="F59" s="79"/>
      <c r="G59" s="678"/>
      <c r="H59" s="28"/>
    </row>
    <row r="60" spans="1:123" ht="14.25">
      <c r="A60" s="76"/>
      <c r="B60" s="77"/>
      <c r="C60" s="78"/>
      <c r="D60" s="282"/>
      <c r="E60" s="79"/>
      <c r="F60" s="79"/>
      <c r="G60" s="678"/>
      <c r="N60" s="73"/>
      <c r="O60" s="73"/>
      <c r="P60" s="73"/>
      <c r="Q60" s="73"/>
      <c r="R60" s="296"/>
      <c r="S60" s="28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</row>
    <row r="61" spans="1:123" ht="14.25">
      <c r="A61" s="76"/>
      <c r="B61" s="77"/>
      <c r="C61" s="78"/>
      <c r="D61" s="282"/>
      <c r="E61" s="79"/>
      <c r="F61" s="79"/>
      <c r="G61" s="678"/>
      <c r="N61" s="73"/>
      <c r="O61" s="73"/>
      <c r="P61" s="73"/>
      <c r="Q61" s="73"/>
      <c r="R61" s="296"/>
      <c r="S61" s="28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</row>
    <row r="62" spans="1:123" s="73" customFormat="1" ht="13.5">
      <c r="A62" s="71"/>
      <c r="B62" s="72"/>
      <c r="C62" s="72"/>
      <c r="D62" s="283"/>
      <c r="E62" s="680"/>
      <c r="F62" s="72"/>
      <c r="G62" s="678"/>
      <c r="I62" s="283"/>
      <c r="J62" s="283"/>
      <c r="K62" s="283"/>
      <c r="R62" s="296"/>
      <c r="S62" s="283"/>
    </row>
    <row r="63" spans="1:123" s="75" customFormat="1" ht="15.75" customHeight="1" thickBot="1">
      <c r="A63" s="74"/>
      <c r="B63" s="290" t="s">
        <v>495</v>
      </c>
      <c r="C63" s="710" t="str">
        <f>C1</f>
        <v xml:space="preserve">RFZ Building  sh.p.k </v>
      </c>
      <c r="D63" s="710"/>
      <c r="E63" s="710"/>
      <c r="F63" s="710"/>
      <c r="G63" s="678"/>
      <c r="H63" s="73"/>
      <c r="I63" s="283"/>
      <c r="J63" s="283"/>
      <c r="K63" s="283"/>
      <c r="L63" s="73"/>
      <c r="M63" s="73"/>
      <c r="N63" s="73"/>
      <c r="O63" s="73"/>
      <c r="P63" s="73"/>
      <c r="Q63" s="73"/>
      <c r="R63" s="296"/>
      <c r="S63" s="28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</row>
    <row r="64" spans="1:123" ht="15" customHeight="1">
      <c r="A64" s="711"/>
      <c r="B64" s="713" t="s">
        <v>40</v>
      </c>
      <c r="C64" s="715" t="s">
        <v>3</v>
      </c>
      <c r="D64" s="721" t="s">
        <v>493</v>
      </c>
      <c r="E64" s="717" t="s">
        <v>478</v>
      </c>
      <c r="F64" s="719" t="s">
        <v>41</v>
      </c>
      <c r="G64" s="678"/>
      <c r="H64" s="73"/>
      <c r="I64" s="283"/>
      <c r="J64" s="283"/>
      <c r="K64" s="283"/>
      <c r="L64" s="73"/>
      <c r="M64" s="73"/>
      <c r="N64" s="73"/>
      <c r="O64" s="73"/>
      <c r="P64" s="73"/>
      <c r="Q64" s="73"/>
      <c r="R64" s="296"/>
      <c r="S64" s="28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</row>
    <row r="65" spans="1:123" ht="12.75" customHeight="1">
      <c r="A65" s="712"/>
      <c r="B65" s="714"/>
      <c r="C65" s="716"/>
      <c r="D65" s="722"/>
      <c r="E65" s="718"/>
      <c r="F65" s="720"/>
      <c r="G65" s="678"/>
      <c r="H65" s="73"/>
      <c r="I65" s="283"/>
      <c r="J65" s="283"/>
      <c r="K65" s="283"/>
      <c r="L65" s="73"/>
      <c r="M65" s="73"/>
      <c r="N65" s="73"/>
      <c r="O65" s="73"/>
      <c r="P65" s="73"/>
      <c r="Q65" s="73"/>
      <c r="R65" s="296"/>
      <c r="S65" s="28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</row>
    <row r="66" spans="1:123" ht="14.25">
      <c r="A66" s="85" t="s">
        <v>88</v>
      </c>
      <c r="B66" s="46" t="s">
        <v>89</v>
      </c>
      <c r="C66" s="49"/>
      <c r="D66" s="278"/>
      <c r="E66" s="37"/>
      <c r="F66" s="230"/>
      <c r="G66" s="678"/>
      <c r="H66" s="73"/>
      <c r="I66" s="283"/>
      <c r="J66" s="283"/>
      <c r="K66" s="283"/>
      <c r="L66" s="73"/>
      <c r="M66" s="73"/>
      <c r="N66" s="73"/>
      <c r="O66" s="73"/>
      <c r="P66" s="73"/>
      <c r="Q66" s="73"/>
      <c r="R66" s="296"/>
      <c r="S66" s="28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</row>
    <row r="67" spans="1:123" ht="14.25">
      <c r="A67" s="85"/>
      <c r="B67" s="46"/>
      <c r="C67" s="49"/>
      <c r="D67" s="278"/>
      <c r="E67" s="37"/>
      <c r="F67" s="230"/>
      <c r="G67" s="678"/>
      <c r="N67" s="73"/>
      <c r="O67" s="73"/>
      <c r="P67" s="73"/>
      <c r="Q67" s="73"/>
      <c r="R67" s="296"/>
      <c r="S67" s="28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</row>
    <row r="68" spans="1:123" ht="14.25">
      <c r="A68" s="85" t="s">
        <v>44</v>
      </c>
      <c r="B68" s="46" t="s">
        <v>90</v>
      </c>
      <c r="C68" s="49"/>
      <c r="D68" s="278"/>
      <c r="E68" s="37"/>
      <c r="F68" s="230"/>
      <c r="G68" s="678"/>
      <c r="N68" s="73"/>
      <c r="O68" s="73"/>
      <c r="P68" s="73"/>
      <c r="Q68" s="73"/>
      <c r="R68" s="296"/>
      <c r="S68" s="28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</row>
    <row r="69" spans="1:123" ht="14.25">
      <c r="A69" s="85"/>
      <c r="B69" s="46"/>
      <c r="C69" s="49"/>
      <c r="D69" s="278"/>
      <c r="E69" s="37"/>
      <c r="F69" s="230"/>
      <c r="G69" s="678"/>
      <c r="N69" s="73"/>
      <c r="O69" s="73"/>
      <c r="P69" s="73"/>
      <c r="Q69" s="73"/>
      <c r="R69" s="296"/>
      <c r="S69" s="28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</row>
    <row r="70" spans="1:123" ht="14.25">
      <c r="A70" s="85">
        <v>1</v>
      </c>
      <c r="B70" s="46" t="s">
        <v>91</v>
      </c>
      <c r="C70" s="49"/>
      <c r="D70" s="278"/>
      <c r="E70" s="37"/>
      <c r="F70" s="230"/>
      <c r="G70" s="678"/>
    </row>
    <row r="71" spans="1:123" ht="14.25">
      <c r="A71" s="85">
        <v>2</v>
      </c>
      <c r="B71" s="46" t="s">
        <v>92</v>
      </c>
      <c r="C71" s="49"/>
      <c r="D71" s="230">
        <f>D72+D73+D74</f>
        <v>229086296.66999999</v>
      </c>
      <c r="E71" s="37">
        <f>E72+E73+E74</f>
        <v>206508005.44</v>
      </c>
      <c r="F71" s="230">
        <v>25180431.000000004</v>
      </c>
      <c r="G71" s="678"/>
    </row>
    <row r="72" spans="1:123" ht="14.25">
      <c r="A72" s="86" t="s">
        <v>13</v>
      </c>
      <c r="B72" s="55" t="s">
        <v>93</v>
      </c>
      <c r="C72" s="49"/>
      <c r="D72" s="278">
        <f>-D143</f>
        <v>0</v>
      </c>
      <c r="E72" s="37"/>
      <c r="F72" s="37"/>
      <c r="G72" s="678"/>
    </row>
    <row r="73" spans="1:123" ht="14.25">
      <c r="A73" s="86" t="s">
        <v>15</v>
      </c>
      <c r="B73" s="55" t="s">
        <v>94</v>
      </c>
      <c r="C73" s="98">
        <v>2.6</v>
      </c>
      <c r="D73" s="284">
        <f>D131</f>
        <v>229086296.66999999</v>
      </c>
      <c r="E73" s="232">
        <f>E131</f>
        <v>206508005.44</v>
      </c>
      <c r="F73" s="273">
        <v>25180431.000000004</v>
      </c>
      <c r="G73" s="678"/>
    </row>
    <row r="74" spans="1:123" ht="14.25">
      <c r="A74" s="86" t="s">
        <v>17</v>
      </c>
      <c r="B74" s="55" t="s">
        <v>95</v>
      </c>
      <c r="C74" s="49"/>
      <c r="D74" s="278"/>
      <c r="E74" s="37"/>
      <c r="F74" s="37"/>
      <c r="G74" s="678"/>
    </row>
    <row r="75" spans="1:123" ht="14.25">
      <c r="A75" s="87"/>
      <c r="B75" s="56" t="s">
        <v>50</v>
      </c>
      <c r="C75" s="51"/>
      <c r="D75" s="231">
        <f>D70+D71</f>
        <v>229086296.66999999</v>
      </c>
      <c r="E75" s="231">
        <f>E70+E71</f>
        <v>206508005.44</v>
      </c>
      <c r="F75" s="231">
        <v>25180431.000000004</v>
      </c>
      <c r="G75" s="678"/>
    </row>
    <row r="76" spans="1:123" ht="14.25">
      <c r="A76" s="85">
        <v>3</v>
      </c>
      <c r="B76" s="46" t="s">
        <v>96</v>
      </c>
      <c r="C76" s="49"/>
      <c r="D76" s="278"/>
      <c r="E76" s="37"/>
      <c r="F76" s="230"/>
      <c r="G76" s="678"/>
    </row>
    <row r="77" spans="1:123" ht="14.25">
      <c r="A77" s="86" t="s">
        <v>13</v>
      </c>
      <c r="B77" s="55" t="s">
        <v>97</v>
      </c>
      <c r="C77" s="98">
        <v>2.7</v>
      </c>
      <c r="D77" s="232">
        <f>D126+D125</f>
        <v>4951692.4500000197</v>
      </c>
      <c r="E77" s="232">
        <f>E125</f>
        <v>4812235.3500000015</v>
      </c>
      <c r="F77" s="232">
        <v>2767253.0699999928</v>
      </c>
      <c r="G77" s="678"/>
    </row>
    <row r="78" spans="1:123" ht="14.25">
      <c r="A78" s="86" t="s">
        <v>15</v>
      </c>
      <c r="B78" s="55" t="s">
        <v>98</v>
      </c>
      <c r="C78" s="98">
        <v>2.8</v>
      </c>
      <c r="D78" s="232">
        <f>D127</f>
        <v>728004</v>
      </c>
      <c r="E78" s="232">
        <f>E127</f>
        <v>1902494</v>
      </c>
      <c r="F78" s="232">
        <v>1728000</v>
      </c>
      <c r="G78" s="678"/>
      <c r="H78" s="28"/>
    </row>
    <row r="79" spans="1:123" ht="14.25">
      <c r="A79" s="86" t="s">
        <v>17</v>
      </c>
      <c r="B79" s="55" t="s">
        <v>99</v>
      </c>
      <c r="C79" s="98">
        <v>2.9</v>
      </c>
      <c r="D79" s="232">
        <f>D128+D129</f>
        <v>47923</v>
      </c>
      <c r="E79" s="232">
        <f>E129+E128</f>
        <v>46461</v>
      </c>
      <c r="F79" s="232">
        <v>8000</v>
      </c>
      <c r="G79" s="678"/>
      <c r="H79" s="28"/>
    </row>
    <row r="80" spans="1:123" ht="14.25">
      <c r="A80" s="86" t="s">
        <v>55</v>
      </c>
      <c r="B80" s="55" t="s">
        <v>100</v>
      </c>
      <c r="C80" s="98"/>
      <c r="D80" s="278"/>
      <c r="E80" s="37"/>
      <c r="F80" s="37"/>
      <c r="G80" s="678"/>
      <c r="H80" s="28"/>
    </row>
    <row r="81" spans="1:8" ht="14.25">
      <c r="A81" s="86" t="s">
        <v>62</v>
      </c>
      <c r="B81" s="55" t="s">
        <v>101</v>
      </c>
      <c r="C81" s="98">
        <v>3</v>
      </c>
      <c r="D81" s="280">
        <f>-D141</f>
        <v>1019059890.98</v>
      </c>
      <c r="E81" s="37">
        <f>-E141</f>
        <v>462420047.66000003</v>
      </c>
      <c r="F81" s="37">
        <v>172114512.53</v>
      </c>
      <c r="G81" s="678"/>
      <c r="H81" s="28"/>
    </row>
    <row r="82" spans="1:8" ht="14.25">
      <c r="A82" s="88"/>
      <c r="B82" s="54" t="s">
        <v>50</v>
      </c>
      <c r="C82" s="99"/>
      <c r="D82" s="233">
        <f>SUM(D77:D81)</f>
        <v>1024787510.4300001</v>
      </c>
      <c r="E82" s="231">
        <f>SUM(E77:E81)</f>
        <v>469181238.01000005</v>
      </c>
      <c r="F82" s="233">
        <v>176617765.59999999</v>
      </c>
      <c r="G82" s="678"/>
      <c r="H82" s="28"/>
    </row>
    <row r="83" spans="1:8" ht="14.25">
      <c r="A83" s="85">
        <v>4</v>
      </c>
      <c r="B83" s="46" t="s">
        <v>102</v>
      </c>
      <c r="C83" s="98"/>
      <c r="D83" s="278">
        <f>D133</f>
        <v>289378.83</v>
      </c>
      <c r="E83" s="37"/>
      <c r="F83" s="230"/>
      <c r="G83" s="678"/>
    </row>
    <row r="84" spans="1:8" ht="14.25">
      <c r="A84" s="85">
        <v>5</v>
      </c>
      <c r="B84" s="46" t="s">
        <v>103</v>
      </c>
      <c r="C84" s="98"/>
      <c r="D84" s="278"/>
      <c r="E84" s="37"/>
      <c r="F84" s="230"/>
      <c r="G84" s="678"/>
    </row>
    <row r="85" spans="1:8" ht="14.25">
      <c r="A85" s="86"/>
      <c r="B85" s="55"/>
      <c r="C85" s="98"/>
      <c r="D85" s="278"/>
      <c r="E85" s="37"/>
      <c r="F85" s="37"/>
      <c r="G85" s="678"/>
    </row>
    <row r="86" spans="1:8" ht="14.25">
      <c r="A86" s="90"/>
      <c r="B86" s="52" t="s">
        <v>104</v>
      </c>
      <c r="C86" s="99"/>
      <c r="D86" s="234">
        <f>D84+D83+D82+D75</f>
        <v>1254163185.9300001</v>
      </c>
      <c r="E86" s="231">
        <f>E84+E83+E82+E75</f>
        <v>675689243.45000005</v>
      </c>
      <c r="F86" s="234">
        <v>201798196.59999999</v>
      </c>
      <c r="G86" s="678"/>
    </row>
    <row r="87" spans="1:8" ht="14.25">
      <c r="A87" s="86"/>
      <c r="B87" s="55"/>
      <c r="C87" s="98"/>
      <c r="D87" s="278"/>
      <c r="E87" s="37"/>
      <c r="F87" s="37"/>
      <c r="G87" s="678"/>
    </row>
    <row r="88" spans="1:8" ht="14.25">
      <c r="A88" s="85" t="s">
        <v>67</v>
      </c>
      <c r="B88" s="46" t="s">
        <v>105</v>
      </c>
      <c r="C88" s="98"/>
      <c r="D88" s="278"/>
      <c r="E88" s="37"/>
      <c r="F88" s="37"/>
      <c r="G88" s="678"/>
    </row>
    <row r="89" spans="1:8" ht="14.25">
      <c r="A89" s="86"/>
      <c r="B89" s="31"/>
      <c r="C89" s="98"/>
      <c r="D89" s="278"/>
      <c r="E89" s="37"/>
      <c r="F89" s="37"/>
      <c r="G89" s="678"/>
    </row>
    <row r="90" spans="1:8" ht="14.25">
      <c r="A90" s="85">
        <v>1</v>
      </c>
      <c r="B90" s="46" t="s">
        <v>106</v>
      </c>
      <c r="C90" s="98"/>
      <c r="D90" s="278"/>
      <c r="E90" s="37"/>
      <c r="F90" s="230"/>
      <c r="G90" s="678"/>
    </row>
    <row r="91" spans="1:8" ht="14.25">
      <c r="A91" s="86" t="s">
        <v>13</v>
      </c>
      <c r="B91" s="55" t="s">
        <v>107</v>
      </c>
      <c r="C91" s="98">
        <v>2.6</v>
      </c>
      <c r="D91" s="37">
        <f>D132</f>
        <v>266428301.69999999</v>
      </c>
      <c r="E91" s="232">
        <f>E132</f>
        <v>436301108.10000002</v>
      </c>
      <c r="F91" s="273">
        <v>390296680.5</v>
      </c>
      <c r="G91" s="678"/>
    </row>
    <row r="92" spans="1:8" ht="14.25">
      <c r="A92" s="86" t="s">
        <v>15</v>
      </c>
      <c r="B92" s="55" t="s">
        <v>108</v>
      </c>
      <c r="C92" s="98"/>
      <c r="D92" s="278"/>
      <c r="E92" s="37"/>
      <c r="F92" s="37"/>
      <c r="G92" s="678"/>
    </row>
    <row r="93" spans="1:8" ht="14.25">
      <c r="A93" s="88"/>
      <c r="B93" s="54" t="s">
        <v>50</v>
      </c>
      <c r="C93" s="99"/>
      <c r="D93" s="233">
        <f>SUM(D88:D92)</f>
        <v>266428301.69999999</v>
      </c>
      <c r="E93" s="231">
        <f>SUM(E88:E92)</f>
        <v>436301108.10000002</v>
      </c>
      <c r="F93" s="233">
        <v>390296680.5</v>
      </c>
      <c r="G93" s="678"/>
    </row>
    <row r="94" spans="1:8" ht="14.25">
      <c r="A94" s="85">
        <v>2</v>
      </c>
      <c r="B94" s="46" t="s">
        <v>109</v>
      </c>
      <c r="C94" s="98">
        <v>3.1</v>
      </c>
      <c r="D94" s="280">
        <f>D130</f>
        <v>85716550.400000006</v>
      </c>
      <c r="E94" s="232">
        <f>E130</f>
        <v>133284854.77</v>
      </c>
      <c r="F94" s="235">
        <v>296653663.89999998</v>
      </c>
      <c r="G94" s="678"/>
    </row>
    <row r="95" spans="1:8" ht="14.25">
      <c r="A95" s="85">
        <v>3</v>
      </c>
      <c r="B95" s="46" t="s">
        <v>110</v>
      </c>
      <c r="C95" s="98"/>
      <c r="D95" s="278"/>
      <c r="E95" s="37"/>
      <c r="F95" s="230"/>
      <c r="G95" s="678"/>
    </row>
    <row r="96" spans="1:8" ht="14.25">
      <c r="A96" s="85">
        <v>4</v>
      </c>
      <c r="B96" s="46" t="s">
        <v>111</v>
      </c>
      <c r="C96" s="98"/>
      <c r="D96" s="278"/>
      <c r="E96" s="37"/>
      <c r="F96" s="230"/>
      <c r="G96" s="678"/>
    </row>
    <row r="97" spans="1:7" ht="14.25">
      <c r="A97" s="86"/>
      <c r="B97" s="55"/>
      <c r="C97" s="98"/>
      <c r="D97" s="278"/>
      <c r="E97" s="37"/>
      <c r="F97" s="37"/>
      <c r="G97" s="678"/>
    </row>
    <row r="98" spans="1:7" ht="14.25">
      <c r="A98" s="90"/>
      <c r="B98" s="52" t="s">
        <v>112</v>
      </c>
      <c r="C98" s="99"/>
      <c r="D98" s="234">
        <f>D96+D95+D94+D93</f>
        <v>352144852.10000002</v>
      </c>
      <c r="E98" s="231">
        <f>E96+E95+E94+E93</f>
        <v>569585962.87</v>
      </c>
      <c r="F98" s="234">
        <v>686950344.39999998</v>
      </c>
      <c r="G98" s="678"/>
    </row>
    <row r="99" spans="1:7" ht="14.25">
      <c r="A99" s="86"/>
      <c r="B99" s="55"/>
      <c r="C99" s="98"/>
      <c r="D99" s="278"/>
      <c r="E99" s="37"/>
      <c r="F99" s="37"/>
      <c r="G99" s="678"/>
    </row>
    <row r="100" spans="1:7" ht="14.25">
      <c r="A100" s="90"/>
      <c r="B100" s="52" t="s">
        <v>113</v>
      </c>
      <c r="C100" s="99"/>
      <c r="D100" s="234">
        <f>D98+D86</f>
        <v>1606308038.0300002</v>
      </c>
      <c r="E100" s="231">
        <f>E98+E86</f>
        <v>1245275206.3200002</v>
      </c>
      <c r="F100" s="234">
        <v>888748541</v>
      </c>
      <c r="G100" s="678"/>
    </row>
    <row r="101" spans="1:7" ht="14.25">
      <c r="A101" s="86"/>
      <c r="B101" s="55"/>
      <c r="C101" s="98"/>
      <c r="D101" s="278"/>
      <c r="E101" s="37"/>
      <c r="F101" s="37"/>
      <c r="G101" s="678"/>
    </row>
    <row r="102" spans="1:7" ht="14.25">
      <c r="A102" s="85" t="s">
        <v>114</v>
      </c>
      <c r="B102" s="46" t="s">
        <v>115</v>
      </c>
      <c r="C102" s="98"/>
      <c r="D102" s="278"/>
      <c r="E102" s="37"/>
      <c r="F102" s="37"/>
      <c r="G102" s="678"/>
    </row>
    <row r="103" spans="1:7" ht="14.25">
      <c r="A103" s="86"/>
      <c r="B103" s="31"/>
      <c r="C103" s="98"/>
      <c r="D103" s="278"/>
      <c r="E103" s="37"/>
      <c r="F103" s="37"/>
      <c r="G103" s="678"/>
    </row>
    <row r="104" spans="1:7" ht="28.5">
      <c r="A104" s="85">
        <v>1</v>
      </c>
      <c r="B104" s="46" t="s">
        <v>116</v>
      </c>
      <c r="C104" s="98"/>
      <c r="D104" s="278"/>
      <c r="E104" s="37"/>
      <c r="F104" s="230"/>
      <c r="G104" s="678"/>
    </row>
    <row r="105" spans="1:7" ht="42.75">
      <c r="A105" s="85">
        <v>2</v>
      </c>
      <c r="B105" s="46" t="s">
        <v>117</v>
      </c>
      <c r="C105" s="98"/>
      <c r="D105" s="278"/>
      <c r="E105" s="37"/>
      <c r="F105" s="230"/>
      <c r="G105" s="678"/>
    </row>
    <row r="106" spans="1:7" ht="14.25">
      <c r="A106" s="85">
        <v>3</v>
      </c>
      <c r="B106" s="46" t="s">
        <v>118</v>
      </c>
      <c r="C106" s="49">
        <v>1</v>
      </c>
      <c r="D106" s="278">
        <f>D122</f>
        <v>20716514.420000002</v>
      </c>
      <c r="E106" s="37">
        <f>E122</f>
        <v>100000</v>
      </c>
      <c r="F106" s="230">
        <v>100000</v>
      </c>
      <c r="G106" s="678"/>
    </row>
    <row r="107" spans="1:7" ht="14.25">
      <c r="A107" s="85">
        <v>4</v>
      </c>
      <c r="B107" s="46" t="s">
        <v>119</v>
      </c>
      <c r="C107" s="98"/>
      <c r="D107" s="278"/>
      <c r="E107" s="37"/>
      <c r="F107" s="230"/>
      <c r="G107" s="678"/>
    </row>
    <row r="108" spans="1:7" ht="14.25">
      <c r="A108" s="85">
        <v>5</v>
      </c>
      <c r="B108" s="46" t="s">
        <v>120</v>
      </c>
      <c r="C108" s="98"/>
      <c r="D108" s="278"/>
      <c r="E108" s="37"/>
      <c r="F108" s="230"/>
      <c r="G108" s="678"/>
    </row>
    <row r="109" spans="1:7" ht="14.25">
      <c r="A109" s="85">
        <v>6</v>
      </c>
      <c r="B109" s="46" t="s">
        <v>121</v>
      </c>
      <c r="C109" s="98"/>
      <c r="D109" s="278"/>
      <c r="E109" s="37"/>
      <c r="F109" s="230"/>
      <c r="G109" s="678"/>
    </row>
    <row r="110" spans="1:7" ht="14.25">
      <c r="A110" s="85">
        <v>7</v>
      </c>
      <c r="B110" s="46" t="s">
        <v>122</v>
      </c>
      <c r="C110" s="98"/>
      <c r="D110" s="278"/>
      <c r="E110" s="37"/>
      <c r="F110" s="230"/>
      <c r="G110" s="678"/>
    </row>
    <row r="111" spans="1:7" ht="14.25">
      <c r="A111" s="85">
        <v>8</v>
      </c>
      <c r="B111" s="46" t="s">
        <v>123</v>
      </c>
      <c r="C111" s="98"/>
      <c r="D111" s="278"/>
      <c r="E111" s="37"/>
      <c r="F111" s="230"/>
      <c r="G111" s="678"/>
    </row>
    <row r="112" spans="1:7" ht="14.25">
      <c r="A112" s="85">
        <v>9</v>
      </c>
      <c r="B112" s="46" t="s">
        <v>124</v>
      </c>
      <c r="C112" s="98"/>
      <c r="D112" s="230">
        <f>D123</f>
        <v>-7584636.25</v>
      </c>
      <c r="E112" s="37">
        <f>E123</f>
        <v>-1302558.18</v>
      </c>
      <c r="F112" s="230">
        <v>-4120883.33</v>
      </c>
      <c r="G112" s="678"/>
    </row>
    <row r="113" spans="1:32" ht="14.25">
      <c r="A113" s="85">
        <v>10</v>
      </c>
      <c r="B113" s="46" t="s">
        <v>125</v>
      </c>
      <c r="C113" s="98">
        <v>3.3</v>
      </c>
      <c r="D113" s="235">
        <f>D124</f>
        <v>-8157171.5199999996</v>
      </c>
      <c r="E113" s="232">
        <f>E124</f>
        <v>-6282078.0700000003</v>
      </c>
      <c r="F113" s="235">
        <v>2818325.15</v>
      </c>
      <c r="G113" s="678"/>
    </row>
    <row r="114" spans="1:32" ht="14.25">
      <c r="A114" s="86"/>
      <c r="B114" s="31"/>
      <c r="C114" s="98"/>
      <c r="D114" s="278"/>
      <c r="E114" s="37"/>
      <c r="F114" s="37"/>
      <c r="G114" s="678"/>
    </row>
    <row r="115" spans="1:32" ht="14.25">
      <c r="A115" s="90"/>
      <c r="B115" s="52" t="s">
        <v>126</v>
      </c>
      <c r="C115" s="99"/>
      <c r="D115" s="234">
        <f>SUM(D104:D114)</f>
        <v>4974706.6500000022</v>
      </c>
      <c r="E115" s="231">
        <f>SUM(E104:E114)</f>
        <v>-7484636.25</v>
      </c>
      <c r="F115" s="234">
        <v>-1202558.1800000002</v>
      </c>
      <c r="G115" s="678"/>
    </row>
    <row r="116" spans="1:32" ht="14.25">
      <c r="A116" s="86"/>
      <c r="B116" s="31"/>
      <c r="C116" s="49"/>
      <c r="D116" s="278"/>
      <c r="E116" s="37"/>
      <c r="F116" s="37"/>
      <c r="G116" s="678"/>
    </row>
    <row r="117" spans="1:32" ht="15" thickBot="1">
      <c r="A117" s="92"/>
      <c r="B117" s="93" t="s">
        <v>127</v>
      </c>
      <c r="C117" s="94"/>
      <c r="D117" s="234">
        <f>D115+D100</f>
        <v>1611282744.6800003</v>
      </c>
      <c r="E117" s="231">
        <f>E115+E100</f>
        <v>1237790570.0700002</v>
      </c>
      <c r="F117" s="234">
        <v>887545982.82000005</v>
      </c>
      <c r="G117" s="678"/>
    </row>
    <row r="118" spans="1:32" ht="13.5">
      <c r="A118" s="4"/>
      <c r="B118" s="12"/>
      <c r="C118" s="12"/>
      <c r="D118" s="285">
        <f>D117-D56</f>
        <v>-2.399444580078125E-3</v>
      </c>
      <c r="E118" s="285">
        <f>E117-E56</f>
        <v>0</v>
      </c>
      <c r="F118" s="12">
        <v>887545982.82000005</v>
      </c>
      <c r="V118" s="18"/>
      <c r="W118" s="18"/>
      <c r="X118" s="18"/>
      <c r="AE118" s="295"/>
      <c r="AF118" s="18"/>
    </row>
    <row r="119" spans="1:32" ht="14.25" customHeight="1" outlineLevel="1">
      <c r="A119" s="4"/>
      <c r="B119" s="708" t="s">
        <v>38</v>
      </c>
      <c r="C119" s="708"/>
      <c r="D119" s="708"/>
      <c r="E119" s="708"/>
      <c r="F119" s="12">
        <v>887545982.82000005</v>
      </c>
      <c r="V119" s="18"/>
      <c r="W119" s="18"/>
      <c r="X119" s="18"/>
      <c r="AE119" s="295"/>
      <c r="AF119" s="18"/>
    </row>
    <row r="120" spans="1:32" ht="14.25" customHeight="1" outlineLevel="1">
      <c r="A120" s="4"/>
      <c r="B120" s="17"/>
      <c r="C120" s="17"/>
      <c r="D120" s="286"/>
      <c r="E120" s="17"/>
      <c r="F120" s="12"/>
      <c r="V120" s="18"/>
      <c r="W120" s="18"/>
      <c r="X120" s="18"/>
      <c r="AE120" s="295"/>
      <c r="AF120" s="18"/>
    </row>
    <row r="121" spans="1:32" ht="15" outlineLevel="1">
      <c r="A121" s="4"/>
      <c r="B121" s="95"/>
      <c r="D121" s="287" t="s">
        <v>493</v>
      </c>
      <c r="E121" s="681">
        <v>2012</v>
      </c>
      <c r="F121" s="12"/>
      <c r="V121" s="18"/>
      <c r="W121" s="18"/>
      <c r="X121" s="18"/>
      <c r="AE121" s="295"/>
      <c r="AF121" s="18"/>
    </row>
    <row r="122" spans="1:32" outlineLevel="1">
      <c r="A122">
        <v>101</v>
      </c>
      <c r="B122" s="96" t="s">
        <v>115</v>
      </c>
      <c r="D122" s="96">
        <v>20716514.420000002</v>
      </c>
      <c r="E122" s="96">
        <v>100000</v>
      </c>
      <c r="V122" s="18"/>
      <c r="W122" s="18"/>
      <c r="X122" s="18"/>
      <c r="AE122" s="295"/>
      <c r="AF122" s="18"/>
    </row>
    <row r="123" spans="1:32" outlineLevel="1">
      <c r="A123">
        <v>108</v>
      </c>
      <c r="B123" s="96" t="s">
        <v>422</v>
      </c>
      <c r="D123" s="242">
        <v>-7584636.25</v>
      </c>
      <c r="E123" s="242">
        <v>-1302558.18</v>
      </c>
      <c r="V123" s="18"/>
      <c r="W123" s="18"/>
      <c r="X123" s="18"/>
      <c r="AE123" s="295"/>
      <c r="AF123" s="18"/>
    </row>
    <row r="124" spans="1:32" outlineLevel="1">
      <c r="A124">
        <v>121</v>
      </c>
      <c r="B124" s="96" t="s">
        <v>423</v>
      </c>
      <c r="D124" s="242">
        <v>-8157171.5199999996</v>
      </c>
      <c r="E124" s="242">
        <v>-6282078.0700000003</v>
      </c>
      <c r="V124" s="18"/>
      <c r="W124" s="18"/>
      <c r="X124" s="18"/>
      <c r="AE124" s="295"/>
      <c r="AF124" s="18"/>
    </row>
    <row r="125" spans="1:32" outlineLevel="1">
      <c r="A125">
        <v>401</v>
      </c>
      <c r="B125" s="96" t="s">
        <v>417</v>
      </c>
      <c r="D125" s="242">
        <v>3689789.8800000199</v>
      </c>
      <c r="E125" s="242">
        <f>-61285113.5+103713+E139</f>
        <v>4812235.3500000015</v>
      </c>
      <c r="V125" s="18"/>
      <c r="W125" s="18"/>
      <c r="X125" s="18"/>
      <c r="AE125" s="295"/>
      <c r="AF125" s="18"/>
    </row>
    <row r="126" spans="1:32" outlineLevel="1">
      <c r="A126">
        <v>402</v>
      </c>
      <c r="B126" s="96" t="s">
        <v>476</v>
      </c>
      <c r="D126" s="242">
        <v>1261902.57</v>
      </c>
      <c r="E126" s="242"/>
      <c r="V126" s="18"/>
      <c r="W126" s="18"/>
      <c r="X126" s="18"/>
      <c r="AE126" s="295"/>
      <c r="AF126" s="18"/>
    </row>
    <row r="127" spans="1:32" outlineLevel="1">
      <c r="A127">
        <v>421</v>
      </c>
      <c r="B127" s="96" t="s">
        <v>424</v>
      </c>
      <c r="D127" s="242">
        <v>728004</v>
      </c>
      <c r="E127" s="242">
        <v>1902494</v>
      </c>
      <c r="V127" s="18"/>
      <c r="W127" s="18"/>
      <c r="X127" s="18"/>
      <c r="AE127" s="295"/>
      <c r="AF127" s="18"/>
    </row>
    <row r="128" spans="1:32" outlineLevel="1">
      <c r="A128">
        <v>431</v>
      </c>
      <c r="B128" s="96" t="s">
        <v>431</v>
      </c>
      <c r="D128" s="242">
        <v>26541</v>
      </c>
      <c r="E128" s="242">
        <v>25521</v>
      </c>
      <c r="V128" s="18"/>
      <c r="W128" s="18"/>
      <c r="X128" s="18"/>
      <c r="AE128" s="295"/>
      <c r="AF128" s="18"/>
    </row>
    <row r="129" spans="1:32" outlineLevel="1">
      <c r="A129">
        <v>442</v>
      </c>
      <c r="B129" s="96" t="s">
        <v>425</v>
      </c>
      <c r="D129" s="242">
        <v>21382</v>
      </c>
      <c r="E129" s="242">
        <v>20940</v>
      </c>
      <c r="V129" s="18"/>
      <c r="W129" s="18"/>
      <c r="X129" s="18"/>
      <c r="AE129" s="295"/>
      <c r="AF129" s="18"/>
    </row>
    <row r="130" spans="1:32" outlineLevel="1">
      <c r="A130">
        <v>455</v>
      </c>
      <c r="B130" s="96" t="s">
        <v>426</v>
      </c>
      <c r="D130" s="242">
        <v>85716550.400000006</v>
      </c>
      <c r="E130" s="242">
        <v>133284854.77</v>
      </c>
      <c r="V130" s="18"/>
      <c r="W130" s="18"/>
      <c r="X130" s="18"/>
      <c r="AE130" s="295"/>
      <c r="AF130" s="18"/>
    </row>
    <row r="131" spans="1:32" outlineLevel="1">
      <c r="A131">
        <v>461</v>
      </c>
      <c r="B131" s="96" t="s">
        <v>428</v>
      </c>
      <c r="D131" s="242">
        <v>229086296.66999999</v>
      </c>
      <c r="E131" s="242">
        <v>206508005.44</v>
      </c>
      <c r="G131" s="28"/>
      <c r="V131" s="18"/>
      <c r="W131" s="18"/>
      <c r="X131" s="18"/>
      <c r="AE131" s="295"/>
      <c r="AF131" s="18"/>
    </row>
    <row r="132" spans="1:32" outlineLevel="1">
      <c r="A132">
        <v>468</v>
      </c>
      <c r="B132" s="96" t="s">
        <v>427</v>
      </c>
      <c r="D132" s="242">
        <v>266428301.69999999</v>
      </c>
      <c r="E132" s="242">
        <v>436301108.10000002</v>
      </c>
      <c r="V132" s="18"/>
      <c r="W132" s="18"/>
      <c r="X132" s="18"/>
      <c r="AE132" s="295"/>
      <c r="AF132" s="18"/>
    </row>
    <row r="133" spans="1:32" outlineLevel="1">
      <c r="A133">
        <v>481</v>
      </c>
      <c r="B133" s="96" t="s">
        <v>491</v>
      </c>
      <c r="D133" s="242">
        <v>289378.83</v>
      </c>
      <c r="E133" s="242"/>
      <c r="V133" s="18"/>
      <c r="W133" s="18"/>
      <c r="X133" s="18"/>
      <c r="AE133" s="295"/>
      <c r="AF133" s="18"/>
    </row>
    <row r="134" spans="1:32" outlineLevel="1">
      <c r="B134" s="102">
        <f>SUM(B122:B133)</f>
        <v>0</v>
      </c>
      <c r="D134" s="243">
        <f>SUM(D122:D133)</f>
        <v>592222853.70000005</v>
      </c>
      <c r="E134" s="242">
        <f>SUM(E122:E132)</f>
        <v>775370522.41000009</v>
      </c>
      <c r="V134" s="18"/>
      <c r="W134" s="18"/>
      <c r="X134" s="18"/>
      <c r="AE134" s="295"/>
      <c r="AF134" s="18"/>
    </row>
    <row r="135" spans="1:32" outlineLevel="1">
      <c r="A135">
        <v>211</v>
      </c>
      <c r="B135" s="96"/>
      <c r="D135" s="242"/>
      <c r="E135" s="242"/>
      <c r="G135" s="28"/>
      <c r="V135" s="18"/>
      <c r="W135" s="18"/>
      <c r="X135" s="18"/>
      <c r="AE135" s="295"/>
      <c r="AF135" s="18"/>
    </row>
    <row r="136" spans="1:32" outlineLevel="1">
      <c r="A136">
        <v>331</v>
      </c>
      <c r="B136" s="96" t="s">
        <v>479</v>
      </c>
      <c r="D136" s="242">
        <v>1421646007.3699999</v>
      </c>
      <c r="E136" s="242">
        <v>1051036871.12</v>
      </c>
      <c r="V136" s="18"/>
      <c r="W136" s="18"/>
      <c r="X136" s="18"/>
      <c r="AE136" s="295"/>
      <c r="AF136" s="18"/>
    </row>
    <row r="137" spans="1:32" outlineLevel="1">
      <c r="A137">
        <v>231</v>
      </c>
      <c r="B137" s="96" t="s">
        <v>480</v>
      </c>
      <c r="D137" s="242"/>
      <c r="E137" s="242"/>
      <c r="V137" s="18"/>
      <c r="W137" s="18"/>
      <c r="X137" s="18"/>
      <c r="AE137" s="295"/>
      <c r="AF137" s="18"/>
    </row>
    <row r="138" spans="1:32" outlineLevel="1">
      <c r="A138">
        <v>232</v>
      </c>
      <c r="B138" s="96" t="s">
        <v>477</v>
      </c>
      <c r="D138" s="242"/>
      <c r="E138" s="242"/>
      <c r="V138" s="18"/>
      <c r="W138" s="18"/>
      <c r="X138" s="18"/>
      <c r="AE138" s="295"/>
      <c r="AF138" s="18"/>
    </row>
    <row r="139" spans="1:32" outlineLevel="1">
      <c r="A139">
        <v>409</v>
      </c>
      <c r="B139" s="96" t="s">
        <v>429</v>
      </c>
      <c r="D139" s="242">
        <v>0</v>
      </c>
      <c r="E139" s="242">
        <v>65993635.850000001</v>
      </c>
      <c r="F139" s="28"/>
      <c r="V139" s="18"/>
      <c r="W139" s="18"/>
      <c r="X139" s="18"/>
      <c r="AE139" s="295"/>
      <c r="AF139" s="18"/>
    </row>
    <row r="140" spans="1:32" outlineLevel="1">
      <c r="A140">
        <v>414</v>
      </c>
      <c r="B140" s="96" t="s">
        <v>481</v>
      </c>
      <c r="D140" s="242">
        <v>462379.6</v>
      </c>
      <c r="E140" s="242"/>
      <c r="F140" s="28"/>
      <c r="V140" s="18"/>
      <c r="W140" s="18"/>
      <c r="X140" s="18"/>
      <c r="AE140" s="295"/>
      <c r="AF140" s="18"/>
    </row>
    <row r="141" spans="1:32" outlineLevel="1">
      <c r="A141">
        <v>419</v>
      </c>
      <c r="B141" s="96" t="s">
        <v>430</v>
      </c>
      <c r="D141" s="242">
        <v>-1019059890.98</v>
      </c>
      <c r="E141" s="242">
        <v>-462420047.66000003</v>
      </c>
      <c r="V141" s="18"/>
      <c r="W141" s="18"/>
      <c r="X141" s="18"/>
      <c r="AE141" s="295"/>
      <c r="AF141" s="18"/>
    </row>
    <row r="142" spans="1:32" outlineLevel="1">
      <c r="A142">
        <v>444</v>
      </c>
      <c r="B142" s="96" t="s">
        <v>432</v>
      </c>
      <c r="D142" s="242">
        <v>110000</v>
      </c>
      <c r="E142" s="242">
        <v>110000</v>
      </c>
      <c r="V142" s="18"/>
      <c r="W142" s="18"/>
      <c r="X142" s="18"/>
      <c r="AE142" s="295"/>
      <c r="AF142" s="18"/>
    </row>
    <row r="143" spans="1:32" outlineLevel="1">
      <c r="A143">
        <v>455</v>
      </c>
      <c r="B143" s="96" t="s">
        <v>482</v>
      </c>
      <c r="D143" s="242"/>
      <c r="E143" s="242"/>
      <c r="V143" s="18"/>
      <c r="W143" s="18"/>
      <c r="X143" s="18"/>
      <c r="AE143" s="295"/>
      <c r="AF143" s="18"/>
    </row>
    <row r="144" spans="1:32" outlineLevel="1">
      <c r="A144">
        <v>462</v>
      </c>
      <c r="B144" s="96" t="s">
        <v>499</v>
      </c>
      <c r="D144" s="242">
        <v>69490000</v>
      </c>
      <c r="E144" s="242"/>
      <c r="V144" s="18"/>
      <c r="W144" s="18"/>
      <c r="X144" s="18"/>
      <c r="AE144" s="295"/>
      <c r="AF144" s="18"/>
    </row>
    <row r="145" spans="1:32" outlineLevel="1">
      <c r="A145">
        <v>4456</v>
      </c>
      <c r="B145" s="96" t="s">
        <v>433</v>
      </c>
      <c r="D145" s="242">
        <v>102314257.76000001</v>
      </c>
      <c r="E145" s="242">
        <v>102314257.76000001</v>
      </c>
      <c r="V145" s="18"/>
      <c r="W145" s="18"/>
      <c r="X145" s="18"/>
      <c r="AE145" s="295"/>
      <c r="AF145" s="18"/>
    </row>
    <row r="146" spans="1:32" outlineLevel="1">
      <c r="A146">
        <v>482</v>
      </c>
      <c r="B146" s="96" t="s">
        <v>438</v>
      </c>
      <c r="D146" s="242">
        <v>1139199.3</v>
      </c>
      <c r="E146" s="242">
        <v>1299513.1100000001</v>
      </c>
      <c r="V146" s="18"/>
      <c r="W146" s="18"/>
      <c r="X146" s="18"/>
      <c r="AE146" s="295"/>
      <c r="AF146" s="18"/>
    </row>
    <row r="147" spans="1:32" outlineLevel="1">
      <c r="A147">
        <v>5121</v>
      </c>
      <c r="B147" s="96" t="s">
        <v>434</v>
      </c>
      <c r="D147" s="242">
        <v>93497.45</v>
      </c>
      <c r="E147" s="242">
        <v>2021108.15</v>
      </c>
      <c r="V147" s="18"/>
      <c r="W147" s="18"/>
      <c r="X147" s="18"/>
      <c r="AE147" s="295"/>
      <c r="AF147" s="18"/>
    </row>
    <row r="148" spans="1:32" outlineLevel="1">
      <c r="A148">
        <v>5122</v>
      </c>
      <c r="B148" s="96" t="s">
        <v>435</v>
      </c>
      <c r="D148" s="242">
        <v>15985017.7524</v>
      </c>
      <c r="E148" s="242">
        <v>1035540.08</v>
      </c>
      <c r="V148" s="18"/>
      <c r="W148" s="18"/>
      <c r="X148" s="18"/>
      <c r="AE148" s="295"/>
      <c r="AF148" s="18"/>
    </row>
    <row r="149" spans="1:32" outlineLevel="1">
      <c r="A149">
        <v>5311</v>
      </c>
      <c r="B149" s="96" t="s">
        <v>436</v>
      </c>
      <c r="D149" s="242">
        <v>35375.449999999997</v>
      </c>
      <c r="E149" s="242">
        <v>20644</v>
      </c>
      <c r="V149" s="18"/>
      <c r="W149" s="18"/>
      <c r="X149" s="18"/>
      <c r="AE149" s="295"/>
      <c r="AF149" s="18"/>
    </row>
    <row r="150" spans="1:32" outlineLevel="1">
      <c r="A150">
        <v>5312</v>
      </c>
      <c r="B150" s="96" t="s">
        <v>492</v>
      </c>
      <c r="D150" s="242">
        <v>7010</v>
      </c>
      <c r="E150" s="242"/>
      <c r="V150" s="18"/>
      <c r="W150" s="18"/>
      <c r="X150" s="18"/>
      <c r="AE150" s="295"/>
      <c r="AF150" s="18"/>
    </row>
    <row r="151" spans="1:32" outlineLevel="1">
      <c r="A151">
        <v>591</v>
      </c>
      <c r="B151" s="96" t="s">
        <v>437</v>
      </c>
      <c r="D151" s="242"/>
      <c r="E151" s="242">
        <v>13959000</v>
      </c>
      <c r="V151" s="18"/>
      <c r="W151" s="18"/>
      <c r="X151" s="18"/>
      <c r="AE151" s="295"/>
      <c r="AF151" s="18"/>
    </row>
    <row r="152" spans="1:32" outlineLevel="1">
      <c r="B152" s="103">
        <f>SUM(B135:B151)</f>
        <v>0</v>
      </c>
      <c r="D152" s="103">
        <f>SUM(D135:D151)</f>
        <v>592222853.70239985</v>
      </c>
      <c r="E152" s="272">
        <f>SUM(E135:E151)</f>
        <v>775370522.40999997</v>
      </c>
      <c r="V152" s="18"/>
      <c r="W152" s="18"/>
      <c r="X152" s="18"/>
      <c r="AE152" s="295"/>
      <c r="AF152" s="18"/>
    </row>
    <row r="153" spans="1:32" outlineLevel="1">
      <c r="B153" s="103">
        <f>B134-B152</f>
        <v>0</v>
      </c>
      <c r="C153" s="103">
        <f>E134-E152</f>
        <v>0</v>
      </c>
      <c r="D153" s="103">
        <f>D134-D152</f>
        <v>-2.3998022079467773E-3</v>
      </c>
      <c r="E153" s="272" t="s">
        <v>497</v>
      </c>
      <c r="V153" s="18"/>
      <c r="W153" s="18"/>
      <c r="X153" s="18"/>
      <c r="AE153" s="295"/>
      <c r="AF153" s="18"/>
    </row>
    <row r="154" spans="1:32" outlineLevel="1">
      <c r="B154" s="18"/>
      <c r="V154" s="18"/>
      <c r="W154" s="18"/>
      <c r="X154" s="18"/>
      <c r="AE154" s="295"/>
      <c r="AF154" s="18"/>
    </row>
    <row r="155" spans="1:32" outlineLevel="1">
      <c r="D155" s="18">
        <f>D152-D134</f>
        <v>2.3998022079467773E-3</v>
      </c>
    </row>
  </sheetData>
  <mergeCells count="9">
    <mergeCell ref="B119:E119"/>
    <mergeCell ref="C1:F1"/>
    <mergeCell ref="C63:F63"/>
    <mergeCell ref="A64:A65"/>
    <mergeCell ref="B64:B65"/>
    <mergeCell ref="C64:C65"/>
    <mergeCell ref="E64:E65"/>
    <mergeCell ref="F64:F65"/>
    <mergeCell ref="D64:D65"/>
  </mergeCells>
  <phoneticPr fontId="10" type="noConversion"/>
  <pageMargins left="0.91" right="0.28999999999999998" top="0.28000000000000003" bottom="0.3" header="0.24" footer="0.32"/>
  <pageSetup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M7" sqref="M7"/>
    </sheetView>
  </sheetViews>
  <sheetFormatPr defaultRowHeight="15"/>
  <cols>
    <col min="1" max="1" width="9.140625" style="510"/>
    <col min="2" max="2" width="5" style="510" customWidth="1"/>
    <col min="3" max="3" width="45.42578125" style="510" bestFit="1" customWidth="1"/>
    <col min="4" max="4" width="16.28515625" style="547" bestFit="1" customWidth="1"/>
    <col min="5" max="5" width="15.85546875" style="547" bestFit="1" customWidth="1"/>
    <col min="6" max="16384" width="9.140625" style="510"/>
  </cols>
  <sheetData>
    <row r="1" spans="2:5" s="508" customFormat="1" ht="32.25" customHeight="1">
      <c r="B1" s="507"/>
      <c r="C1" s="507"/>
      <c r="D1" s="507"/>
      <c r="E1" s="507"/>
    </row>
    <row r="2" spans="2:5">
      <c r="B2" s="509"/>
      <c r="C2" s="509"/>
      <c r="D2" s="511"/>
      <c r="E2" s="511"/>
    </row>
    <row r="3" spans="2:5">
      <c r="B3" s="512"/>
      <c r="C3" s="512"/>
      <c r="D3" s="513"/>
      <c r="E3" s="513"/>
    </row>
    <row r="4" spans="2:5" ht="15.75" thickBot="1">
      <c r="B4" s="514"/>
      <c r="C4" s="514"/>
      <c r="D4" s="515"/>
      <c r="E4" s="515"/>
    </row>
    <row r="5" spans="2:5" s="522" customFormat="1" ht="39.75" customHeight="1" thickBot="1">
      <c r="B5" s="701" t="s">
        <v>353</v>
      </c>
      <c r="C5" s="701" t="s">
        <v>2</v>
      </c>
      <c r="D5" s="519" t="s">
        <v>398</v>
      </c>
      <c r="E5" s="702" t="s">
        <v>565</v>
      </c>
    </row>
    <row r="6" spans="2:5" ht="15.75" thickBot="1">
      <c r="B6" s="528">
        <v>6</v>
      </c>
      <c r="C6" s="529" t="s">
        <v>11</v>
      </c>
      <c r="D6" s="531">
        <v>236938</v>
      </c>
      <c r="E6" s="531">
        <v>40500</v>
      </c>
    </row>
    <row r="7" spans="2:5" ht="15.75" thickBot="1">
      <c r="B7" s="537"/>
      <c r="C7" s="538" t="s">
        <v>20</v>
      </c>
      <c r="D7" s="540">
        <f>+D6</f>
        <v>236938</v>
      </c>
      <c r="E7" s="540">
        <f>+E6</f>
        <v>40500</v>
      </c>
    </row>
    <row r="8" spans="2:5" ht="15.75">
      <c r="C8" s="5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53"/>
  <sheetViews>
    <sheetView topLeftCell="A19" workbookViewId="0">
      <selection activeCell="E54" sqref="E54"/>
    </sheetView>
  </sheetViews>
  <sheetFormatPr defaultRowHeight="12.75"/>
  <cols>
    <col min="1" max="1" width="3.85546875" style="298" bestFit="1" customWidth="1"/>
    <col min="2" max="2" width="47.140625" style="298" bestFit="1" customWidth="1"/>
    <col min="3" max="3" width="7.7109375" style="298" bestFit="1" customWidth="1"/>
    <col min="4" max="4" width="16.28515625" style="298" bestFit="1" customWidth="1"/>
    <col min="5" max="5" width="14.5703125" style="298" bestFit="1" customWidth="1"/>
    <col min="6" max="6" width="9.140625" style="298"/>
    <col min="7" max="7" width="14.85546875" style="298" customWidth="1"/>
    <col min="8" max="8" width="12.28515625" style="298" bestFit="1" customWidth="1"/>
    <col min="9" max="9" width="10" style="298" bestFit="1" customWidth="1"/>
    <col min="10" max="10" width="11.28515625" style="298" bestFit="1" customWidth="1"/>
    <col min="11" max="11" width="11.85546875" style="298" bestFit="1" customWidth="1"/>
    <col min="12" max="12" width="9.140625" style="298"/>
    <col min="13" max="13" width="12.28515625" style="298" bestFit="1" customWidth="1"/>
    <col min="14" max="16384" width="9.140625" style="298"/>
  </cols>
  <sheetData>
    <row r="1" spans="1:5" ht="14.25">
      <c r="A1" s="300"/>
      <c r="B1" s="301"/>
      <c r="C1" s="723" t="str">
        <f>'[2]Fitim-Hmbje'!C1:D1</f>
        <v xml:space="preserve">RFZ Building  sh.p.k </v>
      </c>
      <c r="D1" s="723"/>
      <c r="E1" s="723"/>
    </row>
    <row r="2" spans="1:5" ht="16.5" customHeight="1">
      <c r="A2" s="302"/>
      <c r="B2" s="723" t="s">
        <v>494</v>
      </c>
      <c r="C2" s="723"/>
      <c r="D2" s="723"/>
      <c r="E2" s="723"/>
    </row>
    <row r="3" spans="1:5" ht="17.25" customHeight="1">
      <c r="A3" s="302"/>
      <c r="B3" s="303"/>
      <c r="C3" s="304"/>
      <c r="D3" s="301"/>
      <c r="E3" s="301"/>
    </row>
    <row r="4" spans="1:5" ht="12.75" customHeight="1">
      <c r="A4" s="302"/>
      <c r="B4" s="305" t="s">
        <v>155</v>
      </c>
      <c r="C4" s="304"/>
      <c r="D4" s="724" t="s">
        <v>0</v>
      </c>
      <c r="E4" s="724"/>
    </row>
    <row r="5" spans="1:5" ht="13.5" customHeight="1">
      <c r="A5" s="306"/>
      <c r="B5" s="307"/>
      <c r="C5" s="725" t="s">
        <v>385</v>
      </c>
      <c r="D5" s="726" t="s">
        <v>502</v>
      </c>
      <c r="E5" s="726" t="s">
        <v>503</v>
      </c>
    </row>
    <row r="6" spans="1:5" ht="19.5" customHeight="1">
      <c r="A6" s="306"/>
      <c r="B6" s="307"/>
      <c r="C6" s="725"/>
      <c r="D6" s="726"/>
      <c r="E6" s="726"/>
    </row>
    <row r="7" spans="1:5" ht="14.25">
      <c r="A7" s="309"/>
      <c r="B7" s="308"/>
      <c r="C7" s="310"/>
      <c r="D7" s="310"/>
      <c r="E7" s="310"/>
    </row>
    <row r="8" spans="1:5" ht="14.25">
      <c r="A8" s="311" t="s">
        <v>42</v>
      </c>
      <c r="B8" s="308" t="s">
        <v>359</v>
      </c>
      <c r="C8" s="310"/>
      <c r="D8" s="310"/>
      <c r="E8" s="310"/>
    </row>
    <row r="9" spans="1:5" ht="13.5">
      <c r="A9" s="312">
        <v>1</v>
      </c>
      <c r="B9" s="310" t="s">
        <v>360</v>
      </c>
      <c r="C9" s="310"/>
      <c r="D9" s="97">
        <f>'Fitim-Humbje'!D28</f>
        <v>-8157171.5200000005</v>
      </c>
      <c r="E9" s="97">
        <v>-6282078.0700000003</v>
      </c>
    </row>
    <row r="10" spans="1:5" ht="13.5">
      <c r="A10" s="312"/>
      <c r="B10" s="310" t="s">
        <v>361</v>
      </c>
      <c r="C10" s="310"/>
      <c r="D10" s="97"/>
      <c r="E10" s="97"/>
    </row>
    <row r="11" spans="1:5" ht="13.5">
      <c r="A11" s="312">
        <v>2</v>
      </c>
      <c r="B11" s="310" t="s">
        <v>362</v>
      </c>
      <c r="C11" s="313"/>
      <c r="D11" s="97"/>
      <c r="E11" s="97"/>
    </row>
    <row r="12" spans="1:5" ht="13.5">
      <c r="A12" s="312">
        <v>3</v>
      </c>
      <c r="B12" s="310" t="s">
        <v>128</v>
      </c>
      <c r="C12" s="313"/>
      <c r="D12" s="97"/>
      <c r="E12" s="97"/>
    </row>
    <row r="13" spans="1:5" ht="13.5">
      <c r="A13" s="312">
        <v>4</v>
      </c>
      <c r="B13" s="310" t="s">
        <v>363</v>
      </c>
      <c r="C13" s="313"/>
      <c r="D13" s="97">
        <f>-'Fitim-Humbje'!D23</f>
        <v>-14611.01</v>
      </c>
      <c r="E13" s="97">
        <v>-3407.98</v>
      </c>
    </row>
    <row r="14" spans="1:5" ht="13.5">
      <c r="A14" s="312">
        <v>5</v>
      </c>
      <c r="B14" s="310" t="s">
        <v>364</v>
      </c>
      <c r="C14" s="313"/>
      <c r="D14" s="36"/>
      <c r="E14" s="97"/>
    </row>
    <row r="15" spans="1:5" ht="25.5">
      <c r="A15" s="312">
        <v>6</v>
      </c>
      <c r="B15" s="310" t="s">
        <v>365</v>
      </c>
      <c r="C15" s="313"/>
      <c r="D15" s="679">
        <f>-(Bilanci!D15-Bilanci!E15+Bilanci!D28-Bilanci!E28+Bilanci!D16-Bilanci!E16+Bilanci!D28-Bilanci!E28)</f>
        <v>62195205.910000011</v>
      </c>
      <c r="E15" s="97">
        <v>73644089.959999979</v>
      </c>
    </row>
    <row r="16" spans="1:5" ht="13.5">
      <c r="A16" s="312">
        <v>7</v>
      </c>
      <c r="B16" s="310" t="s">
        <v>366</v>
      </c>
      <c r="C16" s="313"/>
      <c r="D16" s="97">
        <f>-(Bilanci!D25-Bilanci!E25)</f>
        <v>-370609136.24999988</v>
      </c>
      <c r="E16" s="97">
        <v>-411258700.23000002</v>
      </c>
    </row>
    <row r="17" spans="1:5" ht="25.5">
      <c r="A17" s="312">
        <v>8</v>
      </c>
      <c r="B17" s="310" t="s">
        <v>367</v>
      </c>
      <c r="C17" s="313"/>
      <c r="D17" s="97">
        <f>Bilanci!D82-Bilanci!E82+Bilanci!D94-Bilanci!E94</f>
        <v>508037968.05000007</v>
      </c>
      <c r="E17" s="97">
        <v>129194663.28</v>
      </c>
    </row>
    <row r="18" spans="1:5" ht="13.5">
      <c r="A18" s="312">
        <v>9</v>
      </c>
      <c r="B18" s="310" t="s">
        <v>129</v>
      </c>
      <c r="C18" s="313"/>
      <c r="D18" s="36"/>
      <c r="E18" s="97"/>
    </row>
    <row r="19" spans="1:5" ht="13.5">
      <c r="A19" s="312">
        <v>10</v>
      </c>
      <c r="B19" s="310" t="s">
        <v>384</v>
      </c>
      <c r="C19" s="313"/>
      <c r="D19" s="36">
        <f>-D13</f>
        <v>14611.01</v>
      </c>
      <c r="E19" s="97">
        <v>3407.98</v>
      </c>
    </row>
    <row r="20" spans="1:5" ht="13.5">
      <c r="A20" s="312">
        <v>11</v>
      </c>
      <c r="B20" s="310" t="s">
        <v>368</v>
      </c>
      <c r="C20" s="313"/>
      <c r="D20" s="36"/>
      <c r="E20" s="97"/>
    </row>
    <row r="21" spans="1:5" ht="13.5">
      <c r="A21" s="312"/>
      <c r="B21" s="310"/>
      <c r="C21" s="313"/>
      <c r="D21" s="36"/>
      <c r="E21" s="36"/>
    </row>
    <row r="22" spans="1:5" ht="14.25">
      <c r="A22" s="314"/>
      <c r="B22" s="315" t="s">
        <v>382</v>
      </c>
      <c r="C22" s="316"/>
      <c r="D22" s="68">
        <f>SUM(D9:D21)</f>
        <v>191466866.19000018</v>
      </c>
      <c r="E22" s="68">
        <f>SUM(E9:E21)</f>
        <v>-214702025.06000006</v>
      </c>
    </row>
    <row r="23" spans="1:5" ht="13.5">
      <c r="A23" s="312"/>
      <c r="B23" s="310"/>
      <c r="C23" s="313"/>
      <c r="D23" s="36"/>
      <c r="E23" s="36"/>
    </row>
    <row r="24" spans="1:5" ht="14.25">
      <c r="A24" s="311" t="s">
        <v>88</v>
      </c>
      <c r="B24" s="308" t="s">
        <v>383</v>
      </c>
      <c r="C24" s="313"/>
      <c r="D24" s="36"/>
      <c r="E24" s="36"/>
    </row>
    <row r="25" spans="1:5" ht="13.5">
      <c r="A25" s="312"/>
      <c r="B25" s="310"/>
      <c r="C25" s="313"/>
      <c r="D25" s="36"/>
      <c r="E25" s="36"/>
    </row>
    <row r="26" spans="1:5" ht="13.5">
      <c r="A26" s="312">
        <v>1</v>
      </c>
      <c r="B26" s="310" t="s">
        <v>130</v>
      </c>
      <c r="C26" s="313"/>
      <c r="D26" s="37"/>
      <c r="E26" s="37"/>
    </row>
    <row r="27" spans="1:5" ht="13.5">
      <c r="A27" s="312">
        <v>2</v>
      </c>
      <c r="B27" s="310" t="s">
        <v>369</v>
      </c>
      <c r="C27" s="313"/>
      <c r="D27" s="37">
        <v>0</v>
      </c>
      <c r="E27" s="37">
        <v>0</v>
      </c>
    </row>
    <row r="28" spans="1:5" ht="13.5">
      <c r="A28" s="312">
        <v>3</v>
      </c>
      <c r="B28" s="310" t="s">
        <v>370</v>
      </c>
      <c r="C28" s="313"/>
      <c r="D28" s="36"/>
      <c r="E28" s="37"/>
    </row>
    <row r="29" spans="1:5" ht="13.5">
      <c r="A29" s="312">
        <v>4</v>
      </c>
      <c r="B29" s="310" t="s">
        <v>371</v>
      </c>
      <c r="C29" s="313"/>
      <c r="D29" s="36"/>
      <c r="E29" s="37"/>
    </row>
    <row r="30" spans="1:5" ht="13.5">
      <c r="A30" s="312">
        <v>5</v>
      </c>
      <c r="B30" s="310" t="s">
        <v>372</v>
      </c>
      <c r="C30" s="313"/>
      <c r="D30" s="36"/>
      <c r="E30" s="36"/>
    </row>
    <row r="31" spans="1:5" ht="13.5">
      <c r="A31" s="312"/>
      <c r="B31" s="310"/>
      <c r="C31" s="313"/>
      <c r="D31" s="36"/>
      <c r="E31" s="36"/>
    </row>
    <row r="32" spans="1:5" ht="14.25">
      <c r="A32" s="314"/>
      <c r="B32" s="315" t="s">
        <v>381</v>
      </c>
      <c r="C32" s="316"/>
      <c r="D32" s="68">
        <f>SUM(D26:D30)</f>
        <v>0</v>
      </c>
      <c r="E32" s="68">
        <f>SUM(E26:E30)</f>
        <v>0</v>
      </c>
    </row>
    <row r="33" spans="1:13" ht="13.5">
      <c r="A33" s="312"/>
      <c r="B33" s="317"/>
      <c r="C33" s="306"/>
      <c r="D33" s="36"/>
      <c r="E33" s="36"/>
    </row>
    <row r="34" spans="1:13" ht="27">
      <c r="A34" s="311" t="s">
        <v>131</v>
      </c>
      <c r="B34" s="318" t="s">
        <v>132</v>
      </c>
      <c r="C34" s="306"/>
      <c r="D34" s="36"/>
      <c r="E34" s="36"/>
    </row>
    <row r="35" spans="1:13" ht="13.5">
      <c r="A35" s="312"/>
      <c r="B35" s="317"/>
      <c r="C35" s="306"/>
      <c r="D35" s="36"/>
      <c r="E35" s="36"/>
    </row>
    <row r="36" spans="1:13" ht="13.5">
      <c r="A36" s="312">
        <v>1</v>
      </c>
      <c r="B36" s="317" t="s">
        <v>373</v>
      </c>
      <c r="C36" s="306"/>
      <c r="D36" s="36"/>
      <c r="E36" s="36"/>
    </row>
    <row r="37" spans="1:13" ht="13.5">
      <c r="A37" s="312">
        <v>2</v>
      </c>
      <c r="B37" s="317" t="s">
        <v>374</v>
      </c>
      <c r="C37" s="306"/>
      <c r="D37" s="36">
        <f>27898000+18726500+70005000</f>
        <v>116629500</v>
      </c>
      <c r="E37" s="36">
        <v>259688610</v>
      </c>
      <c r="G37" s="299"/>
      <c r="J37" s="299"/>
      <c r="M37" s="299"/>
    </row>
    <row r="38" spans="1:13" ht="16.5" customHeight="1">
      <c r="A38" s="312">
        <v>3</v>
      </c>
      <c r="B38" s="317" t="s">
        <v>375</v>
      </c>
      <c r="C38" s="306"/>
      <c r="D38" s="36">
        <f>+Bilanci!D94+Bilanci!D91-Bilanci!E91-Bilanci!E94+Bilanci!D73-Bilanci!E73-D37+2797000.22+338925.06-655364</f>
        <v>-309011758.25999993</v>
      </c>
      <c r="E38" s="36">
        <v>-32356607.960000001</v>
      </c>
      <c r="K38" s="299"/>
    </row>
    <row r="39" spans="1:13" ht="13.5">
      <c r="A39" s="312">
        <v>4</v>
      </c>
      <c r="B39" s="317" t="s">
        <v>376</v>
      </c>
      <c r="C39" s="306"/>
      <c r="D39" s="36"/>
      <c r="E39" s="36"/>
    </row>
    <row r="40" spans="1:13" ht="13.5">
      <c r="A40" s="312"/>
      <c r="B40" s="317"/>
      <c r="C40" s="306"/>
      <c r="D40" s="36"/>
      <c r="E40" s="36"/>
      <c r="J40" s="299"/>
      <c r="K40" s="299"/>
    </row>
    <row r="41" spans="1:13" ht="14.25">
      <c r="A41" s="314"/>
      <c r="B41" s="319" t="s">
        <v>380</v>
      </c>
      <c r="C41" s="320"/>
      <c r="D41" s="68">
        <f>SUM(D36:D39)</f>
        <v>-192382258.25999993</v>
      </c>
      <c r="E41" s="68">
        <f>SUM(E36:E39)</f>
        <v>227332002.03999999</v>
      </c>
    </row>
    <row r="42" spans="1:13" ht="13.5">
      <c r="A42" s="312"/>
      <c r="B42" s="317"/>
      <c r="C42" s="306"/>
      <c r="D42" s="36"/>
      <c r="E42" s="36"/>
    </row>
    <row r="43" spans="1:13" ht="14.25">
      <c r="A43" s="311"/>
      <c r="B43" s="318" t="s">
        <v>377</v>
      </c>
      <c r="C43" s="309"/>
      <c r="D43" s="36">
        <f>D22+D32+D41</f>
        <v>-915392.06999975443</v>
      </c>
      <c r="E43" s="36">
        <f>E22+E32+E41</f>
        <v>12629976.97999993</v>
      </c>
    </row>
    <row r="44" spans="1:13" ht="14.25">
      <c r="A44" s="312"/>
      <c r="B44" s="318" t="s">
        <v>378</v>
      </c>
      <c r="C44" s="309"/>
      <c r="D44" s="101">
        <f>Bilanci!E8</f>
        <v>17036292.23</v>
      </c>
      <c r="E44" s="101">
        <v>4406315.26</v>
      </c>
    </row>
    <row r="45" spans="1:13" ht="14.25">
      <c r="A45" s="311"/>
      <c r="B45" s="318" t="s">
        <v>379</v>
      </c>
      <c r="C45" s="309">
        <v>9</v>
      </c>
      <c r="D45" s="38">
        <f>D43+D44</f>
        <v>16120900.160000246</v>
      </c>
      <c r="E45" s="38">
        <f>E43+E44</f>
        <v>17036292.239999928</v>
      </c>
    </row>
    <row r="47" spans="1:13">
      <c r="D47" s="321">
        <f>+D45-Bilanci!D8</f>
        <v>-0.49239975214004517</v>
      </c>
      <c r="E47" s="321">
        <f>E45-Bilanci!E8</f>
        <v>9.9999271333217621E-3</v>
      </c>
      <c r="H47" s="299"/>
    </row>
    <row r="48" spans="1:13">
      <c r="D48" s="299"/>
    </row>
    <row r="49" spans="4:4">
      <c r="D49" s="299">
        <f>D47/2</f>
        <v>-0.24619987607002258</v>
      </c>
    </row>
    <row r="51" spans="4:4">
      <c r="D51" s="18"/>
    </row>
    <row r="52" spans="4:4">
      <c r="D52" s="627"/>
    </row>
    <row r="53" spans="4:4">
      <c r="D53" s="321"/>
    </row>
  </sheetData>
  <mergeCells count="6">
    <mergeCell ref="C1:E1"/>
    <mergeCell ref="B2:E2"/>
    <mergeCell ref="D4:E4"/>
    <mergeCell ref="C5:C6"/>
    <mergeCell ref="D5:D6"/>
    <mergeCell ref="E5:E6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22"/>
  <sheetViews>
    <sheetView tabSelected="1" zoomScaleNormal="100" workbookViewId="0">
      <selection activeCell="H9" sqref="H9"/>
    </sheetView>
  </sheetViews>
  <sheetFormatPr defaultRowHeight="12.75"/>
  <cols>
    <col min="1" max="1" width="63.42578125" customWidth="1"/>
    <col min="2" max="2" width="18.42578125" customWidth="1"/>
    <col min="3" max="3" width="16" customWidth="1"/>
    <col min="4" max="4" width="14.5703125" customWidth="1"/>
    <col min="5" max="5" width="17" customWidth="1"/>
    <col min="6" max="6" width="15.5703125" customWidth="1"/>
    <col min="7" max="7" width="16.140625" customWidth="1"/>
    <col min="8" max="8" width="11.7109375" customWidth="1"/>
  </cols>
  <sheetData>
    <row r="1" spans="1:9" ht="32.25" customHeight="1">
      <c r="A1" s="10" t="str">
        <f>Bilanci!C1</f>
        <v xml:space="preserve">RFZ Building  sh.p.k </v>
      </c>
      <c r="B1" s="8"/>
      <c r="C1" s="8"/>
      <c r="D1" s="8"/>
      <c r="H1" s="6"/>
      <c r="I1" s="6"/>
    </row>
    <row r="2" spans="1:9" ht="16.5">
      <c r="A2" s="727" t="s">
        <v>500</v>
      </c>
      <c r="B2" s="727"/>
      <c r="C2" s="727"/>
      <c r="D2" s="727"/>
      <c r="E2" s="727"/>
      <c r="F2" s="727"/>
      <c r="G2" s="7"/>
    </row>
    <row r="3" spans="1:9" ht="15.75">
      <c r="A3" s="728" t="s">
        <v>133</v>
      </c>
      <c r="B3" s="728"/>
      <c r="C3" s="7"/>
      <c r="D3" s="7"/>
      <c r="E3" s="7"/>
      <c r="F3" s="7"/>
      <c r="G3" s="7"/>
    </row>
    <row r="4" spans="1:9" ht="15.75">
      <c r="A4" s="729"/>
      <c r="B4" s="729"/>
      <c r="C4" s="729"/>
      <c r="D4" s="729"/>
      <c r="E4" s="729"/>
      <c r="F4" s="9"/>
      <c r="G4" s="7"/>
    </row>
    <row r="5" spans="1:9" ht="16.5">
      <c r="A5" s="7"/>
      <c r="B5" s="7"/>
      <c r="C5" s="7"/>
      <c r="D5" s="7"/>
      <c r="E5" s="7"/>
      <c r="F5" s="8" t="s">
        <v>134</v>
      </c>
      <c r="G5" s="8"/>
    </row>
    <row r="6" spans="1:9" ht="66.75" customHeight="1">
      <c r="A6" s="19"/>
      <c r="B6" s="20" t="s">
        <v>137</v>
      </c>
      <c r="C6" s="20" t="s">
        <v>138</v>
      </c>
      <c r="D6" s="20" t="s">
        <v>139</v>
      </c>
      <c r="E6" s="21" t="s">
        <v>140</v>
      </c>
      <c r="F6" s="21" t="s">
        <v>141</v>
      </c>
      <c r="G6" s="21" t="s">
        <v>142</v>
      </c>
    </row>
    <row r="7" spans="1:9" ht="18" customHeight="1">
      <c r="A7" s="22" t="s">
        <v>147</v>
      </c>
      <c r="B7" s="228">
        <v>100000</v>
      </c>
      <c r="C7" s="228"/>
      <c r="D7" s="228"/>
      <c r="E7" s="228"/>
      <c r="F7" s="228">
        <v>-4120883.33</v>
      </c>
      <c r="G7" s="228">
        <v>-4020883.33</v>
      </c>
      <c r="H7" s="28"/>
    </row>
    <row r="8" spans="1:9" ht="18" customHeight="1">
      <c r="A8" s="24" t="s">
        <v>143</v>
      </c>
      <c r="B8" s="237"/>
      <c r="C8" s="237"/>
      <c r="D8" s="237"/>
      <c r="E8" s="237"/>
      <c r="F8" s="237">
        <v>2818325.15</v>
      </c>
      <c r="G8" s="228">
        <f>SUM(B8:F8)</f>
        <v>2818325.15</v>
      </c>
    </row>
    <row r="9" spans="1:9" ht="18" customHeight="1">
      <c r="A9" s="26" t="s">
        <v>144</v>
      </c>
      <c r="B9" s="237"/>
      <c r="C9" s="237"/>
      <c r="D9" s="237"/>
      <c r="E9" s="237"/>
      <c r="F9" s="63"/>
      <c r="G9" s="228">
        <f>SUM(B9:F9)</f>
        <v>0</v>
      </c>
    </row>
    <row r="10" spans="1:9" ht="18" customHeight="1">
      <c r="A10" s="26" t="s">
        <v>145</v>
      </c>
      <c r="B10" s="237"/>
      <c r="C10" s="237"/>
      <c r="D10" s="237"/>
      <c r="E10" s="237"/>
      <c r="F10" s="237"/>
      <c r="G10" s="228">
        <f>SUM(B10:F10)</f>
        <v>0</v>
      </c>
    </row>
    <row r="11" spans="1:9" ht="18" customHeight="1">
      <c r="A11" s="26" t="s">
        <v>146</v>
      </c>
      <c r="B11" s="63"/>
      <c r="C11" s="63"/>
      <c r="D11" s="63"/>
      <c r="E11" s="63"/>
      <c r="F11" s="236"/>
      <c r="G11" s="228">
        <f>SUM(B11:F11)</f>
        <v>0</v>
      </c>
    </row>
    <row r="12" spans="1:9" ht="18" customHeight="1">
      <c r="A12" s="22" t="s">
        <v>156</v>
      </c>
      <c r="B12" s="228">
        <f>SUM(B7:B11)</f>
        <v>100000</v>
      </c>
      <c r="C12" s="228"/>
      <c r="D12" s="228"/>
      <c r="E12" s="228"/>
      <c r="F12" s="228">
        <f>SUM(F7:F11)</f>
        <v>-1302558.1800000002</v>
      </c>
      <c r="G12" s="228">
        <f>SUM(G7:G11)</f>
        <v>-1202558.1800000002</v>
      </c>
      <c r="H12" s="28"/>
    </row>
    <row r="13" spans="1:9" ht="18" customHeight="1">
      <c r="A13" s="24" t="s">
        <v>143</v>
      </c>
      <c r="B13" s="237"/>
      <c r="C13" s="237"/>
      <c r="D13" s="237"/>
      <c r="E13" s="237"/>
      <c r="F13" s="237">
        <f>+Bilanci!E113</f>
        <v>-6282078.0700000003</v>
      </c>
      <c r="G13" s="228">
        <f>SUM(B13:F13)</f>
        <v>-6282078.0700000003</v>
      </c>
    </row>
    <row r="14" spans="1:9" ht="18" customHeight="1">
      <c r="A14" s="26" t="s">
        <v>144</v>
      </c>
      <c r="B14" s="237"/>
      <c r="C14" s="237"/>
      <c r="D14" s="237"/>
      <c r="E14" s="237"/>
      <c r="F14" s="63"/>
      <c r="G14" s="228">
        <f>SUM(B14:F14)</f>
        <v>0</v>
      </c>
    </row>
    <row r="15" spans="1:9" ht="18" customHeight="1">
      <c r="A15" s="26" t="s">
        <v>145</v>
      </c>
      <c r="B15" s="237"/>
      <c r="C15" s="237"/>
      <c r="D15" s="237"/>
      <c r="E15" s="237"/>
      <c r="F15" s="237"/>
      <c r="G15" s="228">
        <f>SUM(B15:F15)</f>
        <v>0</v>
      </c>
    </row>
    <row r="16" spans="1:9" ht="18" customHeight="1">
      <c r="A16" s="26" t="s">
        <v>146</v>
      </c>
      <c r="B16" s="63"/>
      <c r="C16" s="63"/>
      <c r="D16" s="63"/>
      <c r="E16" s="63"/>
      <c r="F16" s="236"/>
      <c r="G16" s="228">
        <f>SUM(B16:F16)</f>
        <v>0</v>
      </c>
    </row>
    <row r="17" spans="1:9" ht="18" customHeight="1">
      <c r="A17" s="22" t="s">
        <v>439</v>
      </c>
      <c r="B17" s="228">
        <f>SUM(B12:B16)</f>
        <v>100000</v>
      </c>
      <c r="C17" s="228"/>
      <c r="D17" s="228"/>
      <c r="E17" s="228"/>
      <c r="F17" s="228">
        <f>SUM(F12:F16)</f>
        <v>-7584636.25</v>
      </c>
      <c r="G17" s="228">
        <f>SUM(G12:G16)</f>
        <v>-7484636.25</v>
      </c>
      <c r="H17" s="28">
        <f>+G17-Bilanci!E115</f>
        <v>0</v>
      </c>
      <c r="I17" s="28">
        <f>G17-Bilanci!E115</f>
        <v>0</v>
      </c>
    </row>
    <row r="18" spans="1:9" ht="18" customHeight="1">
      <c r="A18" s="24" t="s">
        <v>143</v>
      </c>
      <c r="B18" s="237"/>
      <c r="C18" s="237"/>
      <c r="D18" s="237"/>
      <c r="E18" s="237"/>
      <c r="F18" s="237">
        <f>+'Fitim-Humbje'!D32</f>
        <v>-8157171.5200000005</v>
      </c>
      <c r="G18" s="228">
        <f>SUM(B18:F18)</f>
        <v>-8157171.5200000005</v>
      </c>
    </row>
    <row r="19" spans="1:9" ht="16.5">
      <c r="A19" s="26" t="s">
        <v>144</v>
      </c>
      <c r="B19" s="237">
        <f>+Bilanci!D106-Bilanci!E106</f>
        <v>20616514.420000002</v>
      </c>
      <c r="C19" s="237"/>
      <c r="D19" s="237"/>
      <c r="E19" s="237"/>
      <c r="F19" s="63"/>
      <c r="G19" s="228">
        <f>SUM(B19:F19)</f>
        <v>20616514.420000002</v>
      </c>
    </row>
    <row r="20" spans="1:9" ht="16.5">
      <c r="A20" s="26" t="s">
        <v>145</v>
      </c>
      <c r="B20" s="237"/>
      <c r="C20" s="237"/>
      <c r="D20" s="237"/>
      <c r="E20" s="237"/>
      <c r="F20" s="237"/>
      <c r="G20" s="228">
        <f>SUM(B20:F20)</f>
        <v>0</v>
      </c>
    </row>
    <row r="21" spans="1:9" ht="16.5">
      <c r="A21" s="26" t="s">
        <v>146</v>
      </c>
      <c r="B21" s="63"/>
      <c r="C21" s="63"/>
      <c r="D21" s="63"/>
      <c r="E21" s="63"/>
      <c r="F21" s="236"/>
      <c r="G21" s="228">
        <f>SUM(B21:F21)</f>
        <v>0</v>
      </c>
    </row>
    <row r="22" spans="1:9" ht="16.5">
      <c r="A22" s="22" t="s">
        <v>501</v>
      </c>
      <c r="B22" s="228">
        <f>SUM(B17:B21)</f>
        <v>20716514.420000002</v>
      </c>
      <c r="C22" s="228">
        <f t="shared" ref="C22:E22" si="0">SUM(C17:C21)</f>
        <v>0</v>
      </c>
      <c r="D22" s="228">
        <f t="shared" si="0"/>
        <v>0</v>
      </c>
      <c r="E22" s="228">
        <f t="shared" si="0"/>
        <v>0</v>
      </c>
      <c r="F22" s="228">
        <f>SUM(F17:F21)</f>
        <v>-15741807.77</v>
      </c>
      <c r="G22" s="228">
        <f>SUM(G17:G21)</f>
        <v>4974706.6500000022</v>
      </c>
      <c r="H22" s="28">
        <f>+G22-Bilanci!D115</f>
        <v>0</v>
      </c>
    </row>
  </sheetData>
  <mergeCells count="3">
    <mergeCell ref="A2:F2"/>
    <mergeCell ref="A3:B3"/>
    <mergeCell ref="A4:E4"/>
  </mergeCells>
  <phoneticPr fontId="10" type="noConversion"/>
  <pageMargins left="0.39" right="0.2" top="1" bottom="1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workbookViewId="0">
      <selection activeCell="C55" sqref="C55"/>
    </sheetView>
  </sheetViews>
  <sheetFormatPr defaultRowHeight="12.75"/>
  <cols>
    <col min="1" max="1" width="3.85546875" bestFit="1" customWidth="1"/>
    <col min="2" max="2" width="47.140625" bestFit="1" customWidth="1"/>
    <col min="3" max="3" width="7.7109375" bestFit="1" customWidth="1"/>
    <col min="4" max="4" width="14.7109375" customWidth="1"/>
    <col min="5" max="5" width="16.28515625" bestFit="1" customWidth="1"/>
    <col min="6" max="6" width="14.5703125" customWidth="1"/>
  </cols>
  <sheetData>
    <row r="1" spans="1:6" ht="14.25">
      <c r="A1" s="1"/>
      <c r="B1" s="14"/>
      <c r="C1" s="730" t="str">
        <f>'Fitim-Humbje'!C1:D1</f>
        <v xml:space="preserve">RFZ Building  sh.p.k </v>
      </c>
      <c r="D1" s="730"/>
      <c r="E1" s="730"/>
      <c r="F1" s="730"/>
    </row>
    <row r="2" spans="1:6" ht="16.5" customHeight="1">
      <c r="A2" s="5"/>
      <c r="B2" s="730" t="s">
        <v>494</v>
      </c>
      <c r="C2" s="730"/>
      <c r="D2" s="730"/>
      <c r="E2" s="730"/>
      <c r="F2" s="730"/>
    </row>
    <row r="3" spans="1:6" ht="17.25" customHeight="1">
      <c r="A3" s="5"/>
      <c r="B3" s="15"/>
      <c r="C3" s="11"/>
      <c r="D3" s="11"/>
      <c r="E3" s="14"/>
      <c r="F3" s="14"/>
    </row>
    <row r="4" spans="1:6" ht="12.75" customHeight="1">
      <c r="A4" s="5"/>
      <c r="B4" s="16" t="s">
        <v>155</v>
      </c>
      <c r="C4" s="11"/>
      <c r="D4" s="11"/>
      <c r="E4" s="731" t="s">
        <v>0</v>
      </c>
      <c r="F4" s="731"/>
    </row>
    <row r="5" spans="1:6" ht="13.5" customHeight="1">
      <c r="A5" s="33"/>
      <c r="B5" s="32"/>
      <c r="C5" s="732" t="s">
        <v>385</v>
      </c>
      <c r="D5" s="735" t="s">
        <v>490</v>
      </c>
      <c r="E5" s="733" t="s">
        <v>483</v>
      </c>
      <c r="F5" s="733" t="s">
        <v>485</v>
      </c>
    </row>
    <row r="6" spans="1:6" ht="19.5" customHeight="1">
      <c r="A6" s="33"/>
      <c r="B6" s="32"/>
      <c r="C6" s="732"/>
      <c r="D6" s="735"/>
      <c r="E6" s="734"/>
      <c r="F6" s="734"/>
    </row>
    <row r="7" spans="1:6" ht="14.25">
      <c r="A7" s="34"/>
      <c r="B7" s="39"/>
      <c r="C7" s="29"/>
      <c r="D7" s="29"/>
      <c r="E7" s="29"/>
      <c r="F7" s="29"/>
    </row>
    <row r="8" spans="1:6" ht="14.25">
      <c r="A8" s="40" t="s">
        <v>42</v>
      </c>
      <c r="B8" s="39" t="s">
        <v>359</v>
      </c>
      <c r="C8" s="29"/>
      <c r="D8" s="29"/>
      <c r="E8" s="29"/>
      <c r="F8" s="29"/>
    </row>
    <row r="9" spans="1:6" ht="13.5">
      <c r="A9" s="41">
        <v>1</v>
      </c>
      <c r="B9" s="29" t="s">
        <v>360</v>
      </c>
      <c r="C9" s="29"/>
      <c r="D9" s="97">
        <f>'Fitim-Humbje'!D28</f>
        <v>-8157171.5200000005</v>
      </c>
      <c r="E9" s="97">
        <f>'Fitim-Humbje'!E28</f>
        <v>-6282078.0700000003</v>
      </c>
      <c r="F9" s="97">
        <f>[3]CF!D9</f>
        <v>2818324.85</v>
      </c>
    </row>
    <row r="10" spans="1:6" ht="13.5">
      <c r="A10" s="41"/>
      <c r="B10" s="29" t="s">
        <v>361</v>
      </c>
      <c r="C10" s="29"/>
      <c r="D10" s="29"/>
      <c r="E10" s="35"/>
      <c r="F10" s="97"/>
    </row>
    <row r="11" spans="1:6" ht="13.5">
      <c r="A11" s="41">
        <v>2</v>
      </c>
      <c r="B11" s="29" t="s">
        <v>362</v>
      </c>
      <c r="C11" s="30"/>
      <c r="D11" s="30"/>
      <c r="E11" s="36"/>
      <c r="F11" s="97"/>
    </row>
    <row r="12" spans="1:6" ht="13.5">
      <c r="A12" s="41">
        <v>3</v>
      </c>
      <c r="B12" s="29" t="s">
        <v>128</v>
      </c>
      <c r="C12" s="30"/>
      <c r="D12" s="30"/>
      <c r="E12" s="36"/>
      <c r="F12" s="97"/>
    </row>
    <row r="13" spans="1:6" ht="13.5">
      <c r="A13" s="41">
        <v>4</v>
      </c>
      <c r="B13" s="29" t="s">
        <v>363</v>
      </c>
      <c r="C13" s="30"/>
      <c r="D13" s="36">
        <f>-'Fitim-Humbje'!D44</f>
        <v>-14611.01</v>
      </c>
      <c r="E13" s="36">
        <f>-'Fitim-Humbje'!E44</f>
        <v>-3407.98</v>
      </c>
      <c r="F13" s="97">
        <f>[3]CF!D13</f>
        <v>-83214.25</v>
      </c>
    </row>
    <row r="14" spans="1:6" ht="13.5">
      <c r="A14" s="41">
        <v>5</v>
      </c>
      <c r="B14" s="29" t="s">
        <v>364</v>
      </c>
      <c r="C14" s="30"/>
      <c r="D14" s="30"/>
      <c r="E14" s="36"/>
      <c r="F14" s="97"/>
    </row>
    <row r="15" spans="1:6" ht="25.5">
      <c r="A15" s="41">
        <v>6</v>
      </c>
      <c r="B15" s="29" t="s">
        <v>365</v>
      </c>
      <c r="C15" s="30"/>
      <c r="D15" s="238">
        <f>-(Bilanci!D15-Bilanci!E15+Bilanci!D28-Bilanci!E28)</f>
        <v>65691570.06000001</v>
      </c>
      <c r="E15" s="36">
        <f>(Bilanci!F15-Bilanci!E15+Bilanci!F28-Bilanci!E28)</f>
        <v>73644089.960000008</v>
      </c>
      <c r="F15" s="97">
        <f>[3]CF!D15</f>
        <v>95074260.219999999</v>
      </c>
    </row>
    <row r="16" spans="1:6" ht="13.5">
      <c r="A16" s="41">
        <v>7</v>
      </c>
      <c r="B16" s="29" t="s">
        <v>366</v>
      </c>
      <c r="C16" s="30"/>
      <c r="D16" s="238">
        <f>-(Bilanci!D25-Bilanci!E25)</f>
        <v>-370609136.24999988</v>
      </c>
      <c r="E16" s="238">
        <f>-(Bilanci!E25-Bilanci!F25)</f>
        <v>-411258700.23000002</v>
      </c>
      <c r="F16" s="97">
        <f>[3]CF!D16</f>
        <v>-639757542.88999999</v>
      </c>
    </row>
    <row r="17" spans="1:6" ht="25.5">
      <c r="A17" s="41">
        <v>8</v>
      </c>
      <c r="B17" s="29" t="s">
        <v>367</v>
      </c>
      <c r="C17" s="30"/>
      <c r="D17" s="238">
        <f>Bilanci!D82-Bilanci!E82+Bilanci!D94-Bilanci!E94+Bilanci!D83</f>
        <v>508327346.88000005</v>
      </c>
      <c r="E17" s="36">
        <f>Bilanci!E82-Bilanci!F82+Bilanci!E94-Bilanci!F94</f>
        <v>129194663.28000009</v>
      </c>
      <c r="F17" s="97">
        <f>[3]CF!D17</f>
        <v>130724679.97000003</v>
      </c>
    </row>
    <row r="18" spans="1:6" ht="13.5">
      <c r="A18" s="41">
        <v>9</v>
      </c>
      <c r="B18" s="29" t="s">
        <v>129</v>
      </c>
      <c r="C18" s="30"/>
      <c r="D18" s="275"/>
      <c r="E18" s="36"/>
      <c r="F18" s="97"/>
    </row>
    <row r="19" spans="1:6" ht="13.5">
      <c r="A19" s="41">
        <v>10</v>
      </c>
      <c r="B19" s="29" t="s">
        <v>384</v>
      </c>
      <c r="C19" s="30"/>
      <c r="D19" s="36">
        <f>-D13</f>
        <v>14611.01</v>
      </c>
      <c r="E19" s="36">
        <f>-E13</f>
        <v>3407.98</v>
      </c>
      <c r="F19" s="97">
        <f>[3]CF!D19</f>
        <v>83214.25</v>
      </c>
    </row>
    <row r="20" spans="1:6" ht="13.5">
      <c r="A20" s="41">
        <v>11</v>
      </c>
      <c r="B20" s="29" t="s">
        <v>368</v>
      </c>
      <c r="C20" s="30"/>
      <c r="D20" s="30"/>
      <c r="E20" s="36"/>
      <c r="F20" s="97"/>
    </row>
    <row r="21" spans="1:6" ht="13.5">
      <c r="A21" s="41"/>
      <c r="B21" s="29"/>
      <c r="C21" s="30"/>
      <c r="D21" s="30"/>
      <c r="E21" s="36"/>
      <c r="F21" s="36"/>
    </row>
    <row r="22" spans="1:6" ht="14.25">
      <c r="A22" s="65"/>
      <c r="B22" s="69" t="s">
        <v>382</v>
      </c>
      <c r="C22" s="70"/>
      <c r="D22" s="68">
        <f>SUM(D9:D21)</f>
        <v>195252609.1700002</v>
      </c>
      <c r="E22" s="68">
        <f>SUM(E9:E21)</f>
        <v>-214702025.05999991</v>
      </c>
      <c r="F22" s="68">
        <f>SUM(F9:F21)</f>
        <v>-411140277.8499999</v>
      </c>
    </row>
    <row r="23" spans="1:6" ht="13.5">
      <c r="A23" s="41"/>
      <c r="B23" s="29"/>
      <c r="C23" s="30"/>
      <c r="D23" s="30"/>
      <c r="E23" s="36"/>
      <c r="F23" s="36"/>
    </row>
    <row r="24" spans="1:6" ht="14.25">
      <c r="A24" s="40" t="s">
        <v>88</v>
      </c>
      <c r="B24" s="39" t="s">
        <v>383</v>
      </c>
      <c r="C24" s="30"/>
      <c r="D24" s="30"/>
      <c r="E24" s="36"/>
      <c r="F24" s="36"/>
    </row>
    <row r="25" spans="1:6" ht="13.5">
      <c r="A25" s="41"/>
      <c r="B25" s="29"/>
      <c r="C25" s="30"/>
      <c r="D25" s="30"/>
      <c r="E25" s="36"/>
      <c r="F25" s="36"/>
    </row>
    <row r="26" spans="1:6" ht="13.5">
      <c r="A26" s="41">
        <v>1</v>
      </c>
      <c r="B26" s="29" t="s">
        <v>130</v>
      </c>
      <c r="C26" s="30"/>
      <c r="D26" s="30"/>
      <c r="E26" s="37"/>
      <c r="F26" s="37" t="e">
        <f>[3]CF!D26</f>
        <v>#REF!</v>
      </c>
    </row>
    <row r="27" spans="1:6" ht="13.5">
      <c r="A27" s="41">
        <v>2</v>
      </c>
      <c r="B27" s="29" t="s">
        <v>369</v>
      </c>
      <c r="C27" s="30"/>
      <c r="D27" s="37">
        <f>-(Bilanci!D43-Bilanci!E43+Bilanci!D54-Bilanci!E54)</f>
        <v>0</v>
      </c>
      <c r="E27" s="37">
        <f>Bilanci!E43-Bilanci!F43</f>
        <v>0</v>
      </c>
      <c r="F27" s="37">
        <f>[3]CF!D27</f>
        <v>0</v>
      </c>
    </row>
    <row r="28" spans="1:6" ht="13.5">
      <c r="A28" s="41">
        <v>3</v>
      </c>
      <c r="B28" s="29" t="s">
        <v>370</v>
      </c>
      <c r="C28" s="30"/>
      <c r="D28" s="30"/>
      <c r="E28" s="36"/>
      <c r="F28" s="37" t="e">
        <f>[3]CF!D28</f>
        <v>#REF!</v>
      </c>
    </row>
    <row r="29" spans="1:6" ht="13.5">
      <c r="A29" s="41">
        <v>4</v>
      </c>
      <c r="B29" s="29" t="s">
        <v>371</v>
      </c>
      <c r="C29" s="30"/>
      <c r="D29" s="30"/>
      <c r="E29" s="36"/>
      <c r="F29" s="37" t="e">
        <f>[3]CF!D29</f>
        <v>#REF!</v>
      </c>
    </row>
    <row r="30" spans="1:6" ht="13.5">
      <c r="A30" s="41">
        <v>5</v>
      </c>
      <c r="B30" s="29" t="s">
        <v>372</v>
      </c>
      <c r="C30" s="30"/>
      <c r="D30" s="30"/>
      <c r="E30" s="36"/>
      <c r="F30" s="36"/>
    </row>
    <row r="31" spans="1:6" ht="13.5">
      <c r="A31" s="41"/>
      <c r="B31" s="29"/>
      <c r="C31" s="30"/>
      <c r="D31" s="30"/>
      <c r="E31" s="36"/>
      <c r="F31" s="36"/>
    </row>
    <row r="32" spans="1:6" ht="14.25">
      <c r="A32" s="65"/>
      <c r="B32" s="69" t="s">
        <v>381</v>
      </c>
      <c r="C32" s="70"/>
      <c r="D32" s="68">
        <f>SUM(D26:D30)</f>
        <v>0</v>
      </c>
      <c r="E32" s="68">
        <f>SUM(E26:E30)</f>
        <v>0</v>
      </c>
      <c r="F32" s="68" t="e">
        <f>SUM(F26:F30)</f>
        <v>#REF!</v>
      </c>
    </row>
    <row r="33" spans="1:6" ht="13.5">
      <c r="A33" s="41"/>
      <c r="B33" s="42"/>
      <c r="C33" s="33"/>
      <c r="D33" s="33"/>
      <c r="E33" s="36"/>
      <c r="F33" s="36"/>
    </row>
    <row r="34" spans="1:6" ht="27">
      <c r="A34" s="40" t="s">
        <v>131</v>
      </c>
      <c r="B34" s="43" t="s">
        <v>132</v>
      </c>
      <c r="C34" s="33"/>
      <c r="D34" s="33"/>
      <c r="E34" s="36"/>
      <c r="F34" s="36"/>
    </row>
    <row r="35" spans="1:6" ht="13.5">
      <c r="A35" s="41"/>
      <c r="B35" s="42"/>
      <c r="C35" s="33"/>
      <c r="D35" s="33"/>
      <c r="E35" s="36"/>
      <c r="F35" s="36"/>
    </row>
    <row r="36" spans="1:6" ht="13.5">
      <c r="A36" s="41">
        <v>1</v>
      </c>
      <c r="B36" s="42" t="s">
        <v>373</v>
      </c>
      <c r="C36" s="33"/>
      <c r="D36" s="30">
        <f>+Bilanci!D106-Bilanci!E106</f>
        <v>20616514.420000002</v>
      </c>
      <c r="E36" s="36"/>
      <c r="F36" s="36"/>
    </row>
    <row r="37" spans="1:6" ht="13.5">
      <c r="A37" s="41">
        <v>2</v>
      </c>
      <c r="B37" s="42" t="s">
        <v>374</v>
      </c>
      <c r="C37" s="33"/>
      <c r="D37" s="238">
        <v>46624500</v>
      </c>
      <c r="E37" s="36">
        <v>259688610</v>
      </c>
      <c r="F37" s="36">
        <f>[3]CF!D37</f>
        <v>415477111.5</v>
      </c>
    </row>
    <row r="38" spans="1:6" ht="16.5" customHeight="1">
      <c r="A38" s="41">
        <v>3</v>
      </c>
      <c r="B38" s="42" t="s">
        <v>375</v>
      </c>
      <c r="C38" s="33"/>
      <c r="D38" s="238">
        <f>Bilanci!D91-Bilanci!E91+Bilanci!D73-Bilanci!E73-D37</f>
        <v>-193919015.17000005</v>
      </c>
      <c r="E38" s="36">
        <f>Bilanci!E91-Bilanci!F91+Bilanci!E73-Bilanci!F73-E37</f>
        <v>-32356607.959999979</v>
      </c>
      <c r="F38" s="36"/>
    </row>
    <row r="39" spans="1:6" ht="13.5">
      <c r="A39" s="41">
        <v>4</v>
      </c>
      <c r="B39" s="42" t="s">
        <v>376</v>
      </c>
      <c r="C39" s="33"/>
      <c r="D39" s="33"/>
      <c r="E39" s="36"/>
      <c r="F39" s="36"/>
    </row>
    <row r="40" spans="1:6" ht="13.5">
      <c r="A40" s="41"/>
      <c r="B40" s="42"/>
      <c r="C40" s="33"/>
      <c r="D40" s="33"/>
      <c r="E40" s="36"/>
      <c r="F40" s="36"/>
    </row>
    <row r="41" spans="1:6" ht="14.25">
      <c r="A41" s="65"/>
      <c r="B41" s="66" t="s">
        <v>380</v>
      </c>
      <c r="C41" s="67"/>
      <c r="D41" s="68">
        <f>SUM(D36:D39)</f>
        <v>-126678000.75000004</v>
      </c>
      <c r="E41" s="68">
        <f>SUM(E36:E39)</f>
        <v>227332002.04000002</v>
      </c>
      <c r="F41" s="68">
        <f>SUM(F36:F39)</f>
        <v>415477111.5</v>
      </c>
    </row>
    <row r="42" spans="1:6" ht="13.5">
      <c r="A42" s="41"/>
      <c r="B42" s="42"/>
      <c r="C42" s="33"/>
      <c r="D42" s="33"/>
      <c r="E42" s="36"/>
      <c r="F42" s="36"/>
    </row>
    <row r="43" spans="1:6" ht="14.25">
      <c r="A43" s="40"/>
      <c r="B43" s="43" t="s">
        <v>377</v>
      </c>
      <c r="C43" s="34"/>
      <c r="D43" s="36">
        <f>D22+D32+D41</f>
        <v>68574608.420000151</v>
      </c>
      <c r="E43" s="36">
        <f>E22+E32+E41</f>
        <v>12629976.980000108</v>
      </c>
      <c r="F43" s="36" t="e">
        <f>F22+F32+F41</f>
        <v>#REF!</v>
      </c>
    </row>
    <row r="44" spans="1:6" ht="14.25">
      <c r="A44" s="41"/>
      <c r="B44" s="43" t="s">
        <v>378</v>
      </c>
      <c r="C44" s="34"/>
      <c r="D44" s="274">
        <f>+E45</f>
        <v>17036292.240000106</v>
      </c>
      <c r="E44" s="101">
        <f>Bilanci!F8</f>
        <v>4406315.26</v>
      </c>
      <c r="F44" s="101">
        <v>69481.299999999988</v>
      </c>
    </row>
    <row r="45" spans="1:6" ht="14.25">
      <c r="A45" s="40"/>
      <c r="B45" s="43" t="s">
        <v>379</v>
      </c>
      <c r="C45" s="34">
        <v>9</v>
      </c>
      <c r="D45" s="38">
        <f>D43+D44</f>
        <v>85610900.660000265</v>
      </c>
      <c r="E45" s="38">
        <f>E43+E44</f>
        <v>17036292.240000106</v>
      </c>
      <c r="F45" s="38" t="e">
        <f>F43+F44</f>
        <v>#REF!</v>
      </c>
    </row>
    <row r="47" spans="1:6">
      <c r="D47" s="18">
        <f>+Bilanci!D8-D45</f>
        <v>-69490000.007600263</v>
      </c>
      <c r="E47" s="18">
        <f>Bilanci!E8-E45</f>
        <v>-1.0000105947256088E-2</v>
      </c>
      <c r="F47" s="18" t="e">
        <f>Bilanci!F8-F45</f>
        <v>#REF!</v>
      </c>
    </row>
    <row r="48" spans="1:6">
      <c r="E48" s="28"/>
    </row>
    <row r="49" spans="5:5">
      <c r="E49" s="28"/>
    </row>
    <row r="51" spans="5:5">
      <c r="E51" s="18"/>
    </row>
  </sheetData>
  <mergeCells count="7">
    <mergeCell ref="C1:F1"/>
    <mergeCell ref="B2:F2"/>
    <mergeCell ref="E4:F4"/>
    <mergeCell ref="C5:C6"/>
    <mergeCell ref="E5:E6"/>
    <mergeCell ref="F5:F6"/>
    <mergeCell ref="D5:D6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D34"/>
  <sheetViews>
    <sheetView topLeftCell="A7" workbookViewId="0">
      <selection activeCell="B28" sqref="B28"/>
    </sheetView>
  </sheetViews>
  <sheetFormatPr defaultRowHeight="12.75"/>
  <cols>
    <col min="2" max="2" width="34.28515625" bestFit="1" customWidth="1"/>
    <col min="3" max="3" width="12.28515625" bestFit="1" customWidth="1"/>
  </cols>
  <sheetData>
    <row r="2" spans="2:4" ht="13.5" thickBot="1"/>
    <row r="3" spans="2:4" ht="16.5" thickTop="1" thickBot="1">
      <c r="B3" s="107" t="s">
        <v>170</v>
      </c>
      <c r="C3" s="108" t="s">
        <v>171</v>
      </c>
      <c r="D3" s="107"/>
    </row>
    <row r="4" spans="2:4" ht="18.75" customHeight="1" thickTop="1">
      <c r="B4" s="109" t="s">
        <v>174</v>
      </c>
      <c r="C4" s="105">
        <v>664612</v>
      </c>
      <c r="D4" s="104" t="s">
        <v>164</v>
      </c>
    </row>
    <row r="5" spans="2:4" ht="18.75" customHeight="1">
      <c r="B5" s="109" t="s">
        <v>173</v>
      </c>
      <c r="C5" s="105">
        <v>11300</v>
      </c>
      <c r="D5" s="104" t="s">
        <v>164</v>
      </c>
    </row>
    <row r="6" spans="2:4" ht="18.75" customHeight="1">
      <c r="B6" s="109" t="s">
        <v>172</v>
      </c>
      <c r="C6" s="105">
        <v>6360</v>
      </c>
      <c r="D6" s="104" t="s">
        <v>164</v>
      </c>
    </row>
    <row r="7" spans="2:4" ht="18.75" customHeight="1">
      <c r="B7" s="109" t="s">
        <v>157</v>
      </c>
      <c r="C7" s="105">
        <v>9600</v>
      </c>
      <c r="D7" s="104" t="s">
        <v>164</v>
      </c>
    </row>
    <row r="8" spans="2:4" ht="18.75" customHeight="1">
      <c r="B8" s="109" t="s">
        <v>165</v>
      </c>
      <c r="C8" s="105">
        <v>108000</v>
      </c>
      <c r="D8" s="104" t="s">
        <v>164</v>
      </c>
    </row>
    <row r="9" spans="2:4" ht="18.75" customHeight="1">
      <c r="B9" s="109" t="s">
        <v>166</v>
      </c>
      <c r="C9" s="105">
        <v>8438</v>
      </c>
      <c r="D9" s="104" t="s">
        <v>164</v>
      </c>
    </row>
    <row r="10" spans="2:4" ht="18.75" customHeight="1">
      <c r="B10" s="109" t="s">
        <v>167</v>
      </c>
      <c r="C10" s="105">
        <v>183408</v>
      </c>
      <c r="D10" s="104" t="s">
        <v>164</v>
      </c>
    </row>
    <row r="11" spans="2:4" ht="18.75" customHeight="1">
      <c r="B11" s="109" t="s">
        <v>168</v>
      </c>
      <c r="C11" s="105">
        <v>4752</v>
      </c>
      <c r="D11" s="104" t="s">
        <v>164</v>
      </c>
    </row>
    <row r="12" spans="2:4" ht="18.75" customHeight="1">
      <c r="B12" s="109" t="s">
        <v>158</v>
      </c>
      <c r="C12" s="105">
        <v>58627</v>
      </c>
      <c r="D12" s="104" t="s">
        <v>164</v>
      </c>
    </row>
    <row r="13" spans="2:4" ht="18.75" customHeight="1">
      <c r="B13" s="109" t="s">
        <v>159</v>
      </c>
      <c r="C13" s="105">
        <v>96000</v>
      </c>
      <c r="D13" s="104" t="s">
        <v>164</v>
      </c>
    </row>
    <row r="14" spans="2:4" ht="18.75" customHeight="1">
      <c r="B14" s="109" t="s">
        <v>160</v>
      </c>
      <c r="C14" s="105">
        <v>2000</v>
      </c>
      <c r="D14" s="104" t="s">
        <v>164</v>
      </c>
    </row>
    <row r="15" spans="2:4" ht="18.75" customHeight="1">
      <c r="B15" s="109" t="s">
        <v>161</v>
      </c>
      <c r="C15" s="105">
        <v>80000</v>
      </c>
      <c r="D15" s="104" t="s">
        <v>164</v>
      </c>
    </row>
    <row r="16" spans="2:4" ht="18.75" customHeight="1">
      <c r="B16" s="109" t="s">
        <v>162</v>
      </c>
      <c r="C16" s="105">
        <v>13400</v>
      </c>
      <c r="D16" s="104" t="s">
        <v>164</v>
      </c>
    </row>
    <row r="17" spans="2:4" ht="18.75" customHeight="1">
      <c r="B17" s="109" t="s">
        <v>169</v>
      </c>
      <c r="C17" s="105">
        <v>101534</v>
      </c>
      <c r="D17" s="104" t="s">
        <v>164</v>
      </c>
    </row>
    <row r="18" spans="2:4" ht="18.75" customHeight="1" thickBot="1">
      <c r="B18" s="109" t="s">
        <v>163</v>
      </c>
      <c r="C18" s="105">
        <v>1940882</v>
      </c>
      <c r="D18" s="104" t="s">
        <v>164</v>
      </c>
    </row>
    <row r="19" spans="2:4" ht="16.5" thickTop="1" thickBot="1">
      <c r="B19" s="107" t="s">
        <v>50</v>
      </c>
      <c r="C19" s="108">
        <f>SUM(C4:C18)</f>
        <v>3288913</v>
      </c>
      <c r="D19" s="107" t="s">
        <v>164</v>
      </c>
    </row>
    <row r="20" spans="2:4" ht="13.5" thickTop="1"/>
    <row r="21" spans="2:4" ht="13.5" thickBot="1"/>
    <row r="22" spans="2:4" ht="16.5" thickTop="1" thickBot="1">
      <c r="B22" s="107" t="s">
        <v>175</v>
      </c>
      <c r="C22" s="108" t="s">
        <v>171</v>
      </c>
      <c r="D22" s="108"/>
    </row>
    <row r="23" spans="2:4" ht="14.25" thickTop="1">
      <c r="B23" s="109" t="s">
        <v>176</v>
      </c>
      <c r="C23" s="105">
        <f>7200477.4+3314730.87</f>
        <v>10515208.27</v>
      </c>
    </row>
    <row r="24" spans="2:4" ht="13.5">
      <c r="B24" s="109" t="s">
        <v>177</v>
      </c>
      <c r="C24" s="105">
        <f>32775402</f>
        <v>32775402</v>
      </c>
    </row>
    <row r="25" spans="2:4" ht="13.5">
      <c r="B25" s="109" t="s">
        <v>178</v>
      </c>
      <c r="C25" s="105">
        <v>4998800</v>
      </c>
    </row>
    <row r="26" spans="2:4" ht="13.5">
      <c r="B26" s="109" t="s">
        <v>179</v>
      </c>
      <c r="C26" s="105">
        <v>3473250</v>
      </c>
    </row>
    <row r="27" spans="2:4" ht="13.5">
      <c r="B27" s="109" t="s">
        <v>180</v>
      </c>
      <c r="C27" s="105">
        <v>11114400</v>
      </c>
    </row>
    <row r="28" spans="2:4" ht="13.5">
      <c r="B28" s="109" t="s">
        <v>181</v>
      </c>
      <c r="C28" s="105">
        <v>2778600</v>
      </c>
    </row>
    <row r="29" spans="2:4" ht="13.5">
      <c r="B29" s="109" t="s">
        <v>182</v>
      </c>
      <c r="C29" s="105">
        <v>25979910</v>
      </c>
    </row>
    <row r="30" spans="2:4" ht="13.5">
      <c r="B30" s="109" t="s">
        <v>183</v>
      </c>
      <c r="C30" s="105">
        <v>35864798.960000001</v>
      </c>
    </row>
    <row r="31" spans="2:4" ht="13.5">
      <c r="B31" s="109" t="s">
        <v>184</v>
      </c>
      <c r="C31" s="105">
        <v>39543645.899999999</v>
      </c>
    </row>
    <row r="32" spans="2:4" ht="14.25" thickBot="1">
      <c r="B32" s="109" t="s">
        <v>185</v>
      </c>
      <c r="C32" s="105">
        <v>3473250</v>
      </c>
    </row>
    <row r="33" spans="2:4" ht="16.5" thickTop="1" thickBot="1">
      <c r="B33" s="107" t="s">
        <v>50</v>
      </c>
      <c r="C33" s="108">
        <f>SUM(C23:C32)</f>
        <v>170517265.13</v>
      </c>
      <c r="D33" s="107" t="s">
        <v>186</v>
      </c>
    </row>
    <row r="34" spans="2:4" ht="13.5" thickTop="1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90"/>
  <sheetViews>
    <sheetView zoomScaleNormal="100" workbookViewId="0">
      <selection activeCell="P12" sqref="P12"/>
    </sheetView>
  </sheetViews>
  <sheetFormatPr defaultRowHeight="12.75"/>
  <cols>
    <col min="1" max="1" width="2.85546875" customWidth="1"/>
    <col min="3" max="3" width="11.28515625" customWidth="1"/>
    <col min="4" max="4" width="33.85546875" bestFit="1" customWidth="1"/>
    <col min="5" max="5" width="9.28515625" hidden="1" customWidth="1"/>
    <col min="6" max="6" width="8.7109375" customWidth="1"/>
    <col min="7" max="7" width="10.85546875" customWidth="1"/>
    <col min="8" max="8" width="10" customWidth="1"/>
    <col min="9" max="9" width="13.140625" customWidth="1"/>
    <col min="10" max="10" width="14.5703125" customWidth="1"/>
    <col min="11" max="11" width="4.7109375" customWidth="1"/>
    <col min="13" max="14" width="11.28515625" hidden="1" customWidth="1"/>
    <col min="15" max="15" width="10.85546875" hidden="1" customWidth="1"/>
    <col min="16" max="16" width="53.42578125" customWidth="1"/>
  </cols>
  <sheetData>
    <row r="1" spans="1:16">
      <c r="A1" s="106"/>
      <c r="B1" s="110" t="s">
        <v>189</v>
      </c>
      <c r="C1" s="111" t="s">
        <v>190</v>
      </c>
      <c r="D1" s="112"/>
      <c r="E1" s="106"/>
      <c r="F1" s="106"/>
      <c r="G1" s="106"/>
      <c r="H1" s="106"/>
      <c r="I1" s="106"/>
      <c r="J1" s="106"/>
    </row>
    <row r="2" spans="1:16">
      <c r="A2" s="106"/>
      <c r="B2" s="110" t="s">
        <v>191</v>
      </c>
      <c r="C2" s="111" t="s">
        <v>192</v>
      </c>
      <c r="D2" s="112"/>
      <c r="E2" s="106"/>
      <c r="F2" s="106"/>
      <c r="G2" s="106"/>
      <c r="H2" s="106"/>
      <c r="I2" s="106"/>
      <c r="J2" s="106"/>
    </row>
    <row r="3" spans="1:16">
      <c r="A3" s="106"/>
      <c r="B3" s="113"/>
      <c r="C3" s="106"/>
      <c r="D3" s="106"/>
      <c r="E3" s="106"/>
      <c r="F3" s="106"/>
      <c r="G3" s="106"/>
      <c r="H3" s="106"/>
      <c r="I3" s="113" t="s">
        <v>193</v>
      </c>
      <c r="J3" s="106"/>
    </row>
    <row r="4" spans="1:16">
      <c r="A4" s="106"/>
      <c r="B4" s="113"/>
      <c r="C4" s="106"/>
      <c r="D4" s="106"/>
      <c r="E4" s="106"/>
      <c r="F4" s="106"/>
      <c r="G4" s="106"/>
      <c r="H4" s="106"/>
      <c r="I4" s="106"/>
      <c r="J4" s="106"/>
    </row>
    <row r="5" spans="1:16">
      <c r="A5" s="114"/>
      <c r="B5" s="114"/>
      <c r="C5" s="114"/>
      <c r="D5" s="114"/>
      <c r="E5" s="114"/>
      <c r="F5" s="114"/>
      <c r="G5" s="114"/>
      <c r="H5" s="114"/>
      <c r="I5" s="115"/>
      <c r="J5" s="116" t="s">
        <v>464</v>
      </c>
      <c r="K5" s="73"/>
      <c r="L5" s="73"/>
      <c r="M5" s="73"/>
      <c r="N5" s="73"/>
      <c r="O5" s="73"/>
      <c r="P5" s="73"/>
    </row>
    <row r="6" spans="1:16" ht="15.75" customHeight="1">
      <c r="A6" s="736" t="s">
        <v>194</v>
      </c>
      <c r="B6" s="737"/>
      <c r="C6" s="737"/>
      <c r="D6" s="737"/>
      <c r="E6" s="737"/>
      <c r="F6" s="737"/>
      <c r="G6" s="737"/>
      <c r="H6" s="737"/>
      <c r="I6" s="737"/>
      <c r="J6" s="738"/>
      <c r="K6" s="117"/>
      <c r="L6" s="117"/>
      <c r="M6" s="117"/>
      <c r="N6" s="117"/>
      <c r="O6" s="117"/>
      <c r="P6" s="117"/>
    </row>
    <row r="7" spans="1:16" ht="26.25" customHeight="1" thickBot="1">
      <c r="A7" s="118"/>
      <c r="B7" s="739" t="s">
        <v>195</v>
      </c>
      <c r="C7" s="739"/>
      <c r="D7" s="739"/>
      <c r="E7" s="739"/>
      <c r="F7" s="740"/>
      <c r="G7" s="119" t="s">
        <v>196</v>
      </c>
      <c r="H7" s="119" t="s">
        <v>197</v>
      </c>
      <c r="I7" s="120">
        <v>2012</v>
      </c>
      <c r="J7" s="120">
        <v>2011</v>
      </c>
    </row>
    <row r="8" spans="1:16" ht="16.5" customHeight="1">
      <c r="A8" s="121">
        <v>1</v>
      </c>
      <c r="B8" s="741" t="s">
        <v>199</v>
      </c>
      <c r="C8" s="742"/>
      <c r="D8" s="742"/>
      <c r="E8" s="742"/>
      <c r="F8" s="742"/>
      <c r="G8" s="122">
        <v>70</v>
      </c>
      <c r="H8" s="122">
        <v>11100</v>
      </c>
      <c r="I8" s="123"/>
      <c r="J8" s="124"/>
    </row>
    <row r="9" spans="1:16" ht="16.5" customHeight="1">
      <c r="A9" s="125" t="s">
        <v>13</v>
      </c>
      <c r="B9" s="743" t="s">
        <v>200</v>
      </c>
      <c r="C9" s="743"/>
      <c r="D9" s="743"/>
      <c r="E9" s="743"/>
      <c r="F9" s="744"/>
      <c r="G9" s="126" t="s">
        <v>201</v>
      </c>
      <c r="H9" s="126">
        <v>11101</v>
      </c>
      <c r="I9" s="127"/>
      <c r="J9" s="128"/>
    </row>
    <row r="10" spans="1:16" ht="16.5" customHeight="1">
      <c r="A10" s="129" t="s">
        <v>202</v>
      </c>
      <c r="B10" s="743" t="s">
        <v>203</v>
      </c>
      <c r="C10" s="743"/>
      <c r="D10" s="743"/>
      <c r="E10" s="743"/>
      <c r="F10" s="744"/>
      <c r="G10" s="126">
        <v>704</v>
      </c>
      <c r="H10" s="126">
        <v>11102</v>
      </c>
      <c r="I10" s="127"/>
      <c r="J10" s="128"/>
    </row>
    <row r="11" spans="1:16" ht="16.5" customHeight="1">
      <c r="A11" s="129" t="s">
        <v>204</v>
      </c>
      <c r="B11" s="743" t="s">
        <v>205</v>
      </c>
      <c r="C11" s="743"/>
      <c r="D11" s="743"/>
      <c r="E11" s="743"/>
      <c r="F11" s="744"/>
      <c r="G11" s="130">
        <v>705</v>
      </c>
      <c r="H11" s="126">
        <v>11103</v>
      </c>
      <c r="I11" s="127"/>
      <c r="J11" s="128"/>
    </row>
    <row r="12" spans="1:16" ht="16.5" customHeight="1">
      <c r="A12" s="131">
        <v>2</v>
      </c>
      <c r="B12" s="747" t="s">
        <v>206</v>
      </c>
      <c r="C12" s="747"/>
      <c r="D12" s="747"/>
      <c r="E12" s="747"/>
      <c r="F12" s="748"/>
      <c r="G12" s="132">
        <v>708</v>
      </c>
      <c r="H12" s="133">
        <v>11104</v>
      </c>
      <c r="I12" s="127"/>
      <c r="J12" s="128"/>
    </row>
    <row r="13" spans="1:16" ht="16.5" customHeight="1">
      <c r="A13" s="134" t="s">
        <v>13</v>
      </c>
      <c r="B13" s="743" t="s">
        <v>207</v>
      </c>
      <c r="C13" s="743"/>
      <c r="D13" s="743"/>
      <c r="E13" s="743"/>
      <c r="F13" s="744"/>
      <c r="G13" s="126">
        <v>7081</v>
      </c>
      <c r="H13" s="135">
        <v>111041</v>
      </c>
      <c r="I13" s="127"/>
      <c r="J13" s="128"/>
    </row>
    <row r="14" spans="1:16" ht="16.5" customHeight="1">
      <c r="A14" s="134" t="s">
        <v>15</v>
      </c>
      <c r="B14" s="743" t="s">
        <v>208</v>
      </c>
      <c r="C14" s="743"/>
      <c r="D14" s="743"/>
      <c r="E14" s="743"/>
      <c r="F14" s="744"/>
      <c r="G14" s="126">
        <v>7082</v>
      </c>
      <c r="H14" s="135">
        <v>111042</v>
      </c>
      <c r="I14" s="127"/>
      <c r="J14" s="128"/>
    </row>
    <row r="15" spans="1:16" ht="16.5" customHeight="1">
      <c r="A15" s="134" t="s">
        <v>17</v>
      </c>
      <c r="B15" s="743" t="s">
        <v>209</v>
      </c>
      <c r="C15" s="743"/>
      <c r="D15" s="743"/>
      <c r="E15" s="743"/>
      <c r="F15" s="744"/>
      <c r="G15" s="126">
        <v>7083</v>
      </c>
      <c r="H15" s="135">
        <v>111043</v>
      </c>
      <c r="I15" s="127"/>
      <c r="J15" s="128"/>
    </row>
    <row r="16" spans="1:16" ht="29.25" customHeight="1">
      <c r="A16" s="136">
        <v>3</v>
      </c>
      <c r="B16" s="747" t="s">
        <v>210</v>
      </c>
      <c r="C16" s="747"/>
      <c r="D16" s="747"/>
      <c r="E16" s="747"/>
      <c r="F16" s="748"/>
      <c r="G16" s="132">
        <v>71</v>
      </c>
      <c r="H16" s="133">
        <v>11201</v>
      </c>
      <c r="I16" s="127"/>
      <c r="J16" s="128"/>
    </row>
    <row r="17" spans="1:10" ht="16.5" customHeight="1">
      <c r="A17" s="137"/>
      <c r="B17" s="745" t="s">
        <v>211</v>
      </c>
      <c r="C17" s="745"/>
      <c r="D17" s="745"/>
      <c r="E17" s="745"/>
      <c r="F17" s="746"/>
      <c r="G17" s="138"/>
      <c r="H17" s="126">
        <v>112011</v>
      </c>
      <c r="I17" s="127"/>
      <c r="J17" s="128"/>
    </row>
    <row r="18" spans="1:10" ht="16.5" customHeight="1">
      <c r="A18" s="137"/>
      <c r="B18" s="745" t="s">
        <v>212</v>
      </c>
      <c r="C18" s="745"/>
      <c r="D18" s="745"/>
      <c r="E18" s="745"/>
      <c r="F18" s="746"/>
      <c r="G18" s="138"/>
      <c r="H18" s="126">
        <v>112012</v>
      </c>
      <c r="I18" s="127"/>
      <c r="J18" s="128"/>
    </row>
    <row r="19" spans="1:10" ht="16.5" customHeight="1">
      <c r="A19" s="139">
        <v>4</v>
      </c>
      <c r="B19" s="747" t="s">
        <v>213</v>
      </c>
      <c r="C19" s="747"/>
      <c r="D19" s="747"/>
      <c r="E19" s="747"/>
      <c r="F19" s="748"/>
      <c r="G19" s="140">
        <v>72</v>
      </c>
      <c r="H19" s="141">
        <v>11300</v>
      </c>
      <c r="I19" s="127"/>
      <c r="J19" s="128"/>
    </row>
    <row r="20" spans="1:10" ht="16.5" customHeight="1">
      <c r="A20" s="129"/>
      <c r="B20" s="749" t="s">
        <v>214</v>
      </c>
      <c r="C20" s="750"/>
      <c r="D20" s="750"/>
      <c r="E20" s="750"/>
      <c r="F20" s="750"/>
      <c r="G20" s="142"/>
      <c r="H20" s="143">
        <v>11301</v>
      </c>
      <c r="I20" s="127"/>
      <c r="J20" s="128"/>
    </row>
    <row r="21" spans="1:10" ht="16.5" customHeight="1">
      <c r="A21" s="144">
        <v>5</v>
      </c>
      <c r="B21" s="748" t="s">
        <v>215</v>
      </c>
      <c r="C21" s="751"/>
      <c r="D21" s="751"/>
      <c r="E21" s="751"/>
      <c r="F21" s="751"/>
      <c r="G21" s="145">
        <v>73</v>
      </c>
      <c r="H21" s="145">
        <v>11400</v>
      </c>
      <c r="I21" s="127"/>
      <c r="J21" s="128"/>
    </row>
    <row r="22" spans="1:10" ht="16.5" customHeight="1">
      <c r="A22" s="146">
        <v>6</v>
      </c>
      <c r="B22" s="748" t="s">
        <v>216</v>
      </c>
      <c r="C22" s="751"/>
      <c r="D22" s="751"/>
      <c r="E22" s="751"/>
      <c r="F22" s="751"/>
      <c r="G22" s="145">
        <v>75</v>
      </c>
      <c r="H22" s="147">
        <v>11500</v>
      </c>
      <c r="I22" s="127"/>
      <c r="J22" s="128"/>
    </row>
    <row r="23" spans="1:10" ht="16.5" customHeight="1">
      <c r="A23" s="144">
        <v>7</v>
      </c>
      <c r="B23" s="747" t="s">
        <v>217</v>
      </c>
      <c r="C23" s="747"/>
      <c r="D23" s="747"/>
      <c r="E23" s="747"/>
      <c r="F23" s="748"/>
      <c r="G23" s="132">
        <v>77</v>
      </c>
      <c r="H23" s="132">
        <v>11600</v>
      </c>
      <c r="I23" s="127"/>
      <c r="J23" s="128"/>
    </row>
    <row r="24" spans="1:10" ht="16.5" customHeight="1" thickBot="1">
      <c r="A24" s="148" t="s">
        <v>218</v>
      </c>
      <c r="B24" s="753" t="s">
        <v>219</v>
      </c>
      <c r="C24" s="753"/>
      <c r="D24" s="753"/>
      <c r="E24" s="753"/>
      <c r="F24" s="753"/>
      <c r="G24" s="149"/>
      <c r="H24" s="149">
        <v>11800</v>
      </c>
      <c r="I24" s="150"/>
      <c r="J24" s="151"/>
    </row>
    <row r="25" spans="1:10" ht="16.5" customHeight="1">
      <c r="A25" s="152"/>
      <c r="B25" s="153"/>
      <c r="C25" s="153"/>
      <c r="D25" s="153"/>
      <c r="E25" s="153"/>
      <c r="F25" s="153"/>
      <c r="G25" s="153"/>
      <c r="H25" s="153"/>
      <c r="I25" s="154"/>
      <c r="J25" s="154"/>
    </row>
    <row r="26" spans="1:10" ht="16.5" customHeight="1">
      <c r="A26" s="152"/>
      <c r="B26" s="153"/>
      <c r="C26" s="153"/>
      <c r="D26" s="153"/>
      <c r="E26" s="153"/>
      <c r="F26" s="153"/>
      <c r="G26" s="153"/>
      <c r="H26" s="153"/>
      <c r="I26" s="154"/>
      <c r="J26" s="154"/>
    </row>
    <row r="27" spans="1:10" ht="16.5" customHeight="1">
      <c r="A27" s="152"/>
      <c r="B27" s="153"/>
      <c r="C27" s="153"/>
      <c r="D27" s="153"/>
      <c r="E27" s="153"/>
      <c r="F27" s="153"/>
      <c r="G27" s="153"/>
      <c r="H27" s="153"/>
      <c r="I27" s="154"/>
      <c r="J27" s="154"/>
    </row>
    <row r="28" spans="1:10" ht="16.5" customHeight="1">
      <c r="A28" s="152"/>
      <c r="B28" s="153"/>
      <c r="C28" s="153"/>
      <c r="D28" s="153"/>
      <c r="E28" s="153"/>
      <c r="F28" s="153"/>
      <c r="G28" s="153"/>
      <c r="H28" s="153"/>
      <c r="I28" s="154" t="s">
        <v>220</v>
      </c>
      <c r="J28" s="154"/>
    </row>
    <row r="29" spans="1:10" ht="16.5" customHeight="1">
      <c r="A29" s="152"/>
      <c r="B29" s="153"/>
      <c r="C29" s="153"/>
      <c r="D29" s="153"/>
      <c r="E29" s="153"/>
      <c r="F29" s="153"/>
      <c r="G29" s="153"/>
      <c r="H29" s="153"/>
      <c r="I29" s="154"/>
      <c r="J29" s="154"/>
    </row>
    <row r="30" spans="1:10" ht="16.5" customHeight="1">
      <c r="A30" s="152"/>
      <c r="B30" s="153"/>
      <c r="C30" s="153"/>
      <c r="D30" s="153"/>
      <c r="E30" s="153"/>
      <c r="F30" s="153"/>
      <c r="G30" s="153"/>
      <c r="H30" s="153"/>
      <c r="I30" s="154"/>
      <c r="J30" s="154"/>
    </row>
    <row r="31" spans="1:10" ht="16.5" customHeight="1">
      <c r="A31" s="152"/>
      <c r="B31" s="153"/>
      <c r="C31" s="153"/>
      <c r="D31" s="153"/>
      <c r="E31" s="153"/>
      <c r="F31" s="153"/>
      <c r="G31" s="153"/>
      <c r="H31" s="153"/>
      <c r="I31" s="154"/>
      <c r="J31" s="154"/>
    </row>
    <row r="32" spans="1:10" ht="16.5" customHeight="1">
      <c r="A32" s="152"/>
      <c r="B32" s="153"/>
      <c r="C32" s="153"/>
      <c r="D32" s="153"/>
      <c r="E32" s="153"/>
      <c r="F32" s="153"/>
      <c r="G32" s="153"/>
      <c r="H32" s="153"/>
      <c r="I32" s="154"/>
      <c r="J32" s="154"/>
    </row>
    <row r="33" spans="1:10" ht="16.5" customHeight="1">
      <c r="A33" s="152"/>
      <c r="B33" s="153"/>
      <c r="C33" s="153"/>
      <c r="D33" s="153"/>
      <c r="E33" s="153"/>
      <c r="F33" s="153"/>
      <c r="G33" s="153"/>
      <c r="H33" s="153"/>
      <c r="I33" s="154"/>
      <c r="J33" s="154"/>
    </row>
    <row r="34" spans="1:10" ht="16.5" customHeight="1">
      <c r="A34" s="152"/>
      <c r="B34" s="153"/>
      <c r="C34" s="153"/>
      <c r="D34" s="153"/>
      <c r="E34" s="153"/>
      <c r="F34" s="153"/>
      <c r="G34" s="153"/>
      <c r="H34" s="153"/>
      <c r="I34" s="154"/>
      <c r="J34" s="154"/>
    </row>
    <row r="35" spans="1:10" ht="16.5" customHeight="1">
      <c r="A35" s="152"/>
      <c r="B35" s="153"/>
      <c r="C35" s="153"/>
      <c r="D35" s="153"/>
      <c r="E35" s="153"/>
      <c r="F35" s="153"/>
      <c r="G35" s="153"/>
      <c r="H35" s="153"/>
      <c r="I35" s="154"/>
      <c r="J35" s="154"/>
    </row>
    <row r="36" spans="1:10" ht="16.5" customHeight="1">
      <c r="A36" s="152"/>
      <c r="B36" s="153"/>
      <c r="C36" s="153"/>
      <c r="D36" s="153"/>
      <c r="E36" s="153"/>
      <c r="F36" s="153"/>
      <c r="G36" s="153"/>
      <c r="H36" s="153"/>
      <c r="I36" s="154"/>
      <c r="J36" s="154"/>
    </row>
    <row r="37" spans="1:10" ht="16.5" customHeight="1">
      <c r="A37" s="152"/>
      <c r="B37" s="153"/>
      <c r="C37" s="153"/>
      <c r="D37" s="153"/>
      <c r="E37" s="153"/>
      <c r="F37" s="153"/>
      <c r="G37" s="153"/>
      <c r="H37" s="153"/>
      <c r="I37" s="154"/>
      <c r="J37" s="154"/>
    </row>
    <row r="38" spans="1:10" ht="16.5" customHeight="1">
      <c r="A38" s="152"/>
      <c r="B38" s="153"/>
      <c r="C38" s="153"/>
      <c r="D38" s="153"/>
      <c r="E38" s="153"/>
      <c r="F38" s="153"/>
      <c r="G38" s="153"/>
      <c r="H38" s="153"/>
      <c r="I38" s="154"/>
      <c r="J38" s="154"/>
    </row>
    <row r="39" spans="1:10" ht="16.5" customHeight="1">
      <c r="A39" s="152"/>
      <c r="B39" s="153"/>
      <c r="C39" s="153"/>
      <c r="D39" s="153"/>
      <c r="E39" s="153"/>
      <c r="F39" s="153"/>
      <c r="G39" s="153"/>
      <c r="H39" s="153"/>
      <c r="I39" s="154"/>
      <c r="J39" s="154"/>
    </row>
    <row r="40" spans="1:10" ht="16.5" customHeight="1">
      <c r="A40" s="152"/>
      <c r="B40" s="153"/>
      <c r="C40" s="153"/>
      <c r="D40" s="153"/>
      <c r="E40" s="153"/>
      <c r="F40" s="153"/>
      <c r="G40" s="153"/>
      <c r="H40" s="153"/>
      <c r="I40" s="154"/>
      <c r="J40" s="154"/>
    </row>
    <row r="41" spans="1:10" ht="16.5" customHeight="1">
      <c r="A41" s="152"/>
      <c r="B41" s="153"/>
      <c r="C41" s="153"/>
      <c r="D41" s="153"/>
      <c r="E41" s="153"/>
      <c r="F41" s="153"/>
      <c r="G41" s="153"/>
      <c r="H41" s="153"/>
      <c r="I41" s="154"/>
      <c r="J41" s="154"/>
    </row>
    <row r="42" spans="1:10" ht="16.5" customHeight="1">
      <c r="A42" s="152"/>
      <c r="B42" s="153"/>
      <c r="C42" s="153"/>
      <c r="D42" s="153"/>
      <c r="E42" s="153"/>
      <c r="F42" s="153"/>
      <c r="G42" s="153"/>
      <c r="H42" s="153"/>
      <c r="I42" s="154"/>
      <c r="J42" s="154"/>
    </row>
    <row r="43" spans="1:10" ht="16.5" customHeight="1">
      <c r="A43" s="152"/>
      <c r="B43" s="153"/>
      <c r="C43" s="153"/>
      <c r="D43" s="153"/>
      <c r="E43" s="153"/>
      <c r="F43" s="153"/>
      <c r="G43" s="153"/>
      <c r="H43" s="153"/>
      <c r="I43" s="154"/>
      <c r="J43" s="154"/>
    </row>
    <row r="44" spans="1:10" ht="16.5" customHeight="1">
      <c r="A44" s="152"/>
      <c r="B44" s="153"/>
      <c r="C44" s="153"/>
      <c r="D44" s="153"/>
      <c r="E44" s="153"/>
      <c r="F44" s="153"/>
      <c r="G44" s="153"/>
      <c r="H44" s="153"/>
      <c r="I44" s="154"/>
      <c r="J44" s="154"/>
    </row>
    <row r="45" spans="1:10" ht="16.5" customHeight="1">
      <c r="A45" s="152"/>
      <c r="B45" s="153"/>
      <c r="C45" s="153"/>
      <c r="D45" s="153"/>
      <c r="E45" s="153"/>
      <c r="F45" s="153"/>
      <c r="G45" s="153"/>
      <c r="H45" s="153"/>
      <c r="I45" s="154"/>
      <c r="J45" s="154"/>
    </row>
    <row r="46" spans="1:10" ht="16.5" customHeight="1">
      <c r="A46" s="152"/>
      <c r="B46" s="153"/>
      <c r="C46" s="153"/>
      <c r="D46" s="153"/>
      <c r="E46" s="153"/>
      <c r="F46" s="153"/>
      <c r="G46" s="153"/>
      <c r="H46" s="153"/>
      <c r="I46" s="154"/>
      <c r="J46" s="154"/>
    </row>
    <row r="47" spans="1:10" ht="16.5" customHeight="1">
      <c r="A47" s="152"/>
      <c r="B47" s="153"/>
      <c r="C47" s="153"/>
      <c r="D47" s="153"/>
      <c r="E47" s="153"/>
      <c r="F47" s="153"/>
      <c r="G47" s="153"/>
      <c r="H47" s="153"/>
      <c r="I47" s="154"/>
      <c r="J47" s="154"/>
    </row>
    <row r="48" spans="1:10" ht="16.5" customHeight="1">
      <c r="A48" s="152"/>
      <c r="B48" s="153"/>
      <c r="C48" s="153"/>
      <c r="D48" s="153"/>
      <c r="E48" s="153"/>
      <c r="F48" s="153"/>
      <c r="G48" s="153"/>
      <c r="H48" s="153"/>
      <c r="I48" s="154"/>
      <c r="J48" s="154"/>
    </row>
    <row r="49" spans="1:16" ht="16.5" customHeight="1">
      <c r="A49" s="152"/>
      <c r="B49" s="153"/>
      <c r="C49" s="153"/>
      <c r="D49" s="153"/>
      <c r="E49" s="153"/>
      <c r="F49" s="153"/>
      <c r="G49" s="153"/>
      <c r="H49" s="153"/>
      <c r="I49" s="154"/>
      <c r="J49" s="154"/>
    </row>
    <row r="50" spans="1:16" ht="16.5" customHeight="1">
      <c r="A50" s="152"/>
      <c r="B50" s="153"/>
      <c r="C50" s="153"/>
      <c r="D50" s="153"/>
      <c r="E50" s="153"/>
      <c r="F50" s="153"/>
      <c r="G50" s="153"/>
      <c r="H50" s="153"/>
      <c r="I50" s="154"/>
      <c r="J50" s="154"/>
    </row>
    <row r="51" spans="1:16" ht="16.5" customHeight="1">
      <c r="A51" s="152"/>
      <c r="B51" s="153"/>
      <c r="C51" s="153"/>
      <c r="D51" s="153"/>
      <c r="E51" s="153"/>
      <c r="F51" s="153"/>
      <c r="G51" s="153"/>
      <c r="H51" s="153"/>
      <c r="I51" s="154"/>
      <c r="J51" s="154"/>
    </row>
    <row r="52" spans="1:16" ht="16.5" customHeight="1">
      <c r="A52" s="152"/>
      <c r="B52" s="153"/>
      <c r="C52" s="153"/>
      <c r="D52" s="153"/>
      <c r="E52" s="153"/>
      <c r="F52" s="153"/>
      <c r="G52" s="153"/>
      <c r="H52" s="153"/>
      <c r="I52" s="154"/>
      <c r="J52" s="154"/>
    </row>
    <row r="53" spans="1:16" ht="12.75" customHeight="1">
      <c r="A53" s="106"/>
      <c r="B53" s="110" t="s">
        <v>189</v>
      </c>
      <c r="C53" s="111" t="s">
        <v>190</v>
      </c>
      <c r="D53" s="112"/>
      <c r="E53" s="106"/>
      <c r="F53" s="106"/>
      <c r="G53" s="106"/>
      <c r="H53" s="106"/>
      <c r="I53" s="106"/>
      <c r="J53" s="106"/>
      <c r="M53" s="155"/>
      <c r="N53" s="155"/>
    </row>
    <row r="54" spans="1:16" ht="12.75" customHeight="1">
      <c r="A54" s="106"/>
      <c r="B54" s="110" t="s">
        <v>191</v>
      </c>
      <c r="C54" s="111" t="s">
        <v>192</v>
      </c>
      <c r="D54" s="112"/>
      <c r="E54" s="106"/>
      <c r="F54" s="106"/>
      <c r="G54" s="106"/>
      <c r="H54" s="106"/>
      <c r="I54" s="106"/>
      <c r="J54" s="106"/>
      <c r="M54" s="156"/>
      <c r="N54" s="156"/>
    </row>
    <row r="55" spans="1:16" ht="12.75" customHeight="1">
      <c r="A55" s="106"/>
      <c r="B55" s="113"/>
      <c r="C55" s="106"/>
      <c r="D55" s="106"/>
      <c r="E55" s="106"/>
      <c r="F55" s="106"/>
      <c r="G55" s="106"/>
      <c r="H55" s="106"/>
      <c r="I55" s="113" t="s">
        <v>221</v>
      </c>
      <c r="J55" s="106"/>
      <c r="M55" s="156"/>
      <c r="N55" s="156"/>
    </row>
    <row r="56" spans="1:16" ht="12.75" customHeight="1">
      <c r="A56" s="114"/>
      <c r="B56" s="114"/>
      <c r="C56" s="114"/>
      <c r="D56" s="114"/>
      <c r="E56" s="114"/>
      <c r="F56" s="114"/>
      <c r="G56" s="114"/>
      <c r="H56" s="114"/>
      <c r="I56" s="115"/>
      <c r="J56" s="116" t="s">
        <v>464</v>
      </c>
      <c r="K56" s="73"/>
      <c r="M56" s="156"/>
      <c r="N56" s="156"/>
      <c r="O56" s="73"/>
      <c r="P56" s="73"/>
    </row>
    <row r="57" spans="1:16" ht="12.75" customHeight="1">
      <c r="A57" s="736" t="s">
        <v>194</v>
      </c>
      <c r="B57" s="737"/>
      <c r="C57" s="737"/>
      <c r="D57" s="737"/>
      <c r="E57" s="737"/>
      <c r="F57" s="737"/>
      <c r="G57" s="737"/>
      <c r="H57" s="737"/>
      <c r="I57" s="737"/>
      <c r="J57" s="738"/>
      <c r="M57" s="155"/>
      <c r="N57" s="155"/>
    </row>
    <row r="58" spans="1:16" ht="12.75" customHeight="1" thickBot="1">
      <c r="A58" s="157"/>
      <c r="B58" s="754" t="s">
        <v>222</v>
      </c>
      <c r="C58" s="755"/>
      <c r="D58" s="755"/>
      <c r="E58" s="755"/>
      <c r="F58" s="756"/>
      <c r="G58" s="158" t="s">
        <v>196</v>
      </c>
      <c r="H58" s="158" t="s">
        <v>197</v>
      </c>
      <c r="I58" s="120">
        <v>2012</v>
      </c>
      <c r="J58" s="120">
        <v>2011</v>
      </c>
      <c r="M58" s="155"/>
      <c r="N58" s="155"/>
    </row>
    <row r="59" spans="1:16" ht="12.75" customHeight="1">
      <c r="A59" s="159">
        <v>1</v>
      </c>
      <c r="B59" s="757" t="s">
        <v>223</v>
      </c>
      <c r="C59" s="758"/>
      <c r="D59" s="758"/>
      <c r="E59" s="758"/>
      <c r="F59" s="758"/>
      <c r="G59" s="160">
        <v>60</v>
      </c>
      <c r="H59" s="160">
        <v>12100</v>
      </c>
      <c r="I59" s="161"/>
      <c r="J59" s="162"/>
      <c r="M59" s="155"/>
      <c r="N59" s="155"/>
    </row>
    <row r="60" spans="1:16" ht="12.75" customHeight="1">
      <c r="A60" s="163" t="s">
        <v>224</v>
      </c>
      <c r="B60" s="759" t="s">
        <v>225</v>
      </c>
      <c r="C60" s="759" t="s">
        <v>226</v>
      </c>
      <c r="D60" s="759"/>
      <c r="E60" s="759"/>
      <c r="F60" s="759"/>
      <c r="G60" s="164" t="s">
        <v>227</v>
      </c>
      <c r="H60" s="164">
        <v>12101</v>
      </c>
      <c r="I60" s="165"/>
      <c r="J60" s="166"/>
      <c r="M60" s="156"/>
      <c r="N60" s="156"/>
    </row>
    <row r="61" spans="1:16" ht="12.75" customHeight="1">
      <c r="A61" s="163" t="s">
        <v>202</v>
      </c>
      <c r="B61" s="759" t="s">
        <v>228</v>
      </c>
      <c r="C61" s="759" t="s">
        <v>226</v>
      </c>
      <c r="D61" s="759"/>
      <c r="E61" s="759"/>
      <c r="F61" s="759"/>
      <c r="G61" s="164"/>
      <c r="H61" s="167">
        <v>12102</v>
      </c>
      <c r="I61" s="165"/>
      <c r="J61" s="166"/>
      <c r="M61" s="156"/>
      <c r="N61" s="156"/>
    </row>
    <row r="62" spans="1:16" ht="12.75" customHeight="1">
      <c r="A62" s="163" t="s">
        <v>204</v>
      </c>
      <c r="B62" s="759" t="s">
        <v>229</v>
      </c>
      <c r="C62" s="759" t="s">
        <v>226</v>
      </c>
      <c r="D62" s="759"/>
      <c r="E62" s="759"/>
      <c r="F62" s="759"/>
      <c r="G62" s="164" t="s">
        <v>230</v>
      </c>
      <c r="H62" s="164">
        <v>12103</v>
      </c>
      <c r="I62" s="165"/>
      <c r="J62" s="166"/>
      <c r="M62" s="156"/>
      <c r="N62" s="156"/>
    </row>
    <row r="63" spans="1:16" ht="12.75" customHeight="1">
      <c r="A63" s="163" t="s">
        <v>231</v>
      </c>
      <c r="B63" s="760" t="s">
        <v>232</v>
      </c>
      <c r="C63" s="759" t="s">
        <v>226</v>
      </c>
      <c r="D63" s="759"/>
      <c r="E63" s="759"/>
      <c r="F63" s="759"/>
      <c r="G63" s="164"/>
      <c r="H63" s="167">
        <v>12104</v>
      </c>
      <c r="I63" s="165"/>
      <c r="J63" s="166"/>
    </row>
    <row r="64" spans="1:16" ht="12.75" customHeight="1">
      <c r="A64" s="163" t="s">
        <v>233</v>
      </c>
      <c r="B64" s="759" t="s">
        <v>234</v>
      </c>
      <c r="C64" s="759" t="s">
        <v>226</v>
      </c>
      <c r="D64" s="759"/>
      <c r="E64" s="759"/>
      <c r="F64" s="759"/>
      <c r="G64" s="164" t="s">
        <v>235</v>
      </c>
      <c r="H64" s="167">
        <v>12105</v>
      </c>
      <c r="I64" s="165"/>
      <c r="J64" s="166"/>
      <c r="M64">
        <v>766</v>
      </c>
      <c r="N64" s="18">
        <v>4184391.31</v>
      </c>
    </row>
    <row r="65" spans="1:15" ht="12.75" customHeight="1">
      <c r="A65" s="168">
        <v>2</v>
      </c>
      <c r="B65" s="761" t="s">
        <v>236</v>
      </c>
      <c r="C65" s="761"/>
      <c r="D65" s="761"/>
      <c r="E65" s="761"/>
      <c r="F65" s="761"/>
      <c r="G65" s="169">
        <v>64</v>
      </c>
      <c r="H65" s="169">
        <v>12200</v>
      </c>
      <c r="I65" s="170">
        <f>I66+I67</f>
        <v>2582978</v>
      </c>
      <c r="J65" s="170">
        <f>J66+J67</f>
        <v>960000</v>
      </c>
      <c r="M65">
        <v>767</v>
      </c>
      <c r="N65" s="18">
        <v>83214.25</v>
      </c>
      <c r="O65" s="156">
        <v>667.42</v>
      </c>
    </row>
    <row r="66" spans="1:15" ht="12.75" customHeight="1">
      <c r="A66" s="171" t="s">
        <v>237</v>
      </c>
      <c r="B66" s="761" t="s">
        <v>238</v>
      </c>
      <c r="C66" s="752"/>
      <c r="D66" s="752"/>
      <c r="E66" s="752"/>
      <c r="F66" s="752"/>
      <c r="G66" s="167">
        <v>641</v>
      </c>
      <c r="H66" s="167">
        <v>12201</v>
      </c>
      <c r="I66" s="172">
        <f>'Fitim-Humbje'!E58</f>
        <v>2403442</v>
      </c>
      <c r="J66" s="172">
        <v>960000</v>
      </c>
      <c r="N66" s="156"/>
      <c r="O66" s="156"/>
    </row>
    <row r="67" spans="1:15" ht="12.75" customHeight="1">
      <c r="A67" s="171" t="s">
        <v>239</v>
      </c>
      <c r="B67" s="752" t="s">
        <v>240</v>
      </c>
      <c r="C67" s="752"/>
      <c r="D67" s="752"/>
      <c r="E67" s="752"/>
      <c r="F67" s="752"/>
      <c r="G67" s="167">
        <v>644</v>
      </c>
      <c r="H67" s="167">
        <v>12202</v>
      </c>
      <c r="I67" s="172">
        <f>'Fitim-Humbje'!E59</f>
        <v>179536</v>
      </c>
      <c r="J67" s="172"/>
      <c r="N67" s="156"/>
      <c r="O67" s="156"/>
    </row>
    <row r="68" spans="1:15" ht="12.75" customHeight="1">
      <c r="A68" s="168">
        <v>3</v>
      </c>
      <c r="B68" s="761" t="s">
        <v>241</v>
      </c>
      <c r="C68" s="761"/>
      <c r="D68" s="761"/>
      <c r="E68" s="761"/>
      <c r="F68" s="761"/>
      <c r="G68" s="169">
        <v>68</v>
      </c>
      <c r="H68" s="169">
        <v>12300</v>
      </c>
      <c r="I68" s="170"/>
      <c r="J68" s="170"/>
      <c r="M68">
        <v>608</v>
      </c>
      <c r="N68" s="18">
        <v>221599.92</v>
      </c>
      <c r="O68" s="156">
        <v>77239</v>
      </c>
    </row>
    <row r="69" spans="1:15" ht="12.75" customHeight="1">
      <c r="A69" s="168">
        <v>4</v>
      </c>
      <c r="B69" s="761" t="s">
        <v>242</v>
      </c>
      <c r="C69" s="761"/>
      <c r="D69" s="761"/>
      <c r="E69" s="761"/>
      <c r="F69" s="761"/>
      <c r="G69" s="169">
        <v>61</v>
      </c>
      <c r="H69" s="169">
        <v>12400</v>
      </c>
      <c r="I69" s="173">
        <f>SUM(I70:I84)</f>
        <v>2132041.1399999997</v>
      </c>
      <c r="J69" s="173">
        <f>SUM(J70:J84)</f>
        <v>1177487.3999999999</v>
      </c>
      <c r="M69">
        <v>611</v>
      </c>
      <c r="N69" s="223">
        <v>28633</v>
      </c>
      <c r="O69" s="156">
        <v>135260.89000000001</v>
      </c>
    </row>
    <row r="70" spans="1:15" ht="12.75" customHeight="1">
      <c r="A70" s="171" t="s">
        <v>13</v>
      </c>
      <c r="B70" s="762" t="s">
        <v>243</v>
      </c>
      <c r="C70" s="762"/>
      <c r="D70" s="762"/>
      <c r="E70" s="762"/>
      <c r="F70" s="762"/>
      <c r="G70" s="164"/>
      <c r="H70" s="164">
        <v>12401</v>
      </c>
      <c r="I70" s="170"/>
      <c r="J70" s="170"/>
      <c r="M70">
        <v>613</v>
      </c>
      <c r="N70" s="223">
        <v>219310</v>
      </c>
      <c r="O70" s="156">
        <v>215242.3</v>
      </c>
    </row>
    <row r="71" spans="1:15" ht="12.75" customHeight="1">
      <c r="A71" s="171" t="s">
        <v>15</v>
      </c>
      <c r="B71" s="762" t="s">
        <v>244</v>
      </c>
      <c r="C71" s="762"/>
      <c r="D71" s="762"/>
      <c r="E71" s="762"/>
      <c r="F71" s="762"/>
      <c r="G71" s="174">
        <v>611</v>
      </c>
      <c r="H71" s="164">
        <v>12402</v>
      </c>
      <c r="I71" s="170">
        <f>'Fitim-Humbje'!E48</f>
        <v>19966.669999999998</v>
      </c>
      <c r="J71" s="173">
        <v>28633</v>
      </c>
      <c r="M71">
        <v>618</v>
      </c>
      <c r="N71" s="223">
        <v>1680834</v>
      </c>
      <c r="O71" s="156">
        <v>1080000</v>
      </c>
    </row>
    <row r="72" spans="1:15" ht="12.75" customHeight="1">
      <c r="A72" s="171" t="s">
        <v>17</v>
      </c>
      <c r="B72" s="762" t="s">
        <v>245</v>
      </c>
      <c r="C72" s="762"/>
      <c r="D72" s="762"/>
      <c r="E72" s="762"/>
      <c r="F72" s="762"/>
      <c r="G72" s="164">
        <v>613</v>
      </c>
      <c r="H72" s="164">
        <v>12403</v>
      </c>
      <c r="I72" s="170">
        <f>'Fitim-Humbje'!E49</f>
        <v>217189</v>
      </c>
      <c r="J72" s="173">
        <v>219310</v>
      </c>
      <c r="M72">
        <v>624</v>
      </c>
      <c r="N72" s="223">
        <v>678318.4</v>
      </c>
      <c r="O72" s="156">
        <v>15374.3</v>
      </c>
    </row>
    <row r="73" spans="1:15" ht="12.75" customHeight="1">
      <c r="A73" s="171" t="s">
        <v>55</v>
      </c>
      <c r="B73" s="762" t="s">
        <v>246</v>
      </c>
      <c r="C73" s="762"/>
      <c r="D73" s="762"/>
      <c r="E73" s="762"/>
      <c r="F73" s="762"/>
      <c r="G73" s="174">
        <v>615</v>
      </c>
      <c r="H73" s="164">
        <v>12404</v>
      </c>
      <c r="I73" s="175"/>
      <c r="J73" s="264"/>
      <c r="M73">
        <v>628</v>
      </c>
      <c r="N73" s="223">
        <v>50392</v>
      </c>
      <c r="O73" s="156">
        <v>21420</v>
      </c>
    </row>
    <row r="74" spans="1:15" ht="12.75" customHeight="1">
      <c r="A74" s="171" t="s">
        <v>62</v>
      </c>
      <c r="B74" s="762" t="s">
        <v>247</v>
      </c>
      <c r="C74" s="762"/>
      <c r="D74" s="762"/>
      <c r="E74" s="762"/>
      <c r="F74" s="762"/>
      <c r="G74" s="174">
        <v>616</v>
      </c>
      <c r="H74" s="164">
        <v>12405</v>
      </c>
      <c r="I74" s="170"/>
      <c r="J74" s="173"/>
      <c r="M74">
        <v>634</v>
      </c>
      <c r="N74" s="223">
        <v>21420</v>
      </c>
      <c r="O74" s="156">
        <v>960000</v>
      </c>
    </row>
    <row r="75" spans="1:15" ht="12.75" customHeight="1">
      <c r="A75" s="171" t="s">
        <v>248</v>
      </c>
      <c r="B75" s="762" t="s">
        <v>249</v>
      </c>
      <c r="C75" s="762"/>
      <c r="D75" s="762"/>
      <c r="E75" s="762"/>
      <c r="F75" s="762"/>
      <c r="G75" s="174">
        <v>617</v>
      </c>
      <c r="H75" s="164">
        <v>12406</v>
      </c>
      <c r="I75" s="170"/>
      <c r="J75" s="173"/>
      <c r="M75">
        <v>638</v>
      </c>
      <c r="N75" s="223">
        <v>600</v>
      </c>
      <c r="O75" s="156"/>
    </row>
    <row r="76" spans="1:15" ht="12.75" customHeight="1">
      <c r="A76" s="171" t="s">
        <v>250</v>
      </c>
      <c r="B76" s="759" t="s">
        <v>251</v>
      </c>
      <c r="C76" s="759" t="s">
        <v>226</v>
      </c>
      <c r="D76" s="759"/>
      <c r="E76" s="759"/>
      <c r="F76" s="759"/>
      <c r="G76" s="174">
        <v>618</v>
      </c>
      <c r="H76" s="164">
        <v>12407</v>
      </c>
      <c r="I76" s="170">
        <f>'Fitim-Humbje'!E50</f>
        <v>70833</v>
      </c>
      <c r="J76" s="173">
        <v>200834</v>
      </c>
      <c r="M76">
        <v>641</v>
      </c>
      <c r="N76" s="223">
        <v>960000</v>
      </c>
      <c r="O76" s="156">
        <v>14583</v>
      </c>
    </row>
    <row r="77" spans="1:15" ht="12.75" customHeight="1">
      <c r="A77" s="171" t="s">
        <v>252</v>
      </c>
      <c r="B77" s="759" t="s">
        <v>253</v>
      </c>
      <c r="C77" s="759"/>
      <c r="D77" s="759"/>
      <c r="E77" s="759"/>
      <c r="F77" s="759"/>
      <c r="G77" s="174">
        <v>623</v>
      </c>
      <c r="H77" s="164">
        <v>12408</v>
      </c>
      <c r="I77" s="170"/>
      <c r="J77" s="173"/>
      <c r="M77">
        <v>644</v>
      </c>
      <c r="N77" s="18"/>
      <c r="O77" s="156">
        <v>30009</v>
      </c>
    </row>
    <row r="78" spans="1:15" ht="12.75" customHeight="1">
      <c r="A78" s="171" t="s">
        <v>254</v>
      </c>
      <c r="B78" s="759" t="s">
        <v>255</v>
      </c>
      <c r="C78" s="759"/>
      <c r="D78" s="759"/>
      <c r="E78" s="759"/>
      <c r="F78" s="759"/>
      <c r="G78" s="174">
        <v>624</v>
      </c>
      <c r="H78" s="164">
        <v>12409</v>
      </c>
      <c r="I78" s="170">
        <f>'Fitim-Humbje'!E53</f>
        <v>1528794.01</v>
      </c>
      <c r="J78" s="173">
        <v>678318.4</v>
      </c>
      <c r="M78">
        <v>654</v>
      </c>
      <c r="N78" s="18"/>
      <c r="O78" s="156"/>
    </row>
    <row r="79" spans="1:15" ht="12.75" customHeight="1">
      <c r="A79" s="171" t="s">
        <v>256</v>
      </c>
      <c r="B79" s="759" t="s">
        <v>257</v>
      </c>
      <c r="C79" s="759"/>
      <c r="D79" s="759"/>
      <c r="E79" s="759"/>
      <c r="F79" s="759"/>
      <c r="G79" s="174">
        <v>625</v>
      </c>
      <c r="H79" s="164">
        <v>12410</v>
      </c>
      <c r="I79" s="170">
        <f>M60</f>
        <v>0</v>
      </c>
      <c r="J79" s="173">
        <v>0</v>
      </c>
      <c r="M79">
        <v>657</v>
      </c>
      <c r="N79" s="18"/>
      <c r="O79" s="156">
        <v>454696.22</v>
      </c>
    </row>
    <row r="80" spans="1:15" ht="12.75" customHeight="1">
      <c r="A80" s="171" t="s">
        <v>258</v>
      </c>
      <c r="B80" s="759" t="s">
        <v>259</v>
      </c>
      <c r="C80" s="759"/>
      <c r="D80" s="759"/>
      <c r="E80" s="759"/>
      <c r="F80" s="759"/>
      <c r="G80" s="174">
        <v>626</v>
      </c>
      <c r="H80" s="164">
        <v>12411</v>
      </c>
      <c r="I80" s="170">
        <f>'Fitim-Humbje'!E54</f>
        <v>154764.66</v>
      </c>
      <c r="J80" s="173">
        <v>0</v>
      </c>
      <c r="M80">
        <v>658</v>
      </c>
      <c r="N80" s="18"/>
    </row>
    <row r="81" spans="1:15" ht="12.75" customHeight="1">
      <c r="A81" s="176" t="s">
        <v>260</v>
      </c>
      <c r="B81" s="759" t="s">
        <v>261</v>
      </c>
      <c r="C81" s="759"/>
      <c r="D81" s="759"/>
      <c r="E81" s="759"/>
      <c r="F81" s="759"/>
      <c r="G81" s="174">
        <v>627</v>
      </c>
      <c r="H81" s="164">
        <v>12412</v>
      </c>
      <c r="I81" s="170"/>
      <c r="J81" s="173"/>
      <c r="M81">
        <v>666</v>
      </c>
      <c r="N81" s="18">
        <v>2091728.23</v>
      </c>
    </row>
    <row r="82" spans="1:15" ht="12.75" customHeight="1">
      <c r="A82" s="171"/>
      <c r="B82" s="766" t="s">
        <v>262</v>
      </c>
      <c r="C82" s="766"/>
      <c r="D82" s="766"/>
      <c r="E82" s="766"/>
      <c r="F82" s="766"/>
      <c r="G82" s="174">
        <v>6271</v>
      </c>
      <c r="H82" s="174">
        <v>124121</v>
      </c>
      <c r="I82" s="170"/>
      <c r="J82" s="173"/>
      <c r="M82">
        <v>667</v>
      </c>
      <c r="N82" s="18">
        <v>2891675.02</v>
      </c>
    </row>
    <row r="83" spans="1:15" ht="12.75" customHeight="1">
      <c r="A83" s="171"/>
      <c r="B83" s="766" t="s">
        <v>263</v>
      </c>
      <c r="C83" s="766"/>
      <c r="D83" s="766"/>
      <c r="E83" s="766"/>
      <c r="F83" s="766"/>
      <c r="G83" s="174">
        <v>6272</v>
      </c>
      <c r="H83" s="174">
        <v>124122</v>
      </c>
      <c r="I83" s="170"/>
      <c r="J83" s="173"/>
      <c r="N83" s="156">
        <f>SUM(N64:N65)-SUM(N68:N82)</f>
        <v>-4576905.01</v>
      </c>
      <c r="O83" s="156">
        <f>SUM(O64:O65)-SUM(O68:O79)</f>
        <v>-3003157.29</v>
      </c>
    </row>
    <row r="84" spans="1:15" ht="12.75" customHeight="1">
      <c r="A84" s="171" t="s">
        <v>264</v>
      </c>
      <c r="B84" s="759" t="s">
        <v>265</v>
      </c>
      <c r="C84" s="759"/>
      <c r="D84" s="759"/>
      <c r="E84" s="759"/>
      <c r="F84" s="759"/>
      <c r="G84" s="174">
        <v>628</v>
      </c>
      <c r="H84" s="174">
        <v>12413</v>
      </c>
      <c r="I84" s="170">
        <f>'Fitim-Humbje'!E55</f>
        <v>140493.79999999999</v>
      </c>
      <c r="J84" s="173">
        <v>50392</v>
      </c>
    </row>
    <row r="85" spans="1:15" ht="12.75" customHeight="1">
      <c r="A85" s="168">
        <v>5</v>
      </c>
      <c r="B85" s="760" t="s">
        <v>266</v>
      </c>
      <c r="C85" s="759"/>
      <c r="D85" s="759"/>
      <c r="E85" s="759"/>
      <c r="F85" s="759"/>
      <c r="G85" s="165">
        <v>63</v>
      </c>
      <c r="H85" s="165">
        <v>12500</v>
      </c>
      <c r="I85" s="170">
        <f>SUM(I86:I89)</f>
        <v>23320</v>
      </c>
      <c r="J85" s="173">
        <v>22020</v>
      </c>
    </row>
    <row r="86" spans="1:15" ht="12.75" customHeight="1">
      <c r="A86" s="171" t="s">
        <v>13</v>
      </c>
      <c r="B86" s="759" t="s">
        <v>267</v>
      </c>
      <c r="C86" s="759"/>
      <c r="D86" s="759"/>
      <c r="E86" s="759"/>
      <c r="F86" s="759"/>
      <c r="G86" s="174">
        <v>632</v>
      </c>
      <c r="H86" s="174">
        <v>12501</v>
      </c>
      <c r="I86" s="165"/>
      <c r="J86" s="265"/>
    </row>
    <row r="87" spans="1:15" ht="12.75" customHeight="1">
      <c r="A87" s="171" t="s">
        <v>15</v>
      </c>
      <c r="B87" s="759" t="s">
        <v>268</v>
      </c>
      <c r="C87" s="759"/>
      <c r="D87" s="759"/>
      <c r="E87" s="759"/>
      <c r="F87" s="759"/>
      <c r="G87" s="174">
        <v>633</v>
      </c>
      <c r="H87" s="174">
        <v>12502</v>
      </c>
      <c r="I87" s="165"/>
      <c r="J87" s="265"/>
    </row>
    <row r="88" spans="1:15" ht="12.75" customHeight="1">
      <c r="A88" s="171" t="s">
        <v>17</v>
      </c>
      <c r="B88" s="759" t="s">
        <v>269</v>
      </c>
      <c r="C88" s="759"/>
      <c r="D88" s="759"/>
      <c r="E88" s="759"/>
      <c r="F88" s="759"/>
      <c r="G88" s="174">
        <v>634</v>
      </c>
      <c r="H88" s="174">
        <v>12503</v>
      </c>
      <c r="I88" s="177">
        <f>'Fitim-Humbje'!E56</f>
        <v>22120</v>
      </c>
      <c r="J88" s="266">
        <v>21420</v>
      </c>
    </row>
    <row r="89" spans="1:15" ht="12.75" customHeight="1">
      <c r="A89" s="171" t="s">
        <v>55</v>
      </c>
      <c r="B89" s="759" t="s">
        <v>270</v>
      </c>
      <c r="C89" s="759"/>
      <c r="D89" s="759"/>
      <c r="E89" s="759"/>
      <c r="F89" s="759"/>
      <c r="G89" s="174" t="s">
        <v>271</v>
      </c>
      <c r="H89" s="174">
        <v>12504</v>
      </c>
      <c r="I89" s="177">
        <f>'Fitim-Humbje'!E57</f>
        <v>1200</v>
      </c>
      <c r="J89" s="265">
        <v>600</v>
      </c>
    </row>
    <row r="90" spans="1:15" ht="12.75" customHeight="1">
      <c r="A90" s="168" t="s">
        <v>272</v>
      </c>
      <c r="B90" s="761" t="s">
        <v>273</v>
      </c>
      <c r="C90" s="761"/>
      <c r="D90" s="761"/>
      <c r="E90" s="761"/>
      <c r="F90" s="761"/>
      <c r="G90" s="174"/>
      <c r="H90" s="174">
        <v>12600</v>
      </c>
      <c r="I90" s="177">
        <f>I59+I65+I68+I69+I85</f>
        <v>4738339.1399999997</v>
      </c>
      <c r="J90" s="177">
        <f>J59+J65+J68+J69+J85</f>
        <v>2159507.4</v>
      </c>
    </row>
    <row r="91" spans="1:15" ht="12.75" customHeight="1">
      <c r="A91" s="178"/>
      <c r="B91" s="179" t="s">
        <v>274</v>
      </c>
      <c r="C91" s="180"/>
      <c r="D91" s="180"/>
      <c r="E91" s="180"/>
      <c r="F91" s="180"/>
      <c r="G91" s="180"/>
      <c r="H91" s="180"/>
      <c r="I91" s="181" t="s">
        <v>350</v>
      </c>
      <c r="J91" s="182" t="s">
        <v>198</v>
      </c>
    </row>
    <row r="92" spans="1:15" ht="12.75" customHeight="1">
      <c r="A92" s="183">
        <v>1</v>
      </c>
      <c r="B92" s="764" t="s">
        <v>275</v>
      </c>
      <c r="C92" s="764"/>
      <c r="D92" s="764"/>
      <c r="E92" s="764"/>
      <c r="F92" s="764"/>
      <c r="G92" s="165"/>
      <c r="H92" s="165">
        <v>14000</v>
      </c>
      <c r="I92" s="267">
        <v>1</v>
      </c>
      <c r="J92" s="268">
        <v>1</v>
      </c>
    </row>
    <row r="93" spans="1:15" ht="12.75" customHeight="1">
      <c r="A93" s="183">
        <v>2</v>
      </c>
      <c r="B93" s="764" t="s">
        <v>276</v>
      </c>
      <c r="C93" s="764"/>
      <c r="D93" s="764"/>
      <c r="E93" s="764"/>
      <c r="F93" s="764"/>
      <c r="G93" s="165"/>
      <c r="H93" s="165">
        <v>15000</v>
      </c>
      <c r="I93" s="165"/>
      <c r="J93" s="166"/>
    </row>
    <row r="94" spans="1:15" ht="12.75" customHeight="1">
      <c r="A94" s="184" t="s">
        <v>13</v>
      </c>
      <c r="B94" s="762" t="s">
        <v>277</v>
      </c>
      <c r="C94" s="762"/>
      <c r="D94" s="762"/>
      <c r="E94" s="762"/>
      <c r="F94" s="762"/>
      <c r="G94" s="165"/>
      <c r="H94" s="174">
        <v>15001</v>
      </c>
      <c r="I94" s="165"/>
      <c r="J94" s="166"/>
    </row>
    <row r="95" spans="1:15" ht="12.75" customHeight="1">
      <c r="A95" s="184"/>
      <c r="B95" s="765" t="s">
        <v>278</v>
      </c>
      <c r="C95" s="765"/>
      <c r="D95" s="765"/>
      <c r="E95" s="765"/>
      <c r="F95" s="765"/>
      <c r="G95" s="165"/>
      <c r="H95" s="174">
        <v>150011</v>
      </c>
      <c r="I95" s="165"/>
      <c r="J95" s="166"/>
    </row>
    <row r="96" spans="1:15" ht="12.75" customHeight="1">
      <c r="A96" s="185" t="s">
        <v>15</v>
      </c>
      <c r="B96" s="762" t="s">
        <v>279</v>
      </c>
      <c r="C96" s="762"/>
      <c r="D96" s="762"/>
      <c r="E96" s="762"/>
      <c r="F96" s="762"/>
      <c r="G96" s="165"/>
      <c r="H96" s="174">
        <v>15002</v>
      </c>
      <c r="I96" s="165"/>
      <c r="J96" s="166"/>
    </row>
    <row r="97" spans="1:10" ht="12.75" customHeight="1" thickBot="1">
      <c r="A97" s="186"/>
      <c r="B97" s="763" t="s">
        <v>280</v>
      </c>
      <c r="C97" s="763"/>
      <c r="D97" s="763"/>
      <c r="E97" s="763"/>
      <c r="F97" s="763"/>
      <c r="G97" s="187"/>
      <c r="H97" s="188">
        <v>150021</v>
      </c>
      <c r="I97" s="187"/>
      <c r="J97" s="189"/>
    </row>
    <row r="98" spans="1:10">
      <c r="A98" s="190"/>
      <c r="B98" s="190"/>
      <c r="C98" s="190"/>
      <c r="D98" s="190"/>
      <c r="E98" s="190"/>
      <c r="F98" s="190"/>
      <c r="G98" s="190"/>
      <c r="H98" s="190"/>
      <c r="I98" s="191" t="s">
        <v>220</v>
      </c>
      <c r="J98" s="191"/>
    </row>
    <row r="99" spans="1:10" ht="15.75">
      <c r="A99" s="106"/>
      <c r="B99" s="106"/>
      <c r="C99" s="106"/>
      <c r="D99" s="106"/>
      <c r="E99" s="106"/>
      <c r="F99" s="106"/>
      <c r="G99" s="106"/>
      <c r="H99" s="106"/>
      <c r="I99" s="191" t="s">
        <v>465</v>
      </c>
      <c r="J99" s="192"/>
    </row>
    <row r="100" spans="1:10" ht="15.75">
      <c r="A100" s="106"/>
      <c r="B100" s="106"/>
      <c r="C100" s="106"/>
      <c r="D100" s="106"/>
      <c r="E100" s="106"/>
      <c r="F100" s="106"/>
      <c r="G100" s="106"/>
      <c r="H100" s="106"/>
      <c r="I100" s="106"/>
      <c r="J100" s="192"/>
    </row>
    <row r="101" spans="1:10" ht="15.75">
      <c r="A101" s="106"/>
      <c r="B101" s="106"/>
      <c r="C101" s="106"/>
      <c r="D101" s="106"/>
      <c r="E101" s="106"/>
      <c r="F101" s="106"/>
      <c r="G101" s="106"/>
      <c r="H101" s="106"/>
      <c r="I101" s="106"/>
      <c r="J101" s="192"/>
    </row>
    <row r="102" spans="1:10" ht="15.75">
      <c r="A102" s="106"/>
      <c r="B102" s="106"/>
      <c r="C102" s="106"/>
      <c r="D102" s="106"/>
      <c r="E102" s="106"/>
      <c r="F102" s="106"/>
      <c r="G102" s="106"/>
      <c r="H102" s="106"/>
      <c r="I102" s="106"/>
      <c r="J102" s="192"/>
    </row>
    <row r="103" spans="1:10" ht="15.75">
      <c r="A103" s="106"/>
      <c r="C103" s="111" t="s">
        <v>190</v>
      </c>
      <c r="F103" s="106"/>
      <c r="G103" s="106"/>
      <c r="H103" s="106"/>
      <c r="I103" s="106"/>
      <c r="J103" s="192"/>
    </row>
    <row r="104" spans="1:10">
      <c r="A104" s="106"/>
      <c r="C104" s="111" t="s">
        <v>192</v>
      </c>
      <c r="F104" s="106"/>
      <c r="G104" s="106"/>
      <c r="H104" s="106"/>
      <c r="I104" s="106"/>
      <c r="J104" s="106"/>
    </row>
    <row r="105" spans="1:10">
      <c r="A105" s="106"/>
      <c r="C105" s="110"/>
      <c r="E105" s="113" t="s">
        <v>281</v>
      </c>
      <c r="F105" s="106"/>
      <c r="G105" s="106"/>
      <c r="H105" s="106"/>
      <c r="I105" s="106"/>
      <c r="J105" s="106"/>
    </row>
    <row r="106" spans="1:10">
      <c r="A106" s="106"/>
      <c r="F106" s="106"/>
      <c r="G106" s="106"/>
      <c r="H106" s="106"/>
      <c r="I106" s="106"/>
      <c r="J106" s="106"/>
    </row>
    <row r="107" spans="1:10">
      <c r="A107" s="106"/>
      <c r="B107" s="193"/>
      <c r="C107" s="193"/>
      <c r="D107" s="142" t="s">
        <v>282</v>
      </c>
      <c r="E107" s="142" t="s">
        <v>283</v>
      </c>
      <c r="F107" s="106"/>
      <c r="G107" s="106"/>
      <c r="H107" s="106"/>
      <c r="I107" s="106"/>
      <c r="J107" s="106"/>
    </row>
    <row r="108" spans="1:10">
      <c r="A108" s="106"/>
      <c r="B108" s="193">
        <v>1</v>
      </c>
      <c r="C108" s="142" t="s">
        <v>284</v>
      </c>
      <c r="D108" s="194" t="s">
        <v>285</v>
      </c>
      <c r="E108" s="194"/>
      <c r="F108" s="106"/>
      <c r="G108" s="106"/>
      <c r="H108" s="106"/>
      <c r="I108" s="106"/>
      <c r="J108" s="106"/>
    </row>
    <row r="109" spans="1:10">
      <c r="A109" s="106"/>
      <c r="B109" s="193">
        <v>2</v>
      </c>
      <c r="C109" s="142" t="s">
        <v>284</v>
      </c>
      <c r="D109" s="194" t="s">
        <v>286</v>
      </c>
      <c r="E109" s="193"/>
      <c r="F109" s="106"/>
      <c r="G109" s="106"/>
      <c r="H109" s="106"/>
      <c r="I109" s="106"/>
      <c r="J109" s="106"/>
    </row>
    <row r="110" spans="1:10">
      <c r="A110" s="106"/>
      <c r="B110" s="193">
        <v>3</v>
      </c>
      <c r="C110" s="142" t="s">
        <v>284</v>
      </c>
      <c r="D110" s="194" t="s">
        <v>287</v>
      </c>
      <c r="E110" s="193"/>
      <c r="F110" s="106"/>
      <c r="G110" s="106"/>
      <c r="H110" s="106"/>
      <c r="I110" s="106"/>
      <c r="J110" s="106"/>
    </row>
    <row r="111" spans="1:10">
      <c r="A111" s="106"/>
      <c r="B111" s="193">
        <v>4</v>
      </c>
      <c r="C111" s="142" t="s">
        <v>284</v>
      </c>
      <c r="D111" s="194" t="s">
        <v>288</v>
      </c>
      <c r="E111" s="193"/>
      <c r="F111" s="106"/>
      <c r="G111" s="106"/>
      <c r="H111" s="106"/>
      <c r="I111" s="106"/>
      <c r="J111" s="106"/>
    </row>
    <row r="112" spans="1:10">
      <c r="A112" s="106"/>
      <c r="B112" s="193">
        <v>5</v>
      </c>
      <c r="C112" s="142" t="s">
        <v>284</v>
      </c>
      <c r="D112" s="194" t="s">
        <v>289</v>
      </c>
      <c r="E112" s="193"/>
      <c r="F112" s="106"/>
      <c r="G112" s="106"/>
      <c r="H112" s="106"/>
      <c r="I112" s="106"/>
      <c r="J112" s="106"/>
    </row>
    <row r="113" spans="1:10">
      <c r="A113" s="106"/>
      <c r="B113" s="193">
        <v>6</v>
      </c>
      <c r="C113" s="142" t="s">
        <v>284</v>
      </c>
      <c r="D113" s="194" t="s">
        <v>290</v>
      </c>
      <c r="E113" s="193"/>
      <c r="F113" s="106"/>
      <c r="G113" s="106"/>
      <c r="H113" s="106"/>
      <c r="I113" s="106"/>
      <c r="J113" s="106"/>
    </row>
    <row r="114" spans="1:10">
      <c r="A114" s="106"/>
      <c r="B114" s="193">
        <v>7</v>
      </c>
      <c r="C114" s="142" t="s">
        <v>284</v>
      </c>
      <c r="D114" s="194" t="s">
        <v>291</v>
      </c>
      <c r="E114" s="193"/>
      <c r="F114" s="106"/>
      <c r="G114" s="106"/>
      <c r="H114" s="106"/>
      <c r="I114" s="106"/>
      <c r="J114" s="106"/>
    </row>
    <row r="115" spans="1:10">
      <c r="A115" s="106"/>
      <c r="B115" s="193">
        <v>8</v>
      </c>
      <c r="C115" s="142" t="s">
        <v>284</v>
      </c>
      <c r="D115" s="194" t="s">
        <v>292</v>
      </c>
      <c r="E115" s="193"/>
      <c r="F115" s="106"/>
      <c r="G115" s="106"/>
      <c r="H115" s="106"/>
      <c r="I115" s="106"/>
      <c r="J115" s="106"/>
    </row>
    <row r="116" spans="1:10">
      <c r="A116" s="106"/>
      <c r="B116" s="142" t="s">
        <v>44</v>
      </c>
      <c r="C116" s="142"/>
      <c r="D116" s="142" t="s">
        <v>293</v>
      </c>
      <c r="E116" s="142"/>
      <c r="F116" s="106"/>
      <c r="G116" s="106"/>
      <c r="H116" s="106"/>
      <c r="I116" s="106"/>
      <c r="J116" s="106"/>
    </row>
    <row r="117" spans="1:10">
      <c r="A117" s="106"/>
      <c r="B117" s="193">
        <v>9</v>
      </c>
      <c r="C117" s="142" t="s">
        <v>294</v>
      </c>
      <c r="D117" s="194" t="s">
        <v>295</v>
      </c>
      <c r="E117" s="193"/>
      <c r="F117" s="106"/>
      <c r="G117" s="106"/>
      <c r="H117" s="106"/>
      <c r="I117" s="106"/>
      <c r="J117" s="106"/>
    </row>
    <row r="118" spans="1:10">
      <c r="A118" s="106"/>
      <c r="B118" s="193">
        <v>10</v>
      </c>
      <c r="C118" s="142" t="s">
        <v>294</v>
      </c>
      <c r="D118" s="194" t="s">
        <v>296</v>
      </c>
      <c r="E118" s="194"/>
      <c r="F118" s="106"/>
      <c r="G118" s="106"/>
      <c r="H118" s="106"/>
      <c r="I118" s="106"/>
      <c r="J118" s="106"/>
    </row>
    <row r="119" spans="1:10">
      <c r="A119" s="106"/>
      <c r="B119" s="193">
        <v>11</v>
      </c>
      <c r="C119" s="142" t="s">
        <v>294</v>
      </c>
      <c r="D119" s="194" t="s">
        <v>297</v>
      </c>
      <c r="E119" s="193"/>
      <c r="F119" s="106"/>
      <c r="G119" s="106"/>
      <c r="H119" s="106"/>
      <c r="I119" s="106"/>
      <c r="J119" s="106"/>
    </row>
    <row r="120" spans="1:10">
      <c r="A120" s="106"/>
      <c r="B120" s="142" t="s">
        <v>67</v>
      </c>
      <c r="C120" s="142"/>
      <c r="D120" s="142" t="s">
        <v>298</v>
      </c>
      <c r="E120" s="142"/>
      <c r="F120" s="106"/>
      <c r="G120" s="106"/>
      <c r="H120" s="106"/>
      <c r="I120" s="106"/>
      <c r="J120" s="106"/>
    </row>
    <row r="121" spans="1:10">
      <c r="A121" s="106"/>
      <c r="B121" s="193">
        <v>12</v>
      </c>
      <c r="C121" s="142" t="s">
        <v>299</v>
      </c>
      <c r="D121" s="194" t="s">
        <v>300</v>
      </c>
      <c r="E121" s="193"/>
      <c r="F121" s="106"/>
      <c r="G121" s="106"/>
      <c r="H121" s="106"/>
      <c r="I121" s="106"/>
      <c r="J121" s="106"/>
    </row>
    <row r="122" spans="1:10">
      <c r="A122" s="106"/>
      <c r="B122" s="193">
        <v>13</v>
      </c>
      <c r="C122" s="142" t="s">
        <v>299</v>
      </c>
      <c r="D122" s="142" t="s">
        <v>301</v>
      </c>
      <c r="E122" s="193"/>
      <c r="F122" s="106"/>
      <c r="G122" s="106"/>
      <c r="H122" s="106"/>
      <c r="I122" s="106"/>
      <c r="J122" s="106"/>
    </row>
    <row r="123" spans="1:10">
      <c r="A123" s="106"/>
      <c r="B123" s="193">
        <v>14</v>
      </c>
      <c r="C123" s="142" t="s">
        <v>299</v>
      </c>
      <c r="D123" s="194" t="s">
        <v>302</v>
      </c>
      <c r="E123" s="193"/>
      <c r="F123" s="106"/>
      <c r="G123" s="106"/>
      <c r="H123" s="106"/>
      <c r="I123" s="106"/>
      <c r="J123" s="106"/>
    </row>
    <row r="124" spans="1:10">
      <c r="A124" s="106"/>
      <c r="B124" s="193">
        <v>15</v>
      </c>
      <c r="C124" s="142" t="s">
        <v>299</v>
      </c>
      <c r="D124" s="194" t="s">
        <v>303</v>
      </c>
      <c r="E124" s="193"/>
      <c r="F124" s="106"/>
      <c r="G124" s="106"/>
      <c r="H124" s="106"/>
      <c r="I124" s="106"/>
      <c r="J124" s="106"/>
    </row>
    <row r="125" spans="1:10">
      <c r="A125" s="106"/>
      <c r="B125" s="193">
        <v>16</v>
      </c>
      <c r="C125" s="142" t="s">
        <v>299</v>
      </c>
      <c r="D125" s="194" t="s">
        <v>304</v>
      </c>
      <c r="E125" s="193"/>
      <c r="F125" s="106"/>
      <c r="G125" s="106"/>
      <c r="H125" s="106"/>
      <c r="I125" s="106"/>
      <c r="J125" s="106"/>
    </row>
    <row r="126" spans="1:10">
      <c r="A126" s="106"/>
      <c r="B126" s="193">
        <v>17</v>
      </c>
      <c r="C126" s="142" t="s">
        <v>299</v>
      </c>
      <c r="D126" s="194" t="s">
        <v>305</v>
      </c>
      <c r="E126" s="193"/>
      <c r="F126" s="106"/>
      <c r="G126" s="106"/>
      <c r="H126" s="106"/>
      <c r="I126" s="106"/>
      <c r="J126" s="106"/>
    </row>
    <row r="127" spans="1:10">
      <c r="A127" s="106"/>
      <c r="B127" s="193">
        <v>18</v>
      </c>
      <c r="C127" s="142" t="s">
        <v>299</v>
      </c>
      <c r="D127" s="194" t="s">
        <v>306</v>
      </c>
      <c r="E127" s="193"/>
      <c r="F127" s="106"/>
      <c r="G127" s="106"/>
      <c r="H127" s="106"/>
      <c r="I127" s="106"/>
      <c r="J127" s="106"/>
    </row>
    <row r="128" spans="1:10">
      <c r="A128" s="106"/>
      <c r="B128" s="193">
        <v>19</v>
      </c>
      <c r="C128" s="142" t="s">
        <v>299</v>
      </c>
      <c r="D128" s="194" t="s">
        <v>307</v>
      </c>
      <c r="E128" s="193"/>
      <c r="F128" s="106"/>
      <c r="G128" s="106"/>
      <c r="H128" s="106"/>
      <c r="I128" s="106"/>
      <c r="J128" s="106"/>
    </row>
    <row r="129" spans="1:10">
      <c r="A129" s="106"/>
      <c r="B129" s="142" t="s">
        <v>114</v>
      </c>
      <c r="C129" s="142"/>
      <c r="D129" s="142" t="s">
        <v>308</v>
      </c>
      <c r="E129" s="193"/>
      <c r="F129" s="106"/>
      <c r="G129" s="106"/>
      <c r="H129" s="106"/>
      <c r="I129" s="106"/>
      <c r="J129" s="106"/>
    </row>
    <row r="130" spans="1:10">
      <c r="A130" s="106"/>
      <c r="B130" s="193">
        <v>20</v>
      </c>
      <c r="C130" s="142" t="s">
        <v>309</v>
      </c>
      <c r="D130" s="194" t="s">
        <v>310</v>
      </c>
      <c r="E130" s="193"/>
      <c r="F130" s="106"/>
      <c r="G130" s="106"/>
      <c r="H130" s="106"/>
      <c r="I130" s="106"/>
      <c r="J130" s="106"/>
    </row>
    <row r="131" spans="1:10">
      <c r="A131" s="106"/>
      <c r="B131" s="193">
        <v>21</v>
      </c>
      <c r="C131" s="142" t="s">
        <v>309</v>
      </c>
      <c r="D131" s="194" t="s">
        <v>311</v>
      </c>
      <c r="E131" s="194"/>
      <c r="F131" s="106"/>
      <c r="G131" s="106"/>
      <c r="H131" s="106"/>
      <c r="I131" s="106"/>
      <c r="J131" s="106"/>
    </row>
    <row r="132" spans="1:10">
      <c r="A132" s="106"/>
      <c r="B132" s="193">
        <v>22</v>
      </c>
      <c r="C132" s="142" t="s">
        <v>309</v>
      </c>
      <c r="D132" s="194" t="s">
        <v>312</v>
      </c>
      <c r="E132" s="194"/>
      <c r="F132" s="106"/>
      <c r="G132" s="106"/>
      <c r="H132" s="106"/>
      <c r="I132" s="106"/>
      <c r="J132" s="106"/>
    </row>
    <row r="133" spans="1:10">
      <c r="A133" s="106"/>
      <c r="B133" s="193">
        <v>23</v>
      </c>
      <c r="C133" s="142" t="s">
        <v>309</v>
      </c>
      <c r="D133" s="194" t="s">
        <v>313</v>
      </c>
      <c r="E133" s="193"/>
      <c r="F133" s="106"/>
      <c r="G133" s="106"/>
      <c r="H133" s="106"/>
      <c r="I133" s="106"/>
      <c r="J133" s="106"/>
    </row>
    <row r="134" spans="1:10">
      <c r="A134" s="106"/>
      <c r="B134" s="142" t="s">
        <v>314</v>
      </c>
      <c r="C134" s="142"/>
      <c r="D134" s="142" t="s">
        <v>315</v>
      </c>
      <c r="E134" s="193"/>
      <c r="F134" s="106"/>
      <c r="G134" s="106"/>
      <c r="H134" s="106"/>
      <c r="I134" s="106"/>
      <c r="J134" s="106"/>
    </row>
    <row r="135" spans="1:10">
      <c r="A135" s="106"/>
      <c r="B135" s="193">
        <v>24</v>
      </c>
      <c r="C135" s="142" t="s">
        <v>316</v>
      </c>
      <c r="D135" s="194" t="s">
        <v>317</v>
      </c>
      <c r="E135" s="193"/>
      <c r="F135" s="106"/>
      <c r="G135" s="106"/>
      <c r="H135" s="106"/>
      <c r="I135" s="106"/>
      <c r="J135" s="106"/>
    </row>
    <row r="136" spans="1:10">
      <c r="A136" s="106"/>
      <c r="B136" s="193">
        <v>25</v>
      </c>
      <c r="C136" s="142" t="s">
        <v>316</v>
      </c>
      <c r="D136" s="194" t="s">
        <v>318</v>
      </c>
      <c r="E136" s="193"/>
      <c r="F136" s="106"/>
      <c r="G136" s="106"/>
      <c r="H136" s="106"/>
      <c r="I136" s="106"/>
      <c r="J136" s="106"/>
    </row>
    <row r="137" spans="1:10">
      <c r="A137" s="106"/>
      <c r="B137" s="193">
        <v>26</v>
      </c>
      <c r="C137" s="142" t="s">
        <v>316</v>
      </c>
      <c r="D137" s="194" t="s">
        <v>319</v>
      </c>
      <c r="E137" s="193"/>
      <c r="F137" s="106"/>
      <c r="G137" s="106"/>
      <c r="H137" s="106"/>
      <c r="I137" s="106"/>
      <c r="J137" s="106"/>
    </row>
    <row r="138" spans="1:10">
      <c r="A138" s="106"/>
      <c r="B138" s="193">
        <v>27</v>
      </c>
      <c r="C138" s="142" t="s">
        <v>316</v>
      </c>
      <c r="D138" s="194" t="s">
        <v>320</v>
      </c>
      <c r="E138" s="193"/>
      <c r="F138" s="106"/>
      <c r="G138" s="106"/>
      <c r="H138" s="106"/>
      <c r="I138" s="106"/>
      <c r="J138" s="106"/>
    </row>
    <row r="139" spans="1:10">
      <c r="A139" s="106"/>
      <c r="B139" s="193">
        <v>28</v>
      </c>
      <c r="C139" s="142" t="s">
        <v>316</v>
      </c>
      <c r="D139" s="194" t="s">
        <v>321</v>
      </c>
      <c r="E139" s="194"/>
      <c r="F139" s="106"/>
      <c r="G139" s="106"/>
      <c r="H139" s="106"/>
      <c r="I139" s="106"/>
      <c r="J139" s="106"/>
    </row>
    <row r="140" spans="1:10">
      <c r="A140" s="106"/>
      <c r="B140" s="193">
        <v>29</v>
      </c>
      <c r="C140" s="142" t="s">
        <v>316</v>
      </c>
      <c r="D140" s="195" t="s">
        <v>322</v>
      </c>
      <c r="E140" s="193"/>
      <c r="F140" s="106"/>
      <c r="G140" s="106"/>
      <c r="H140" s="106"/>
      <c r="I140" s="106"/>
      <c r="J140" s="106"/>
    </row>
    <row r="141" spans="1:10">
      <c r="A141" s="106"/>
      <c r="B141" s="193">
        <v>30</v>
      </c>
      <c r="C141" s="142" t="s">
        <v>316</v>
      </c>
      <c r="D141" s="194" t="s">
        <v>323</v>
      </c>
      <c r="E141" s="193"/>
      <c r="F141" s="106"/>
      <c r="G141" s="106"/>
      <c r="H141" s="106"/>
      <c r="I141" s="106"/>
      <c r="J141" s="106"/>
    </row>
    <row r="142" spans="1:10">
      <c r="A142" s="106"/>
      <c r="B142" s="193">
        <v>31</v>
      </c>
      <c r="C142" s="142" t="s">
        <v>316</v>
      </c>
      <c r="D142" s="194" t="s">
        <v>324</v>
      </c>
      <c r="E142" s="193"/>
      <c r="F142" s="106"/>
      <c r="G142" s="106"/>
      <c r="H142" s="106"/>
      <c r="I142" s="106"/>
      <c r="J142" s="106"/>
    </row>
    <row r="143" spans="1:10">
      <c r="A143" s="106"/>
      <c r="B143" s="193">
        <v>32</v>
      </c>
      <c r="C143" s="142" t="s">
        <v>316</v>
      </c>
      <c r="D143" s="194" t="s">
        <v>325</v>
      </c>
      <c r="E143" s="193"/>
      <c r="F143" s="106"/>
      <c r="G143" s="106"/>
      <c r="H143" s="106"/>
      <c r="I143" s="106"/>
      <c r="J143" s="106"/>
    </row>
    <row r="144" spans="1:10">
      <c r="A144" s="106"/>
      <c r="B144" s="193">
        <v>33</v>
      </c>
      <c r="C144" s="142" t="s">
        <v>316</v>
      </c>
      <c r="D144" s="194" t="s">
        <v>326</v>
      </c>
      <c r="E144" s="193"/>
      <c r="F144" s="106"/>
      <c r="G144" s="106"/>
      <c r="H144" s="106"/>
      <c r="I144" s="106"/>
      <c r="J144" s="106"/>
    </row>
    <row r="145" spans="1:10">
      <c r="A145" s="106"/>
      <c r="B145" s="196">
        <v>34</v>
      </c>
      <c r="C145" s="142" t="s">
        <v>316</v>
      </c>
      <c r="D145" s="194" t="s">
        <v>327</v>
      </c>
      <c r="E145" s="193"/>
      <c r="F145" s="106"/>
      <c r="G145" s="106"/>
      <c r="H145" s="106"/>
      <c r="I145" s="106"/>
      <c r="J145" s="106"/>
    </row>
    <row r="146" spans="1:10">
      <c r="A146" s="106"/>
      <c r="B146" s="142" t="s">
        <v>328</v>
      </c>
      <c r="C146" s="193"/>
      <c r="D146" s="142" t="s">
        <v>329</v>
      </c>
      <c r="E146" s="142"/>
      <c r="F146" s="106"/>
      <c r="G146" s="106"/>
      <c r="H146" s="106"/>
      <c r="I146" s="106"/>
      <c r="J146" s="106"/>
    </row>
    <row r="147" spans="1:10">
      <c r="A147" s="106"/>
      <c r="B147" s="193"/>
      <c r="C147" s="193"/>
      <c r="D147" s="142" t="s">
        <v>330</v>
      </c>
      <c r="E147" s="197"/>
      <c r="F147" s="106"/>
      <c r="G147" s="106"/>
      <c r="H147" s="106"/>
      <c r="I147" s="106"/>
      <c r="J147" s="106"/>
    </row>
    <row r="148" spans="1:10">
      <c r="A148" s="106"/>
      <c r="F148" s="106"/>
      <c r="G148" s="106"/>
      <c r="H148" s="106"/>
      <c r="I148" s="106"/>
      <c r="J148" s="106"/>
    </row>
    <row r="149" spans="1:10">
      <c r="A149" s="106"/>
      <c r="F149" s="106"/>
      <c r="G149" s="106"/>
      <c r="H149" s="106"/>
      <c r="I149" s="106"/>
      <c r="J149" s="106"/>
    </row>
    <row r="150" spans="1:10">
      <c r="A150" s="106"/>
      <c r="C150" s="198" t="s">
        <v>349</v>
      </c>
      <c r="D150" s="199"/>
      <c r="E150" s="142" t="s">
        <v>331</v>
      </c>
      <c r="F150" s="106"/>
      <c r="G150" s="106"/>
      <c r="H150" s="106"/>
      <c r="I150" s="106"/>
      <c r="J150" s="106"/>
    </row>
    <row r="151" spans="1:10">
      <c r="A151" s="106"/>
      <c r="C151" s="200"/>
      <c r="D151" s="201"/>
      <c r="E151" s="201"/>
      <c r="F151" s="106"/>
      <c r="G151" s="106"/>
      <c r="H151" s="106"/>
      <c r="I151" s="106"/>
      <c r="J151" s="106"/>
    </row>
    <row r="152" spans="1:10">
      <c r="A152" s="106"/>
      <c r="C152" s="202" t="s">
        <v>332</v>
      </c>
      <c r="D152" s="202"/>
      <c r="E152" s="193"/>
      <c r="F152" s="106"/>
      <c r="G152" s="106"/>
      <c r="H152" s="106"/>
      <c r="I152" s="106"/>
      <c r="J152" s="106"/>
    </row>
    <row r="153" spans="1:10">
      <c r="A153" s="106"/>
      <c r="C153" s="193" t="s">
        <v>333</v>
      </c>
      <c r="D153" s="193"/>
      <c r="E153" s="193"/>
      <c r="F153" s="106"/>
      <c r="G153" s="106"/>
      <c r="H153" s="106"/>
      <c r="I153" s="106"/>
      <c r="J153" s="106"/>
    </row>
    <row r="154" spans="1:10">
      <c r="A154" s="106"/>
      <c r="C154" s="193" t="s">
        <v>334</v>
      </c>
      <c r="D154" s="193"/>
      <c r="E154" s="193"/>
      <c r="F154" s="106"/>
      <c r="G154" s="106"/>
      <c r="H154" s="106"/>
      <c r="I154" s="106"/>
      <c r="J154" s="106"/>
    </row>
    <row r="155" spans="1:10">
      <c r="A155" s="106"/>
      <c r="C155" s="193" t="s">
        <v>335</v>
      </c>
      <c r="D155" s="193"/>
      <c r="E155" s="193"/>
      <c r="F155" s="106"/>
      <c r="G155" s="106"/>
      <c r="H155" s="106"/>
      <c r="I155" s="106"/>
      <c r="J155" s="106"/>
    </row>
    <row r="156" spans="1:10">
      <c r="A156" s="106"/>
      <c r="C156" s="203" t="s">
        <v>336</v>
      </c>
      <c r="D156" s="199"/>
      <c r="E156" s="193">
        <v>1</v>
      </c>
      <c r="F156" s="106"/>
      <c r="G156" s="106"/>
      <c r="H156" s="106"/>
      <c r="I156" s="106"/>
      <c r="J156" s="106"/>
    </row>
    <row r="157" spans="1:10">
      <c r="A157" s="106"/>
      <c r="C157" s="204"/>
      <c r="D157" s="205" t="s">
        <v>50</v>
      </c>
      <c r="E157" s="205">
        <v>1</v>
      </c>
      <c r="F157" s="106"/>
      <c r="G157" s="106"/>
      <c r="H157" s="106"/>
      <c r="I157" s="106"/>
      <c r="J157" s="106"/>
    </row>
    <row r="158" spans="1:10">
      <c r="A158" s="106"/>
      <c r="F158" s="106"/>
      <c r="G158" s="106"/>
      <c r="H158" s="106"/>
      <c r="I158" s="106"/>
      <c r="J158" s="106"/>
    </row>
    <row r="159" spans="1:10">
      <c r="A159" s="106"/>
      <c r="E159" s="113" t="s">
        <v>220</v>
      </c>
      <c r="F159" s="106"/>
      <c r="G159" s="106"/>
      <c r="H159" s="106"/>
      <c r="I159" s="106"/>
      <c r="J159" s="106"/>
    </row>
    <row r="160" spans="1:10">
      <c r="A160" s="106"/>
      <c r="F160" s="106"/>
      <c r="G160" s="106"/>
      <c r="H160" s="106"/>
      <c r="I160" s="106"/>
      <c r="J160" s="106"/>
    </row>
    <row r="161" spans="1:10">
      <c r="A161" s="106"/>
      <c r="C161" s="113"/>
      <c r="F161" s="106"/>
      <c r="G161" s="106"/>
      <c r="H161" s="106"/>
      <c r="I161" s="106"/>
      <c r="J161" s="106"/>
    </row>
    <row r="162" spans="1:10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</row>
    <row r="163" spans="1:10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</row>
    <row r="164" spans="1:10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</row>
    <row r="165" spans="1:10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</row>
    <row r="166" spans="1:10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</row>
    <row r="167" spans="1:10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</row>
    <row r="168" spans="1:10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</row>
    <row r="169" spans="1:10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</row>
    <row r="170" spans="1:10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</row>
    <row r="171" spans="1:10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</row>
    <row r="172" spans="1:10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</row>
    <row r="173" spans="1:10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</row>
    <row r="174" spans="1:10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</row>
    <row r="175" spans="1:10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</row>
    <row r="176" spans="1:10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</row>
    <row r="177" spans="1:10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</row>
    <row r="178" spans="1:10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</row>
    <row r="179" spans="1:10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</row>
    <row r="180" spans="1:10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</row>
    <row r="181" spans="1:10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</row>
    <row r="182" spans="1:10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</row>
    <row r="183" spans="1:10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</row>
    <row r="184" spans="1:10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</row>
    <row r="185" spans="1:10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</row>
    <row r="186" spans="1:10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</row>
    <row r="187" spans="1:10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</row>
    <row r="188" spans="1:10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</row>
    <row r="189" spans="1:10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</row>
    <row r="190" spans="1:10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</row>
  </sheetData>
  <mergeCells count="59">
    <mergeCell ref="B88:F88"/>
    <mergeCell ref="B77:F77"/>
    <mergeCell ref="B97:F97"/>
    <mergeCell ref="B89:F89"/>
    <mergeCell ref="B90:F90"/>
    <mergeCell ref="B93:F93"/>
    <mergeCell ref="B94:F94"/>
    <mergeCell ref="B95:F95"/>
    <mergeCell ref="B96:F96"/>
    <mergeCell ref="B92:F92"/>
    <mergeCell ref="B81:F81"/>
    <mergeCell ref="B82:F82"/>
    <mergeCell ref="B83:F83"/>
    <mergeCell ref="B84:F84"/>
    <mergeCell ref="B85:F85"/>
    <mergeCell ref="B86:F86"/>
    <mergeCell ref="B87:F87"/>
    <mergeCell ref="B78:F78"/>
    <mergeCell ref="B80:F80"/>
    <mergeCell ref="B63:F63"/>
    <mergeCell ref="B64:F64"/>
    <mergeCell ref="B65:F65"/>
    <mergeCell ref="B66:F66"/>
    <mergeCell ref="B79:F79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21:F21"/>
    <mergeCell ref="B22:F22"/>
    <mergeCell ref="B67:F67"/>
    <mergeCell ref="B24:F24"/>
    <mergeCell ref="A57:J57"/>
    <mergeCell ref="B58:F58"/>
    <mergeCell ref="B59:F59"/>
    <mergeCell ref="B60:F60"/>
    <mergeCell ref="B61:F61"/>
    <mergeCell ref="B62:F62"/>
    <mergeCell ref="B23:F23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16:F16"/>
    <mergeCell ref="A6:J6"/>
    <mergeCell ref="B7:F7"/>
    <mergeCell ref="B8:F8"/>
    <mergeCell ref="B9:F9"/>
    <mergeCell ref="B10:F10"/>
  </mergeCells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workbookViewId="0">
      <selection activeCell="L7" sqref="L7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6" bestFit="1" customWidth="1"/>
    <col min="5" max="5" width="13.42578125" customWidth="1"/>
    <col min="6" max="6" width="12" customWidth="1"/>
    <col min="7" max="7" width="16" bestFit="1" customWidth="1"/>
  </cols>
  <sheetData>
    <row r="1" spans="1:8">
      <c r="B1" s="110" t="s">
        <v>189</v>
      </c>
      <c r="C1" s="111" t="str">
        <f>'Pasqyra 1-2-3 RFZ'!C1</f>
        <v>RFZ Building</v>
      </c>
    </row>
    <row r="2" spans="1:8">
      <c r="B2" s="110" t="s">
        <v>191</v>
      </c>
      <c r="C2" s="111" t="str">
        <f>'Pasqyra 1-2-3 RFZ'!C2</f>
        <v>K82405001V</v>
      </c>
    </row>
    <row r="3" spans="1:8">
      <c r="B3" s="110"/>
    </row>
    <row r="4" spans="1:8" ht="15.75">
      <c r="B4" s="767" t="s">
        <v>466</v>
      </c>
      <c r="C4" s="767"/>
      <c r="D4" s="767"/>
      <c r="E4" s="767"/>
      <c r="F4" s="767"/>
      <c r="G4" s="767"/>
    </row>
    <row r="6" spans="1:8">
      <c r="A6" s="768" t="s">
        <v>337</v>
      </c>
      <c r="B6" s="770" t="s">
        <v>338</v>
      </c>
      <c r="C6" s="768" t="s">
        <v>339</v>
      </c>
      <c r="D6" s="206" t="s">
        <v>340</v>
      </c>
      <c r="E6" s="768" t="s">
        <v>341</v>
      </c>
      <c r="F6" s="768" t="s">
        <v>342</v>
      </c>
      <c r="G6" s="206" t="s">
        <v>340</v>
      </c>
    </row>
    <row r="7" spans="1:8">
      <c r="A7" s="769"/>
      <c r="B7" s="771"/>
      <c r="C7" s="769"/>
      <c r="D7" s="207">
        <v>40909</v>
      </c>
      <c r="E7" s="769"/>
      <c r="F7" s="769"/>
      <c r="G7" s="207">
        <v>41274</v>
      </c>
      <c r="H7" s="73"/>
    </row>
    <row r="8" spans="1:8">
      <c r="A8" s="208">
        <v>1</v>
      </c>
      <c r="B8" s="190" t="s">
        <v>75</v>
      </c>
      <c r="C8" s="208"/>
      <c r="D8" s="209"/>
      <c r="E8" s="209"/>
      <c r="F8" s="209"/>
      <c r="G8" s="209">
        <f>D8+E8-F8</f>
        <v>0</v>
      </c>
      <c r="H8" s="73"/>
    </row>
    <row r="9" spans="1:8">
      <c r="A9" s="208">
        <v>2</v>
      </c>
      <c r="B9" s="190" t="s">
        <v>344</v>
      </c>
      <c r="C9" s="208"/>
      <c r="D9" s="210"/>
      <c r="E9" s="210"/>
      <c r="F9" s="210"/>
      <c r="G9" s="210"/>
      <c r="H9" s="211"/>
    </row>
    <row r="10" spans="1:8">
      <c r="A10" s="208">
        <v>3</v>
      </c>
      <c r="B10" s="212" t="s">
        <v>345</v>
      </c>
      <c r="C10" s="208"/>
      <c r="D10" s="210"/>
      <c r="E10" s="210"/>
      <c r="F10" s="210"/>
      <c r="G10" s="210"/>
      <c r="H10" s="211"/>
    </row>
    <row r="11" spans="1:8">
      <c r="A11" s="208">
        <v>4</v>
      </c>
      <c r="B11" s="212" t="s">
        <v>343</v>
      </c>
      <c r="C11" s="208"/>
      <c r="D11" s="210"/>
      <c r="E11" s="210"/>
      <c r="F11" s="210"/>
      <c r="G11" s="210"/>
      <c r="H11" s="211"/>
    </row>
    <row r="12" spans="1:8">
      <c r="A12" s="208">
        <v>5</v>
      </c>
      <c r="B12" s="212" t="s">
        <v>346</v>
      </c>
      <c r="C12" s="208"/>
      <c r="D12" s="210"/>
      <c r="E12" s="213"/>
      <c r="F12" s="210"/>
      <c r="G12" s="210"/>
      <c r="H12" s="211"/>
    </row>
    <row r="13" spans="1:8">
      <c r="A13" s="208">
        <v>1</v>
      </c>
      <c r="B13" s="212" t="s">
        <v>347</v>
      </c>
      <c r="C13" s="208"/>
      <c r="D13" s="210"/>
      <c r="E13" s="210"/>
      <c r="F13" s="210"/>
      <c r="G13" s="210"/>
      <c r="H13" s="211"/>
    </row>
    <row r="14" spans="1:8">
      <c r="A14" s="208">
        <v>2</v>
      </c>
      <c r="B14" s="193"/>
      <c r="C14" s="208"/>
      <c r="D14" s="210"/>
      <c r="E14" s="210"/>
      <c r="F14" s="210"/>
      <c r="G14" s="210"/>
      <c r="H14" s="73"/>
    </row>
    <row r="15" spans="1:8">
      <c r="A15" s="208">
        <v>3</v>
      </c>
      <c r="B15" s="193"/>
      <c r="C15" s="208"/>
      <c r="D15" s="210"/>
      <c r="E15" s="210"/>
      <c r="F15" s="210"/>
      <c r="G15" s="210">
        <f>D15+E15-F15</f>
        <v>0</v>
      </c>
      <c r="H15" s="73"/>
    </row>
    <row r="16" spans="1:8" ht="13.5" thickBot="1">
      <c r="A16" s="214">
        <v>4</v>
      </c>
      <c r="B16" s="199"/>
      <c r="C16" s="214"/>
      <c r="D16" s="215"/>
      <c r="E16" s="215"/>
      <c r="F16" s="215"/>
      <c r="G16" s="215">
        <f>D16+E16-F16</f>
        <v>0</v>
      </c>
      <c r="H16" s="73"/>
    </row>
    <row r="17" spans="1:7" ht="13.5" thickBot="1">
      <c r="A17" s="216"/>
      <c r="B17" s="217" t="s">
        <v>348</v>
      </c>
      <c r="C17" s="218"/>
      <c r="D17" s="219">
        <f>SUM(D8:D16)</f>
        <v>0</v>
      </c>
      <c r="E17" s="219">
        <f>SUM(E8:E16)</f>
        <v>0</v>
      </c>
      <c r="F17" s="219">
        <f>SUM(F8:F16)</f>
        <v>0</v>
      </c>
      <c r="G17" s="220">
        <f>SUM(G8:G16)</f>
        <v>0</v>
      </c>
    </row>
    <row r="20" spans="1:7" ht="15.75">
      <c r="B20" s="767" t="s">
        <v>468</v>
      </c>
      <c r="C20" s="767"/>
      <c r="D20" s="767"/>
      <c r="E20" s="767"/>
      <c r="F20" s="767"/>
      <c r="G20" s="767"/>
    </row>
    <row r="22" spans="1:7" ht="12.75" customHeight="1">
      <c r="A22" s="768" t="s">
        <v>337</v>
      </c>
      <c r="B22" s="770" t="s">
        <v>338</v>
      </c>
      <c r="C22" s="768" t="s">
        <v>339</v>
      </c>
      <c r="D22" s="206" t="s">
        <v>340</v>
      </c>
      <c r="E22" s="768" t="s">
        <v>341</v>
      </c>
      <c r="F22" s="768" t="s">
        <v>342</v>
      </c>
      <c r="G22" s="206" t="s">
        <v>340</v>
      </c>
    </row>
    <row r="23" spans="1:7" ht="12.75" customHeight="1">
      <c r="A23" s="769"/>
      <c r="B23" s="771"/>
      <c r="C23" s="769"/>
      <c r="D23" s="207">
        <v>40909</v>
      </c>
      <c r="E23" s="769"/>
      <c r="F23" s="769"/>
      <c r="G23" s="207">
        <v>41274</v>
      </c>
    </row>
    <row r="24" spans="1:7">
      <c r="A24" s="208">
        <v>1</v>
      </c>
      <c r="B24" s="190" t="s">
        <v>75</v>
      </c>
      <c r="C24" s="208"/>
      <c r="D24" s="209"/>
      <c r="E24" s="209"/>
      <c r="F24" s="209"/>
      <c r="G24" s="209">
        <f>D24+E24-F24</f>
        <v>0</v>
      </c>
    </row>
    <row r="25" spans="1:7">
      <c r="A25" s="208">
        <v>2</v>
      </c>
      <c r="B25" s="190" t="s">
        <v>344</v>
      </c>
      <c r="C25" s="208"/>
      <c r="D25" s="210"/>
      <c r="E25" s="210"/>
      <c r="F25" s="210"/>
      <c r="G25" s="210"/>
    </row>
    <row r="26" spans="1:7">
      <c r="A26" s="208">
        <v>3</v>
      </c>
      <c r="B26" s="212" t="s">
        <v>345</v>
      </c>
      <c r="C26" s="208"/>
      <c r="D26" s="210"/>
      <c r="E26" s="210"/>
      <c r="F26" s="210"/>
      <c r="G26" s="210"/>
    </row>
    <row r="27" spans="1:7">
      <c r="A27" s="208">
        <v>4</v>
      </c>
      <c r="B27" s="212" t="s">
        <v>343</v>
      </c>
      <c r="C27" s="208"/>
      <c r="D27" s="210"/>
      <c r="E27" s="210"/>
      <c r="F27" s="210"/>
      <c r="G27" s="210"/>
    </row>
    <row r="28" spans="1:7">
      <c r="A28" s="208">
        <v>5</v>
      </c>
      <c r="B28" s="212" t="s">
        <v>346</v>
      </c>
      <c r="C28" s="208"/>
      <c r="D28" s="210"/>
      <c r="E28" s="213"/>
      <c r="F28" s="210"/>
      <c r="G28" s="210"/>
    </row>
    <row r="29" spans="1:7">
      <c r="A29" s="208">
        <v>1</v>
      </c>
      <c r="B29" s="212" t="s">
        <v>347</v>
      </c>
      <c r="C29" s="208"/>
      <c r="D29" s="210"/>
      <c r="E29" s="210"/>
      <c r="F29" s="210"/>
      <c r="G29" s="210"/>
    </row>
    <row r="30" spans="1:7">
      <c r="A30" s="208">
        <v>2</v>
      </c>
      <c r="B30" s="193"/>
      <c r="C30" s="208"/>
      <c r="D30" s="210"/>
      <c r="E30" s="210"/>
      <c r="F30" s="210"/>
      <c r="G30" s="210"/>
    </row>
    <row r="31" spans="1:7">
      <c r="A31" s="208">
        <v>3</v>
      </c>
      <c r="B31" s="193"/>
      <c r="C31" s="208"/>
      <c r="D31" s="210"/>
      <c r="E31" s="210"/>
      <c r="F31" s="210"/>
      <c r="G31" s="210">
        <f>D31+E31-F31</f>
        <v>0</v>
      </c>
    </row>
    <row r="32" spans="1:7" ht="13.5" thickBot="1">
      <c r="A32" s="214">
        <v>4</v>
      </c>
      <c r="B32" s="199"/>
      <c r="C32" s="214"/>
      <c r="D32" s="215"/>
      <c r="E32" s="215"/>
      <c r="F32" s="215"/>
      <c r="G32" s="215">
        <f>D32+E32-F32</f>
        <v>0</v>
      </c>
    </row>
    <row r="33" spans="1:8" ht="13.5" thickBot="1">
      <c r="A33" s="216"/>
      <c r="B33" s="217" t="s">
        <v>348</v>
      </c>
      <c r="C33" s="218"/>
      <c r="D33" s="219">
        <f>SUM(D24:D32)</f>
        <v>0</v>
      </c>
      <c r="E33" s="219">
        <f>SUM(E24:E32)</f>
        <v>0</v>
      </c>
      <c r="F33" s="219">
        <f>SUM(F24:F32)</f>
        <v>0</v>
      </c>
      <c r="G33" s="220">
        <f>SUM(G24:G32)</f>
        <v>0</v>
      </c>
      <c r="H33" s="221"/>
    </row>
    <row r="34" spans="1:8">
      <c r="G34" s="221"/>
    </row>
    <row r="36" spans="1:8" ht="15.75">
      <c r="B36" s="767" t="s">
        <v>467</v>
      </c>
      <c r="C36" s="767"/>
      <c r="D36" s="767"/>
      <c r="E36" s="767"/>
      <c r="F36" s="767"/>
      <c r="G36" s="767"/>
    </row>
    <row r="38" spans="1:8" ht="12.75" customHeight="1">
      <c r="A38" s="768" t="s">
        <v>337</v>
      </c>
      <c r="B38" s="770" t="s">
        <v>338</v>
      </c>
      <c r="C38" s="768" t="s">
        <v>339</v>
      </c>
      <c r="D38" s="206" t="s">
        <v>340</v>
      </c>
      <c r="E38" s="768" t="s">
        <v>341</v>
      </c>
      <c r="F38" s="768" t="s">
        <v>342</v>
      </c>
      <c r="G38" s="206" t="s">
        <v>340</v>
      </c>
    </row>
    <row r="39" spans="1:8" ht="12.75" customHeight="1">
      <c r="A39" s="769"/>
      <c r="B39" s="771"/>
      <c r="C39" s="769"/>
      <c r="D39" s="207">
        <v>40909</v>
      </c>
      <c r="E39" s="769"/>
      <c r="F39" s="769"/>
      <c r="G39" s="207">
        <v>41274</v>
      </c>
    </row>
    <row r="40" spans="1:8">
      <c r="A40" s="208">
        <v>1</v>
      </c>
      <c r="B40" s="190" t="s">
        <v>75</v>
      </c>
      <c r="C40" s="208"/>
      <c r="D40" s="209"/>
      <c r="E40" s="209"/>
      <c r="F40" s="209"/>
      <c r="G40" s="209">
        <f>D40+E40-F40</f>
        <v>0</v>
      </c>
    </row>
    <row r="41" spans="1:8">
      <c r="A41" s="208">
        <v>2</v>
      </c>
      <c r="B41" s="190" t="s">
        <v>344</v>
      </c>
      <c r="C41" s="208"/>
      <c r="D41" s="210"/>
      <c r="E41" s="210"/>
      <c r="F41" s="210"/>
      <c r="G41" s="210"/>
    </row>
    <row r="42" spans="1:8">
      <c r="A42" s="208">
        <v>3</v>
      </c>
      <c r="B42" s="212" t="s">
        <v>345</v>
      </c>
      <c r="C42" s="208"/>
      <c r="D42" s="210"/>
      <c r="E42" s="210"/>
      <c r="F42" s="210"/>
      <c r="G42" s="210"/>
    </row>
    <row r="43" spans="1:8">
      <c r="A43" s="208">
        <v>4</v>
      </c>
      <c r="B43" s="212" t="s">
        <v>343</v>
      </c>
      <c r="C43" s="208"/>
      <c r="D43" s="210"/>
      <c r="E43" s="210"/>
      <c r="F43" s="210"/>
      <c r="G43" s="210"/>
    </row>
    <row r="44" spans="1:8">
      <c r="A44" s="208">
        <v>5</v>
      </c>
      <c r="B44" s="212" t="s">
        <v>346</v>
      </c>
      <c r="C44" s="208"/>
      <c r="D44" s="210"/>
      <c r="E44" s="213"/>
      <c r="F44" s="210"/>
      <c r="G44" s="210"/>
    </row>
    <row r="45" spans="1:8">
      <c r="A45" s="208">
        <v>1</v>
      </c>
      <c r="B45" s="212" t="s">
        <v>347</v>
      </c>
      <c r="C45" s="208"/>
      <c r="D45" s="210"/>
      <c r="E45" s="210"/>
      <c r="F45" s="210"/>
      <c r="G45" s="210"/>
    </row>
    <row r="46" spans="1:8">
      <c r="A46" s="208">
        <v>2</v>
      </c>
      <c r="B46" s="193"/>
      <c r="C46" s="208"/>
      <c r="D46" s="210"/>
      <c r="E46" s="210"/>
      <c r="F46" s="210"/>
      <c r="G46" s="210"/>
    </row>
    <row r="47" spans="1:8">
      <c r="A47" s="208">
        <v>3</v>
      </c>
      <c r="B47" s="193"/>
      <c r="C47" s="208"/>
      <c r="D47" s="210"/>
      <c r="E47" s="210"/>
      <c r="F47" s="210"/>
      <c r="G47" s="210">
        <f>D47+E47-F47</f>
        <v>0</v>
      </c>
    </row>
    <row r="48" spans="1:8" ht="13.5" thickBot="1">
      <c r="A48" s="214">
        <v>4</v>
      </c>
      <c r="B48" s="199"/>
      <c r="C48" s="214"/>
      <c r="D48" s="215"/>
      <c r="E48" s="215"/>
      <c r="F48" s="215"/>
      <c r="G48" s="215">
        <f>D48+E48-F48</f>
        <v>0</v>
      </c>
    </row>
    <row r="49" spans="1:7" ht="13.5" thickBot="1">
      <c r="A49" s="216"/>
      <c r="B49" s="217" t="s">
        <v>348</v>
      </c>
      <c r="C49" s="218"/>
      <c r="D49" s="219">
        <f>SUM(D40:D48)</f>
        <v>0</v>
      </c>
      <c r="E49" s="219">
        <f>SUM(E40:E48)</f>
        <v>0</v>
      </c>
      <c r="F49" s="219">
        <f>SUM(F40:F48)</f>
        <v>0</v>
      </c>
      <c r="G49" s="220">
        <f>SUM(G40:G48)</f>
        <v>0</v>
      </c>
    </row>
    <row r="50" spans="1:7" s="73" customFormat="1">
      <c r="F50" s="72"/>
      <c r="G50" s="222"/>
    </row>
    <row r="51" spans="1:7">
      <c r="D51" s="13"/>
      <c r="G51" s="13"/>
    </row>
    <row r="52" spans="1:7">
      <c r="D52" s="13"/>
      <c r="G52" s="13"/>
    </row>
    <row r="53" spans="1:7" ht="15.75">
      <c r="E53" s="773" t="s">
        <v>220</v>
      </c>
      <c r="F53" s="773"/>
      <c r="G53" s="773"/>
    </row>
    <row r="54" spans="1:7">
      <c r="E54" s="772"/>
      <c r="F54" s="772"/>
      <c r="G54" s="772"/>
    </row>
  </sheetData>
  <mergeCells count="20">
    <mergeCell ref="C22:C23"/>
    <mergeCell ref="E22:E23"/>
    <mergeCell ref="F22:F23"/>
    <mergeCell ref="E54:G54"/>
    <mergeCell ref="A38:A39"/>
    <mergeCell ref="B38:B39"/>
    <mergeCell ref="C38:C39"/>
    <mergeCell ref="E38:E39"/>
    <mergeCell ref="F38:F39"/>
    <mergeCell ref="E53:G53"/>
    <mergeCell ref="B36:G36"/>
    <mergeCell ref="A22:A23"/>
    <mergeCell ref="B22:B23"/>
    <mergeCell ref="B20:G20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34" sqref="F34"/>
    </sheetView>
  </sheetViews>
  <sheetFormatPr defaultRowHeight="12.75"/>
  <cols>
    <col min="2" max="2" width="13.5703125" bestFit="1" customWidth="1"/>
  </cols>
  <sheetData>
    <row r="1" spans="1:5" ht="15">
      <c r="A1" s="224" t="s">
        <v>351</v>
      </c>
      <c r="B1" s="111" t="str">
        <f>'Pasqyra 1-2-3 RFZ'!C1</f>
        <v>RFZ Building</v>
      </c>
    </row>
    <row r="2" spans="1:5" ht="15">
      <c r="A2" s="225" t="s">
        <v>352</v>
      </c>
      <c r="B2" s="111" t="str">
        <f>'RFZ-AAM'!C2</f>
        <v>K82405001V</v>
      </c>
    </row>
    <row r="4" spans="1:5">
      <c r="A4" s="208" t="s">
        <v>353</v>
      </c>
      <c r="B4" s="208" t="s">
        <v>354</v>
      </c>
      <c r="C4" s="208" t="s">
        <v>355</v>
      </c>
      <c r="D4" s="208" t="s">
        <v>356</v>
      </c>
      <c r="E4" s="208" t="s">
        <v>357</v>
      </c>
    </row>
    <row r="5" spans="1:5">
      <c r="A5" s="208">
        <v>1</v>
      </c>
      <c r="B5" s="208"/>
      <c r="C5" s="208"/>
      <c r="D5" s="208"/>
      <c r="E5" s="226"/>
    </row>
    <row r="6" spans="1:5">
      <c r="A6" s="208">
        <v>2</v>
      </c>
      <c r="B6" s="208"/>
      <c r="C6" s="208"/>
      <c r="D6" s="208"/>
      <c r="E6" s="226"/>
    </row>
    <row r="7" spans="1:5">
      <c r="A7" s="208">
        <v>3</v>
      </c>
      <c r="B7" s="208"/>
      <c r="C7" s="208"/>
      <c r="D7" s="208"/>
      <c r="E7" s="226"/>
    </row>
    <row r="8" spans="1:5">
      <c r="A8" s="208">
        <v>4</v>
      </c>
      <c r="B8" s="193"/>
      <c r="C8" s="193"/>
      <c r="D8" s="193"/>
      <c r="E8" s="193"/>
    </row>
    <row r="9" spans="1:5">
      <c r="A9" s="208">
        <v>5</v>
      </c>
      <c r="B9" s="193"/>
      <c r="C9" s="193"/>
      <c r="D9" s="193"/>
      <c r="E9" s="193"/>
    </row>
    <row r="10" spans="1:5">
      <c r="A10" s="208">
        <v>6</v>
      </c>
      <c r="B10" s="193"/>
      <c r="C10" s="193"/>
      <c r="D10" s="193"/>
      <c r="E10" s="193"/>
    </row>
    <row r="11" spans="1:5">
      <c r="A11" s="208">
        <v>7</v>
      </c>
      <c r="B11" s="193"/>
      <c r="C11" s="193"/>
      <c r="D11" s="193"/>
      <c r="E11" s="193"/>
    </row>
    <row r="12" spans="1:5">
      <c r="A12" s="208">
        <v>8</v>
      </c>
      <c r="B12" s="193"/>
      <c r="C12" s="193"/>
      <c r="D12" s="193"/>
      <c r="E12" s="193"/>
    </row>
    <row r="13" spans="1:5">
      <c r="A13" s="208">
        <v>9</v>
      </c>
      <c r="B13" s="193"/>
      <c r="C13" s="193"/>
      <c r="D13" s="193"/>
      <c r="E13" s="193"/>
    </row>
    <row r="14" spans="1:5">
      <c r="A14" s="208">
        <v>10</v>
      </c>
      <c r="B14" s="193"/>
      <c r="C14" s="193"/>
      <c r="D14" s="193"/>
      <c r="E14" s="193"/>
    </row>
    <row r="15" spans="1:5">
      <c r="A15" s="208">
        <v>11</v>
      </c>
      <c r="B15" s="193"/>
      <c r="C15" s="193"/>
      <c r="D15" s="193"/>
      <c r="E15" s="193"/>
    </row>
    <row r="16" spans="1:5">
      <c r="A16" s="208">
        <v>12</v>
      </c>
      <c r="B16" s="193"/>
      <c r="C16" s="193"/>
      <c r="D16" s="193"/>
      <c r="E16" s="193"/>
    </row>
    <row r="17" spans="1:5">
      <c r="A17" s="208">
        <v>13</v>
      </c>
      <c r="B17" s="193"/>
      <c r="C17" s="193"/>
      <c r="D17" s="193"/>
      <c r="E17" s="193"/>
    </row>
    <row r="18" spans="1:5">
      <c r="A18" s="208">
        <v>14</v>
      </c>
      <c r="B18" s="193"/>
      <c r="C18" s="193"/>
      <c r="D18" s="193"/>
      <c r="E18" s="193"/>
    </row>
    <row r="19" spans="1:5">
      <c r="A19" s="208" t="s">
        <v>358</v>
      </c>
      <c r="B19" s="193"/>
      <c r="C19" s="193"/>
      <c r="D19" s="193"/>
      <c r="E19" s="193"/>
    </row>
    <row r="20" spans="1:5">
      <c r="A20" s="193"/>
      <c r="B20" s="193"/>
      <c r="C20" s="193"/>
      <c r="D20" s="193"/>
      <c r="E20" s="193"/>
    </row>
    <row r="21" spans="1:5">
      <c r="A21" s="193"/>
      <c r="B21" s="193"/>
      <c r="C21" s="193"/>
      <c r="D21" s="193"/>
      <c r="E21" s="193"/>
    </row>
    <row r="22" spans="1:5">
      <c r="A22" s="193"/>
      <c r="B22" s="193"/>
      <c r="C22" s="193"/>
      <c r="D22" s="193"/>
      <c r="E22" s="19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Fitim-Humbje</vt:lpstr>
      <vt:lpstr>Bilanci</vt:lpstr>
      <vt:lpstr>CF </vt:lpstr>
      <vt:lpstr>levizja kapitalit</vt:lpstr>
      <vt:lpstr>CF</vt:lpstr>
      <vt:lpstr>Sheet1</vt:lpstr>
      <vt:lpstr>Pasqyra 1-2-3 RFZ</vt:lpstr>
      <vt:lpstr>RFZ-AAM</vt:lpstr>
      <vt:lpstr>Sheet2</vt:lpstr>
      <vt:lpstr>Shenime</vt:lpstr>
      <vt:lpstr>Sig Shoqerore 2013</vt:lpstr>
      <vt:lpstr>RLP Bilanci</vt:lpstr>
      <vt:lpstr>RLP FH</vt:lpstr>
      <vt:lpstr>Pasqyra e aseteve</vt:lpstr>
      <vt:lpstr>A.A.M nr 1</vt:lpstr>
      <vt:lpstr>Amortizimi</vt:lpstr>
      <vt:lpstr>Pasqyra Nr 2</vt:lpstr>
      <vt:lpstr>Pasqyra Nr 3</vt:lpstr>
      <vt:lpstr>Shenimet </vt:lpstr>
      <vt:lpstr>Sheet3</vt:lpstr>
      <vt:lpstr>'A.A.M nr 1'!Print_Area</vt:lpstr>
      <vt:lpstr>Bilanci!Print_Area</vt:lpstr>
      <vt:lpstr>'Pasqyra 1-2-3 RFZ'!Print_Area</vt:lpstr>
      <vt:lpstr>'Pasqyra e aseteve'!Print_Area</vt:lpstr>
      <vt:lpstr>'Pasqyra Nr 3'!Print_Area</vt:lpstr>
      <vt:lpstr>'RLP FH'!Print_Area</vt:lpstr>
      <vt:lpstr>'Sig Shoqerore 2013'!Print_Area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jorgjj</dc:creator>
  <cp:lastModifiedBy>e.hajrullai</cp:lastModifiedBy>
  <cp:lastPrinted>2014-03-30T18:17:45Z</cp:lastPrinted>
  <dcterms:created xsi:type="dcterms:W3CDTF">2009-02-22T11:50:08Z</dcterms:created>
  <dcterms:modified xsi:type="dcterms:W3CDTF">2014-03-31T10:46:52Z</dcterms:modified>
</cp:coreProperties>
</file>