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270" windowWidth="15450" windowHeight="7275" tabRatio="886" firstSheet="1" activeTab="1"/>
  </bookViews>
  <sheets>
    <sheet name="LISTA AQT 08" sheetId="48" state="hidden" r:id="rId1"/>
    <sheet name="KAPAK MC 13" sheetId="80" r:id="rId2"/>
    <sheet name="A P MC BM 12" sheetId="76" state="hidden" r:id="rId3"/>
    <sheet name="PASH MC 12" sheetId="77" state="hidden" r:id="rId4"/>
    <sheet name="B_Sheet13" sheetId="61" r:id="rId5"/>
    <sheet name="P&amp;L13" sheetId="2" r:id="rId6"/>
    <sheet name="Equity 13" sheetId="58" r:id="rId7"/>
    <sheet name="cash Fl  13" sheetId="59" r:id="rId8"/>
    <sheet name="Shenime B_Sheet 13" sheetId="40" r:id="rId9"/>
    <sheet name="Shenime P&amp;L 13" sheetId="45" r:id="rId10"/>
    <sheet name="TVSH" sheetId="6" state="hidden" r:id="rId11"/>
    <sheet name="Tat Fitim" sheetId="84" r:id="rId12"/>
    <sheet name="AAJM 13" sheetId="81" r:id="rId13"/>
    <sheet name="AAM 13" sheetId="66" r:id="rId14"/>
    <sheet name="AAM 13  " sheetId="68" r:id="rId15"/>
    <sheet name="Bankat 13" sheetId="67" r:id="rId16"/>
    <sheet name="Automjete 13" sheetId="85" r:id="rId17"/>
    <sheet name="Analitike 13" sheetId="42" r:id="rId18"/>
    <sheet name="Aneks Statistikor 13" sheetId="70" r:id="rId19"/>
    <sheet name="aktivitet per BM 13" sheetId="71" r:id="rId20"/>
    <sheet name="ZENTR SHPENZ SHPERND 13 " sheetId="87" r:id="rId21"/>
    <sheet name="ZENTR AMORT 2013" sheetId="88" r:id="rId22"/>
    <sheet name="PASH 13" sheetId="83" state="hidden" r:id="rId23"/>
    <sheet name="AP 13" sheetId="82" state="hidden" r:id="rId24"/>
    <sheet name="FD T Fitimit 12" sheetId="43" state="hidden" r:id="rId25"/>
    <sheet name="Automjete 11" sheetId="69" state="hidden" r:id="rId26"/>
    <sheet name="B_LinkEquity " sheetId="37" state="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19" hidden="1">'aktivitet per BM 13'!$H$5:$J$42</definedName>
    <definedName name="_xlnm._FilterDatabase" localSheetId="5" hidden="1">'P&amp;L13'!$B$87:$J$109</definedName>
    <definedName name="_xlnm._FilterDatabase" localSheetId="21" hidden="1">'ZENTR AMORT 2013'!$A$104:$K$160</definedName>
    <definedName name="_Key1" localSheetId="12" hidden="1">[1]PRODUKTE!#REF!</definedName>
    <definedName name="_Key1" hidden="1">[1]PRODUKTE!#REF!</definedName>
    <definedName name="_Key2" localSheetId="12" hidden="1">[1]PRODUKTE!#REF!</definedName>
    <definedName name="_Key2" hidden="1">[1]PRODUKTE!#REF!</definedName>
    <definedName name="_Order1" hidden="1">255</definedName>
    <definedName name="_Order2" hidden="1">255</definedName>
    <definedName name="CASHF10" localSheetId="12">#REF!</definedName>
    <definedName name="CASHF10" localSheetId="16">#REF!</definedName>
    <definedName name="CASHF10" localSheetId="4">#REF!</definedName>
    <definedName name="CASHF10" localSheetId="7">#REF!</definedName>
    <definedName name="CASHF10" localSheetId="6">#REF!</definedName>
    <definedName name="CASHF10">#REF!</definedName>
    <definedName name="cashf13">#REF!</definedName>
    <definedName name="hh">#REF!</definedName>
    <definedName name="news">#REF!</definedName>
    <definedName name="_xlnm.Print_Area" localSheetId="17">'Analitike 13'!$B$1:$F$55</definedName>
    <definedName name="_xlnm.Print_Area" localSheetId="18">'Aneks Statistikor 13'!$A$1:$K$101</definedName>
    <definedName name="_xlnm.Print_Area" localSheetId="4">B_Sheet13!$A$1:$U$105</definedName>
    <definedName name="_xlnm.Print_Area" localSheetId="6">'Equity 13'!$A$1:$M$111</definedName>
    <definedName name="_xlnm.Print_Area" localSheetId="24">'FD T Fitimit 12'!$A$1:$H$40</definedName>
    <definedName name="_xlnm.Print_Area" localSheetId="1">'KAPAK MC 13'!$A$4:$H$45</definedName>
    <definedName name="_xlnm.Print_Area" localSheetId="0">'LISTA AQT 08'!$A$1:$I$52</definedName>
    <definedName name="_xlnm.Print_Area" localSheetId="5">'P&amp;L13'!$A$1:$S$122</definedName>
    <definedName name="_xlnm.Print_Area" localSheetId="8">'Shenime B_Sheet 13'!$A$1:$O$422</definedName>
    <definedName name="_xlnm.Print_Area" localSheetId="9">'Shenime P&amp;L 13'!$A$1:$L$127</definedName>
    <definedName name="_xlnm.Print_Area" localSheetId="21">'ZENTR AMORT 2013'!$A$1:$K$197</definedName>
    <definedName name="xe110soc" localSheetId="12">#REF!</definedName>
    <definedName name="xe110soc" localSheetId="14">#REF!</definedName>
    <definedName name="xe110soc" localSheetId="17">#REF!</definedName>
    <definedName name="xe110soc" localSheetId="25">#REF!</definedName>
    <definedName name="xe110soc" localSheetId="16">#REF!</definedName>
    <definedName name="xe110soc" localSheetId="26">#REF!</definedName>
    <definedName name="xe110soc" localSheetId="4">#REF!</definedName>
    <definedName name="xe110soc" localSheetId="15">#REF!</definedName>
    <definedName name="xe110soc" localSheetId="7">#REF!</definedName>
    <definedName name="xe110soc" localSheetId="6">#REF!</definedName>
    <definedName name="xe110soc" localSheetId="24">#REF!</definedName>
    <definedName name="xe110soc" localSheetId="8">#REF!</definedName>
    <definedName name="xe110soc" localSheetId="9">#REF!</definedName>
    <definedName name="xe110soc">#REF!</definedName>
    <definedName name="xe180soc" localSheetId="12">#REF!</definedName>
    <definedName name="xe180soc" localSheetId="14">#REF!</definedName>
    <definedName name="xe180soc" localSheetId="17">#REF!</definedName>
    <definedName name="xe180soc" localSheetId="25">#REF!</definedName>
    <definedName name="xe180soc" localSheetId="16">#REF!</definedName>
    <definedName name="xe180soc" localSheetId="26">#REF!</definedName>
    <definedName name="xe180soc" localSheetId="4">#REF!</definedName>
    <definedName name="xe180soc" localSheetId="15">#REF!</definedName>
    <definedName name="xe180soc" localSheetId="7">#REF!</definedName>
    <definedName name="xe180soc" localSheetId="6">#REF!</definedName>
    <definedName name="xe180soc" localSheetId="24">#REF!</definedName>
    <definedName name="xe180soc" localSheetId="8">#REF!</definedName>
    <definedName name="xe180soc" localSheetId="9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E29" i="68"/>
  <c r="F29"/>
  <c r="G29"/>
  <c r="H29"/>
  <c r="I29"/>
  <c r="J29"/>
  <c r="K29"/>
  <c r="L29"/>
  <c r="M29"/>
  <c r="D29"/>
  <c r="H87" i="40"/>
  <c r="F42" i="66"/>
  <c r="F40"/>
  <c r="F39"/>
  <c r="I18" i="82"/>
  <c r="L64" i="45"/>
  <c r="K190" i="88"/>
  <c r="J190"/>
  <c r="I190"/>
  <c r="H190"/>
  <c r="G190"/>
  <c r="F190"/>
  <c r="E190"/>
  <c r="D190"/>
  <c r="K188"/>
  <c r="J188"/>
  <c r="I188"/>
  <c r="H188"/>
  <c r="G188"/>
  <c r="F188"/>
  <c r="E188"/>
  <c r="D188"/>
  <c r="C188"/>
  <c r="J187"/>
  <c r="H187"/>
  <c r="D187"/>
  <c r="K182"/>
  <c r="J182"/>
  <c r="I182"/>
  <c r="H182"/>
  <c r="H197" s="1"/>
  <c r="G182"/>
  <c r="G197" s="1"/>
  <c r="F182"/>
  <c r="D182"/>
  <c r="C182"/>
  <c r="A182"/>
  <c r="K180"/>
  <c r="J180"/>
  <c r="I180"/>
  <c r="H180"/>
  <c r="G180"/>
  <c r="F180"/>
  <c r="E180"/>
  <c r="D180"/>
  <c r="C180"/>
  <c r="J179"/>
  <c r="D179"/>
  <c r="K172"/>
  <c r="J172"/>
  <c r="I172"/>
  <c r="H172"/>
  <c r="G172"/>
  <c r="F172"/>
  <c r="E172"/>
  <c r="D172"/>
  <c r="D174" s="1"/>
  <c r="B172"/>
  <c r="A172"/>
  <c r="K170"/>
  <c r="J170"/>
  <c r="J174" s="1"/>
  <c r="I170"/>
  <c r="H170"/>
  <c r="G170"/>
  <c r="F170"/>
  <c r="F174" s="1"/>
  <c r="E170"/>
  <c r="D170"/>
  <c r="C170"/>
  <c r="B170"/>
  <c r="K168"/>
  <c r="J168"/>
  <c r="I168"/>
  <c r="H168"/>
  <c r="G168"/>
  <c r="F168"/>
  <c r="E168"/>
  <c r="D168"/>
  <c r="C168"/>
  <c r="B168"/>
  <c r="A168"/>
  <c r="K167"/>
  <c r="J167"/>
  <c r="I167"/>
  <c r="H167"/>
  <c r="G167"/>
  <c r="F167"/>
  <c r="E167"/>
  <c r="D167"/>
  <c r="C167"/>
  <c r="J166"/>
  <c r="D166"/>
  <c r="K162"/>
  <c r="J162"/>
  <c r="I162"/>
  <c r="H162"/>
  <c r="G162"/>
  <c r="F162"/>
  <c r="D162"/>
  <c r="A162"/>
  <c r="C160"/>
  <c r="K158"/>
  <c r="J158"/>
  <c r="I158"/>
  <c r="H158"/>
  <c r="G158"/>
  <c r="F158"/>
  <c r="E158"/>
  <c r="D158"/>
  <c r="C158"/>
  <c r="B158"/>
  <c r="A158"/>
  <c r="K156"/>
  <c r="J156"/>
  <c r="I156"/>
  <c r="H156"/>
  <c r="G156"/>
  <c r="F156"/>
  <c r="E156"/>
  <c r="D156"/>
  <c r="C156"/>
  <c r="B156"/>
  <c r="A156"/>
  <c r="K154"/>
  <c r="J154"/>
  <c r="I154"/>
  <c r="H154"/>
  <c r="G154"/>
  <c r="F154"/>
  <c r="E154"/>
  <c r="D154"/>
  <c r="C154"/>
  <c r="B154"/>
  <c r="A154"/>
  <c r="K152"/>
  <c r="J152"/>
  <c r="I152"/>
  <c r="H152"/>
  <c r="G152"/>
  <c r="F152"/>
  <c r="E152"/>
  <c r="D152"/>
  <c r="C152"/>
  <c r="B152"/>
  <c r="A152"/>
  <c r="K150"/>
  <c r="J150"/>
  <c r="I150"/>
  <c r="H150"/>
  <c r="G150"/>
  <c r="F150"/>
  <c r="E150"/>
  <c r="D150"/>
  <c r="C150"/>
  <c r="B150"/>
  <c r="A150"/>
  <c r="K148"/>
  <c r="J148"/>
  <c r="I148"/>
  <c r="H148"/>
  <c r="G148"/>
  <c r="F148"/>
  <c r="E148"/>
  <c r="D148"/>
  <c r="C148"/>
  <c r="B148"/>
  <c r="A148"/>
  <c r="K146"/>
  <c r="J146"/>
  <c r="I146"/>
  <c r="H146"/>
  <c r="G146"/>
  <c r="F146"/>
  <c r="E146"/>
  <c r="D146"/>
  <c r="C146"/>
  <c r="B146"/>
  <c r="A146"/>
  <c r="K144"/>
  <c r="J144"/>
  <c r="I144"/>
  <c r="H144"/>
  <c r="G144"/>
  <c r="F144"/>
  <c r="E144"/>
  <c r="D144"/>
  <c r="C144"/>
  <c r="B144"/>
  <c r="A144"/>
  <c r="K142"/>
  <c r="J142"/>
  <c r="I142"/>
  <c r="H142"/>
  <c r="G142"/>
  <c r="F142"/>
  <c r="E142"/>
  <c r="D142"/>
  <c r="C142"/>
  <c r="B142"/>
  <c r="A142"/>
  <c r="K140"/>
  <c r="J140"/>
  <c r="I140"/>
  <c r="H140"/>
  <c r="G140"/>
  <c r="F140"/>
  <c r="E140"/>
  <c r="D140"/>
  <c r="C140"/>
  <c r="B140"/>
  <c r="A140"/>
  <c r="K138"/>
  <c r="J138"/>
  <c r="I138"/>
  <c r="H138"/>
  <c r="G138"/>
  <c r="F138"/>
  <c r="E138"/>
  <c r="D138"/>
  <c r="C138"/>
  <c r="B138"/>
  <c r="A138"/>
  <c r="K136"/>
  <c r="J136"/>
  <c r="I136"/>
  <c r="H136"/>
  <c r="G136"/>
  <c r="F136"/>
  <c r="E136"/>
  <c r="D136"/>
  <c r="C136"/>
  <c r="B136"/>
  <c r="A136"/>
  <c r="K134"/>
  <c r="J134"/>
  <c r="I134"/>
  <c r="H134"/>
  <c r="G134"/>
  <c r="F134"/>
  <c r="E134"/>
  <c r="D134"/>
  <c r="C134"/>
  <c r="B134"/>
  <c r="A134"/>
  <c r="K132"/>
  <c r="J132"/>
  <c r="I132"/>
  <c r="H132"/>
  <c r="G132"/>
  <c r="F132"/>
  <c r="E132"/>
  <c r="D132"/>
  <c r="C132"/>
  <c r="B132"/>
  <c r="A132"/>
  <c r="K130"/>
  <c r="J130"/>
  <c r="I130"/>
  <c r="H130"/>
  <c r="G130"/>
  <c r="F130"/>
  <c r="E130"/>
  <c r="D130"/>
  <c r="C130"/>
  <c r="B130"/>
  <c r="A130"/>
  <c r="K128"/>
  <c r="J128"/>
  <c r="I128"/>
  <c r="H128"/>
  <c r="G128"/>
  <c r="F128"/>
  <c r="E128"/>
  <c r="D128"/>
  <c r="C128"/>
  <c r="B128"/>
  <c r="A128"/>
  <c r="K126"/>
  <c r="J126"/>
  <c r="I126"/>
  <c r="H126"/>
  <c r="G126"/>
  <c r="F126"/>
  <c r="E126"/>
  <c r="D126"/>
  <c r="C126"/>
  <c r="B126"/>
  <c r="A126"/>
  <c r="K124"/>
  <c r="J124"/>
  <c r="I124"/>
  <c r="H124"/>
  <c r="G124"/>
  <c r="F124"/>
  <c r="E124"/>
  <c r="D124"/>
  <c r="C124"/>
  <c r="B124"/>
  <c r="A124"/>
  <c r="K122"/>
  <c r="J122"/>
  <c r="I122"/>
  <c r="H122"/>
  <c r="G122"/>
  <c r="F122"/>
  <c r="E122"/>
  <c r="D122"/>
  <c r="C122"/>
  <c r="B122"/>
  <c r="A122"/>
  <c r="K120"/>
  <c r="J120"/>
  <c r="I120"/>
  <c r="H120"/>
  <c r="G120"/>
  <c r="F120"/>
  <c r="E120"/>
  <c r="D120"/>
  <c r="C120"/>
  <c r="B120"/>
  <c r="A120"/>
  <c r="K118"/>
  <c r="J118"/>
  <c r="I118"/>
  <c r="H118"/>
  <c r="G118"/>
  <c r="F118"/>
  <c r="E118"/>
  <c r="D118"/>
  <c r="C118"/>
  <c r="B118"/>
  <c r="A118"/>
  <c r="K116"/>
  <c r="J116"/>
  <c r="I116"/>
  <c r="H116"/>
  <c r="G116"/>
  <c r="F116"/>
  <c r="E116"/>
  <c r="D116"/>
  <c r="C116"/>
  <c r="B116"/>
  <c r="A116"/>
  <c r="K114"/>
  <c r="J114"/>
  <c r="I114"/>
  <c r="H114"/>
  <c r="G114"/>
  <c r="F114"/>
  <c r="E114"/>
  <c r="D114"/>
  <c r="C114"/>
  <c r="B114"/>
  <c r="A114"/>
  <c r="K112"/>
  <c r="J112"/>
  <c r="I112"/>
  <c r="H112"/>
  <c r="G112"/>
  <c r="F112"/>
  <c r="E112"/>
  <c r="D112"/>
  <c r="C112"/>
  <c r="B112"/>
  <c r="A112"/>
  <c r="K110"/>
  <c r="J110"/>
  <c r="I110"/>
  <c r="H110"/>
  <c r="G110"/>
  <c r="F110"/>
  <c r="E110"/>
  <c r="D110"/>
  <c r="C110"/>
  <c r="B110"/>
  <c r="A110"/>
  <c r="K108"/>
  <c r="J108"/>
  <c r="I108"/>
  <c r="H108"/>
  <c r="G108"/>
  <c r="F108"/>
  <c r="E108"/>
  <c r="D108"/>
  <c r="C108"/>
  <c r="B108"/>
  <c r="A108"/>
  <c r="K106"/>
  <c r="J106"/>
  <c r="I106"/>
  <c r="H106"/>
  <c r="G106"/>
  <c r="F106"/>
  <c r="E106"/>
  <c r="E160" s="1"/>
  <c r="E164" s="1"/>
  <c r="D106"/>
  <c r="C106"/>
  <c r="B106"/>
  <c r="A106"/>
  <c r="K105"/>
  <c r="J105"/>
  <c r="I105"/>
  <c r="H105"/>
  <c r="G105"/>
  <c r="F105"/>
  <c r="E105"/>
  <c r="D105"/>
  <c r="C105"/>
  <c r="J104"/>
  <c r="D104"/>
  <c r="K98"/>
  <c r="J98"/>
  <c r="I98"/>
  <c r="H98"/>
  <c r="G98"/>
  <c r="F98"/>
  <c r="D98"/>
  <c r="A98"/>
  <c r="C96"/>
  <c r="B96"/>
  <c r="K94"/>
  <c r="J94"/>
  <c r="I94"/>
  <c r="H94"/>
  <c r="G94"/>
  <c r="F94"/>
  <c r="E94"/>
  <c r="D94"/>
  <c r="C94"/>
  <c r="B94"/>
  <c r="A94"/>
  <c r="K92"/>
  <c r="J92"/>
  <c r="I92"/>
  <c r="H92"/>
  <c r="G92"/>
  <c r="F92"/>
  <c r="E92"/>
  <c r="D92"/>
  <c r="C92"/>
  <c r="B92"/>
  <c r="A92"/>
  <c r="K90"/>
  <c r="J90"/>
  <c r="I90"/>
  <c r="H90"/>
  <c r="G90"/>
  <c r="F90"/>
  <c r="E90"/>
  <c r="D90"/>
  <c r="C90"/>
  <c r="B90"/>
  <c r="A90"/>
  <c r="K88"/>
  <c r="J88"/>
  <c r="I88"/>
  <c r="H88"/>
  <c r="G88"/>
  <c r="F88"/>
  <c r="E88"/>
  <c r="D88"/>
  <c r="C88"/>
  <c r="B88"/>
  <c r="A88"/>
  <c r="K86"/>
  <c r="J86"/>
  <c r="I86"/>
  <c r="I96" s="1"/>
  <c r="I100" s="1"/>
  <c r="H86"/>
  <c r="G86"/>
  <c r="F86"/>
  <c r="E86"/>
  <c r="E96" s="1"/>
  <c r="E100" s="1"/>
  <c r="D86"/>
  <c r="C86"/>
  <c r="B86"/>
  <c r="A86"/>
  <c r="K85"/>
  <c r="J85"/>
  <c r="I85"/>
  <c r="H85"/>
  <c r="G85"/>
  <c r="F85"/>
  <c r="E85"/>
  <c r="D85"/>
  <c r="C85"/>
  <c r="J84"/>
  <c r="D84"/>
  <c r="C77"/>
  <c r="B77"/>
  <c r="A77"/>
  <c r="K75"/>
  <c r="J75"/>
  <c r="I75"/>
  <c r="H75"/>
  <c r="G75"/>
  <c r="F75"/>
  <c r="E75"/>
  <c r="D75"/>
  <c r="C75"/>
  <c r="B75"/>
  <c r="A75"/>
  <c r="K73"/>
  <c r="J73"/>
  <c r="I73"/>
  <c r="H73"/>
  <c r="G73"/>
  <c r="F73"/>
  <c r="E73"/>
  <c r="D73"/>
  <c r="C73"/>
  <c r="B73"/>
  <c r="A73"/>
  <c r="K71"/>
  <c r="J71"/>
  <c r="I71"/>
  <c r="H71"/>
  <c r="G71"/>
  <c r="F71"/>
  <c r="E71"/>
  <c r="D71"/>
  <c r="C71"/>
  <c r="B71"/>
  <c r="A71"/>
  <c r="K69"/>
  <c r="J69"/>
  <c r="I69"/>
  <c r="H69"/>
  <c r="G69"/>
  <c r="F69"/>
  <c r="E69"/>
  <c r="D69"/>
  <c r="C69"/>
  <c r="B69"/>
  <c r="A69"/>
  <c r="K67"/>
  <c r="J67"/>
  <c r="I67"/>
  <c r="H67"/>
  <c r="G67"/>
  <c r="F67"/>
  <c r="E67"/>
  <c r="D67"/>
  <c r="C67"/>
  <c r="B67"/>
  <c r="A67"/>
  <c r="K65"/>
  <c r="J65"/>
  <c r="I65"/>
  <c r="I77" s="1"/>
  <c r="H65"/>
  <c r="G65"/>
  <c r="F65"/>
  <c r="E65"/>
  <c r="D65"/>
  <c r="C65"/>
  <c r="B65"/>
  <c r="A65"/>
  <c r="K64"/>
  <c r="J64"/>
  <c r="I64"/>
  <c r="H64"/>
  <c r="G64"/>
  <c r="F64"/>
  <c r="E64"/>
  <c r="D64"/>
  <c r="C64"/>
  <c r="J63"/>
  <c r="D63"/>
  <c r="C57"/>
  <c r="B57"/>
  <c r="K55"/>
  <c r="J55"/>
  <c r="I55"/>
  <c r="H55"/>
  <c r="G55"/>
  <c r="F55"/>
  <c r="E55"/>
  <c r="D55"/>
  <c r="C55"/>
  <c r="B55"/>
  <c r="A55"/>
  <c r="K53"/>
  <c r="J53"/>
  <c r="I53"/>
  <c r="H53"/>
  <c r="G53"/>
  <c r="F53"/>
  <c r="E53"/>
  <c r="D53"/>
  <c r="C53"/>
  <c r="B53"/>
  <c r="A53"/>
  <c r="K51"/>
  <c r="K57" s="1"/>
  <c r="J51"/>
  <c r="I51"/>
  <c r="H51"/>
  <c r="G51"/>
  <c r="F51"/>
  <c r="F57" s="1"/>
  <c r="E51"/>
  <c r="D51"/>
  <c r="C51"/>
  <c r="B51"/>
  <c r="A51"/>
  <c r="K50"/>
  <c r="J50"/>
  <c r="I50"/>
  <c r="H50"/>
  <c r="G50"/>
  <c r="F50"/>
  <c r="E50"/>
  <c r="D50"/>
  <c r="C50"/>
  <c r="B50"/>
  <c r="A50"/>
  <c r="J49"/>
  <c r="D49"/>
  <c r="K42"/>
  <c r="J42"/>
  <c r="I42"/>
  <c r="H42"/>
  <c r="G42"/>
  <c r="F42"/>
  <c r="D42"/>
  <c r="H40"/>
  <c r="G40"/>
  <c r="C40"/>
  <c r="B40"/>
  <c r="K38"/>
  <c r="J38"/>
  <c r="I38"/>
  <c r="H38"/>
  <c r="G38"/>
  <c r="F38"/>
  <c r="E38"/>
  <c r="D38"/>
  <c r="C38"/>
  <c r="B38"/>
  <c r="A38"/>
  <c r="K36"/>
  <c r="J36"/>
  <c r="I36"/>
  <c r="H36"/>
  <c r="G36"/>
  <c r="F36"/>
  <c r="E36"/>
  <c r="D36"/>
  <c r="C36"/>
  <c r="B36"/>
  <c r="A36"/>
  <c r="K34"/>
  <c r="J34"/>
  <c r="I34"/>
  <c r="H34"/>
  <c r="G34"/>
  <c r="F34"/>
  <c r="E34"/>
  <c r="D34"/>
  <c r="C34"/>
  <c r="B34"/>
  <c r="A34"/>
  <c r="K32"/>
  <c r="K40" s="1"/>
  <c r="K44" s="1"/>
  <c r="J32"/>
  <c r="I32"/>
  <c r="H32"/>
  <c r="G32"/>
  <c r="F32"/>
  <c r="E32"/>
  <c r="D32"/>
  <c r="C32"/>
  <c r="B32"/>
  <c r="A32"/>
  <c r="K31"/>
  <c r="J31"/>
  <c r="I31"/>
  <c r="H31"/>
  <c r="G31"/>
  <c r="F31"/>
  <c r="E31"/>
  <c r="D31"/>
  <c r="C31"/>
  <c r="J30"/>
  <c r="D30"/>
  <c r="K25"/>
  <c r="J25"/>
  <c r="I25"/>
  <c r="H25"/>
  <c r="G25"/>
  <c r="F25"/>
  <c r="D25"/>
  <c r="C23"/>
  <c r="B23"/>
  <c r="K21"/>
  <c r="J21"/>
  <c r="I21"/>
  <c r="H21"/>
  <c r="G21"/>
  <c r="F21"/>
  <c r="E21"/>
  <c r="D21"/>
  <c r="C21"/>
  <c r="B21"/>
  <c r="A21"/>
  <c r="K19"/>
  <c r="J19"/>
  <c r="I19"/>
  <c r="H19"/>
  <c r="G19"/>
  <c r="F19"/>
  <c r="E19"/>
  <c r="D19"/>
  <c r="C19"/>
  <c r="B19"/>
  <c r="A19"/>
  <c r="K17"/>
  <c r="J17"/>
  <c r="I17"/>
  <c r="H17"/>
  <c r="G17"/>
  <c r="F17"/>
  <c r="E17"/>
  <c r="D17"/>
  <c r="C17"/>
  <c r="B17"/>
  <c r="A17"/>
  <c r="K15"/>
  <c r="J15"/>
  <c r="I15"/>
  <c r="H15"/>
  <c r="G15"/>
  <c r="F15"/>
  <c r="E15"/>
  <c r="D15"/>
  <c r="C15"/>
  <c r="B15"/>
  <c r="A15"/>
  <c r="K13"/>
  <c r="J13"/>
  <c r="I13"/>
  <c r="H13"/>
  <c r="G13"/>
  <c r="F13"/>
  <c r="E13"/>
  <c r="D13"/>
  <c r="C13"/>
  <c r="B13"/>
  <c r="A13"/>
  <c r="K11"/>
  <c r="J11"/>
  <c r="I11"/>
  <c r="H11"/>
  <c r="G11"/>
  <c r="F11"/>
  <c r="E11"/>
  <c r="D11"/>
  <c r="C11"/>
  <c r="B11"/>
  <c r="A11"/>
  <c r="K9"/>
  <c r="J9"/>
  <c r="I9"/>
  <c r="H9"/>
  <c r="G9"/>
  <c r="F9"/>
  <c r="E9"/>
  <c r="D9"/>
  <c r="C9"/>
  <c r="B9"/>
  <c r="A9"/>
  <c r="K7"/>
  <c r="J7"/>
  <c r="I7"/>
  <c r="H7"/>
  <c r="G7"/>
  <c r="F7"/>
  <c r="E7"/>
  <c r="D7"/>
  <c r="C7"/>
  <c r="B7"/>
  <c r="A7"/>
  <c r="K5"/>
  <c r="J5"/>
  <c r="I5"/>
  <c r="H5"/>
  <c r="G5"/>
  <c r="F5"/>
  <c r="E5"/>
  <c r="D5"/>
  <c r="C5"/>
  <c r="B5"/>
  <c r="A5"/>
  <c r="K3"/>
  <c r="J3"/>
  <c r="I3"/>
  <c r="I23" s="1"/>
  <c r="I27" s="1"/>
  <c r="H3"/>
  <c r="G3"/>
  <c r="F3"/>
  <c r="E3"/>
  <c r="D3"/>
  <c r="C3"/>
  <c r="B3"/>
  <c r="A3"/>
  <c r="K2"/>
  <c r="J2"/>
  <c r="I2"/>
  <c r="H2"/>
  <c r="G2"/>
  <c r="F2"/>
  <c r="E2"/>
  <c r="D2"/>
  <c r="C2"/>
  <c r="J1"/>
  <c r="D1"/>
  <c r="K66" i="87"/>
  <c r="J66"/>
  <c r="I66"/>
  <c r="H66"/>
  <c r="G66"/>
  <c r="F66"/>
  <c r="E66"/>
  <c r="D66"/>
  <c r="K62"/>
  <c r="J62"/>
  <c r="I62"/>
  <c r="H62"/>
  <c r="G62"/>
  <c r="F62"/>
  <c r="E62"/>
  <c r="D62"/>
  <c r="C62"/>
  <c r="B62"/>
  <c r="K60"/>
  <c r="J60"/>
  <c r="I60"/>
  <c r="H60"/>
  <c r="G60"/>
  <c r="F60"/>
  <c r="E60"/>
  <c r="D60"/>
  <c r="C60"/>
  <c r="B60"/>
  <c r="K58"/>
  <c r="J58"/>
  <c r="I58"/>
  <c r="H58"/>
  <c r="G58"/>
  <c r="F58"/>
  <c r="E58"/>
  <c r="D58"/>
  <c r="C58"/>
  <c r="B58"/>
  <c r="K56"/>
  <c r="J56"/>
  <c r="I56"/>
  <c r="H56"/>
  <c r="G56"/>
  <c r="F56"/>
  <c r="E56"/>
  <c r="D56"/>
  <c r="C56"/>
  <c r="B56"/>
  <c r="K54"/>
  <c r="J54"/>
  <c r="I54"/>
  <c r="H54"/>
  <c r="G54"/>
  <c r="F54"/>
  <c r="E54"/>
  <c r="D54"/>
  <c r="C54"/>
  <c r="B54"/>
  <c r="K52"/>
  <c r="J52"/>
  <c r="I52"/>
  <c r="H52"/>
  <c r="G52"/>
  <c r="F52"/>
  <c r="E52"/>
  <c r="D52"/>
  <c r="C52"/>
  <c r="B52"/>
  <c r="F50"/>
  <c r="I50" s="1"/>
  <c r="K48"/>
  <c r="J48"/>
  <c r="I48"/>
  <c r="H48"/>
  <c r="G48"/>
  <c r="F48"/>
  <c r="E48"/>
  <c r="D48"/>
  <c r="C48"/>
  <c r="B48"/>
  <c r="K46"/>
  <c r="J46"/>
  <c r="I46"/>
  <c r="H46"/>
  <c r="G46"/>
  <c r="F46"/>
  <c r="E46"/>
  <c r="D46"/>
  <c r="C46"/>
  <c r="B46"/>
  <c r="K44"/>
  <c r="J44"/>
  <c r="I44"/>
  <c r="H44"/>
  <c r="G44"/>
  <c r="F44"/>
  <c r="E44"/>
  <c r="D44"/>
  <c r="C44"/>
  <c r="B44"/>
  <c r="K42"/>
  <c r="J42"/>
  <c r="I42"/>
  <c r="H42"/>
  <c r="G42"/>
  <c r="F42"/>
  <c r="E42"/>
  <c r="D42"/>
  <c r="C42"/>
  <c r="B42"/>
  <c r="K40"/>
  <c r="J40"/>
  <c r="I40"/>
  <c r="H40"/>
  <c r="G40"/>
  <c r="F40"/>
  <c r="E40"/>
  <c r="D40"/>
  <c r="C40"/>
  <c r="B40"/>
  <c r="K38"/>
  <c r="J38"/>
  <c r="I38"/>
  <c r="H38"/>
  <c r="G38"/>
  <c r="F38"/>
  <c r="E38"/>
  <c r="D38"/>
  <c r="C38"/>
  <c r="B38"/>
  <c r="K36"/>
  <c r="J36"/>
  <c r="I36"/>
  <c r="H36"/>
  <c r="G36"/>
  <c r="F36"/>
  <c r="E36"/>
  <c r="D36"/>
  <c r="C36"/>
  <c r="B36"/>
  <c r="K34"/>
  <c r="J34"/>
  <c r="I34"/>
  <c r="H34"/>
  <c r="G34"/>
  <c r="F34"/>
  <c r="E34"/>
  <c r="D34"/>
  <c r="C34"/>
  <c r="B34"/>
  <c r="K32"/>
  <c r="J32"/>
  <c r="I32"/>
  <c r="H32"/>
  <c r="G32"/>
  <c r="F32"/>
  <c r="E32"/>
  <c r="D32"/>
  <c r="C32"/>
  <c r="B32"/>
  <c r="K30"/>
  <c r="J30"/>
  <c r="I30"/>
  <c r="H30"/>
  <c r="G30"/>
  <c r="F30"/>
  <c r="E30"/>
  <c r="D30"/>
  <c r="C30"/>
  <c r="B30"/>
  <c r="K28"/>
  <c r="J28"/>
  <c r="I28"/>
  <c r="H28"/>
  <c r="G28"/>
  <c r="F28"/>
  <c r="E28"/>
  <c r="D28"/>
  <c r="C28"/>
  <c r="B28"/>
  <c r="K26"/>
  <c r="J26"/>
  <c r="I26"/>
  <c r="H26"/>
  <c r="G26"/>
  <c r="F26"/>
  <c r="E26"/>
  <c r="D26"/>
  <c r="C26"/>
  <c r="B26"/>
  <c r="K24"/>
  <c r="J24"/>
  <c r="I24"/>
  <c r="H24"/>
  <c r="G24"/>
  <c r="F24"/>
  <c r="E24"/>
  <c r="D24"/>
  <c r="C24"/>
  <c r="B24"/>
  <c r="K22"/>
  <c r="J22"/>
  <c r="I22"/>
  <c r="H22"/>
  <c r="G22"/>
  <c r="F22"/>
  <c r="E22"/>
  <c r="D22"/>
  <c r="C22"/>
  <c r="B22"/>
  <c r="K20"/>
  <c r="J20"/>
  <c r="I20"/>
  <c r="H20"/>
  <c r="G20"/>
  <c r="F20"/>
  <c r="E20"/>
  <c r="D20"/>
  <c r="C20"/>
  <c r="B20"/>
  <c r="K18"/>
  <c r="J18"/>
  <c r="I18"/>
  <c r="H18"/>
  <c r="G18"/>
  <c r="F18"/>
  <c r="E18"/>
  <c r="D18"/>
  <c r="C18"/>
  <c r="B18"/>
  <c r="K16"/>
  <c r="J16"/>
  <c r="I16"/>
  <c r="H16"/>
  <c r="G16"/>
  <c r="F16"/>
  <c r="E16"/>
  <c r="D16"/>
  <c r="C16"/>
  <c r="B16"/>
  <c r="K14"/>
  <c r="J14"/>
  <c r="I14"/>
  <c r="H14"/>
  <c r="G14"/>
  <c r="F14"/>
  <c r="E14"/>
  <c r="D14"/>
  <c r="C14"/>
  <c r="B14"/>
  <c r="K12"/>
  <c r="J12"/>
  <c r="I12"/>
  <c r="H12"/>
  <c r="G12"/>
  <c r="F12"/>
  <c r="E12"/>
  <c r="D12"/>
  <c r="C12"/>
  <c r="B12"/>
  <c r="K10"/>
  <c r="J10"/>
  <c r="I10"/>
  <c r="H10"/>
  <c r="G10"/>
  <c r="F10"/>
  <c r="E10"/>
  <c r="D10"/>
  <c r="C10"/>
  <c r="B10"/>
  <c r="K8"/>
  <c r="J8"/>
  <c r="I8"/>
  <c r="H8"/>
  <c r="G8"/>
  <c r="F8"/>
  <c r="E8"/>
  <c r="D8"/>
  <c r="C8"/>
  <c r="B8"/>
  <c r="K6"/>
  <c r="J6"/>
  <c r="I6"/>
  <c r="H6"/>
  <c r="G6"/>
  <c r="F6"/>
  <c r="E6"/>
  <c r="D6"/>
  <c r="C6"/>
  <c r="B6"/>
  <c r="K4"/>
  <c r="J4"/>
  <c r="I4"/>
  <c r="H4"/>
  <c r="G4"/>
  <c r="F4"/>
  <c r="F64" s="1"/>
  <c r="F68" s="1"/>
  <c r="E4"/>
  <c r="D4"/>
  <c r="C4"/>
  <c r="B4"/>
  <c r="K50" l="1"/>
  <c r="K64" s="1"/>
  <c r="K68" s="1"/>
  <c r="J50"/>
  <c r="I64"/>
  <c r="I68" s="1"/>
  <c r="F40" i="88"/>
  <c r="F44" s="1"/>
  <c r="J40"/>
  <c r="J44" s="1"/>
  <c r="D77"/>
  <c r="E77"/>
  <c r="F77"/>
  <c r="D160"/>
  <c r="D164" s="1"/>
  <c r="G193"/>
  <c r="K193"/>
  <c r="H193"/>
  <c r="E64" i="87"/>
  <c r="E68" s="1"/>
  <c r="D64"/>
  <c r="D68" s="1"/>
  <c r="H64"/>
  <c r="E57" i="88"/>
  <c r="K77"/>
  <c r="K96"/>
  <c r="K100" s="1"/>
  <c r="K160"/>
  <c r="K195" s="1"/>
  <c r="H195"/>
  <c r="F193"/>
  <c r="J193"/>
  <c r="J64" i="87"/>
  <c r="J68" s="1"/>
  <c r="D193" i="88"/>
  <c r="G64" i="87"/>
  <c r="G68" s="1"/>
  <c r="F23" i="88"/>
  <c r="F27" s="1"/>
  <c r="J23"/>
  <c r="J27" s="1"/>
  <c r="K23"/>
  <c r="K27" s="1"/>
  <c r="D23"/>
  <c r="D27" s="1"/>
  <c r="E23"/>
  <c r="E27" s="1"/>
  <c r="D40"/>
  <c r="D44" s="1"/>
  <c r="E40"/>
  <c r="E44" s="1"/>
  <c r="I40"/>
  <c r="I44" s="1"/>
  <c r="D57"/>
  <c r="D197" s="1"/>
  <c r="I57"/>
  <c r="J57"/>
  <c r="J77"/>
  <c r="F96"/>
  <c r="F100" s="1"/>
  <c r="J96"/>
  <c r="J100" s="1"/>
  <c r="D96"/>
  <c r="D100" s="1"/>
  <c r="F160"/>
  <c r="F164" s="1"/>
  <c r="F197" s="1"/>
  <c r="J160"/>
  <c r="J164" s="1"/>
  <c r="J197" s="1"/>
  <c r="I160"/>
  <c r="I164" s="1"/>
  <c r="G195"/>
  <c r="E174"/>
  <c r="E193"/>
  <c r="I193"/>
  <c r="K174"/>
  <c r="E195"/>
  <c r="I195"/>
  <c r="E197"/>
  <c r="I174"/>
  <c r="I197" s="1"/>
  <c r="K164" l="1"/>
  <c r="F195"/>
  <c r="J195"/>
  <c r="D195"/>
  <c r="K197"/>
  <c r="F49" i="40"/>
  <c r="B23" i="84" s="1"/>
  <c r="F48" i="82"/>
  <c r="I25" i="59" l="1"/>
  <c r="I62" s="1"/>
  <c r="I64" s="1"/>
  <c r="I71" s="1"/>
  <c r="I72" s="1"/>
  <c r="K25"/>
  <c r="K36" s="1"/>
  <c r="I36"/>
  <c r="I46"/>
  <c r="K46"/>
  <c r="K60" s="1"/>
  <c r="I60"/>
  <c r="J62"/>
  <c r="I67"/>
  <c r="G63" s="1"/>
  <c r="E28" i="81"/>
  <c r="F28"/>
  <c r="B22" i="84"/>
  <c r="B25" s="1"/>
  <c r="D24" i="43"/>
  <c r="F47" i="45"/>
  <c r="F36"/>
  <c r="F35"/>
  <c r="F34"/>
  <c r="F33"/>
  <c r="F32"/>
  <c r="F31"/>
  <c r="F30"/>
  <c r="F29"/>
  <c r="F28"/>
  <c r="F27"/>
  <c r="F26"/>
  <c r="F25"/>
  <c r="D49" i="42"/>
  <c r="D47"/>
  <c r="F47" s="1"/>
  <c r="D48"/>
  <c r="F48" s="1"/>
  <c r="F154" i="40"/>
  <c r="E41" i="66"/>
  <c r="D106" i="40"/>
  <c r="F64"/>
  <c r="F63"/>
  <c r="F50"/>
  <c r="F48"/>
  <c r="F9" i="85"/>
  <c r="F15" s="1"/>
  <c r="F10"/>
  <c r="F11"/>
  <c r="F12"/>
  <c r="F13"/>
  <c r="F14"/>
  <c r="K39" i="71"/>
  <c r="K44" s="1"/>
  <c r="I88" i="70"/>
  <c r="I85" s="1"/>
  <c r="I84"/>
  <c r="I80"/>
  <c r="I79"/>
  <c r="I78"/>
  <c r="I77"/>
  <c r="I74"/>
  <c r="I73"/>
  <c r="I72"/>
  <c r="I68"/>
  <c r="I67"/>
  <c r="I66"/>
  <c r="I65"/>
  <c r="J65"/>
  <c r="J66"/>
  <c r="J67"/>
  <c r="J73"/>
  <c r="J74"/>
  <c r="J78"/>
  <c r="J79"/>
  <c r="J80"/>
  <c r="J9" i="68"/>
  <c r="M9" s="1"/>
  <c r="J10"/>
  <c r="M10" s="1"/>
  <c r="J11"/>
  <c r="M11" s="1"/>
  <c r="J12"/>
  <c r="M12" s="1"/>
  <c r="H7"/>
  <c r="E38" i="66"/>
  <c r="E23"/>
  <c r="J7" i="68" s="1"/>
  <c r="J8"/>
  <c r="M8" s="1"/>
  <c r="I13"/>
  <c r="H9"/>
  <c r="H10"/>
  <c r="L10" s="1"/>
  <c r="H11"/>
  <c r="I11" s="1"/>
  <c r="H12"/>
  <c r="I12" s="1"/>
  <c r="H8"/>
  <c r="G9"/>
  <c r="G10"/>
  <c r="G12"/>
  <c r="G11"/>
  <c r="E14"/>
  <c r="D8"/>
  <c r="K8" s="1"/>
  <c r="G8"/>
  <c r="D7"/>
  <c r="D14" s="1"/>
  <c r="I7"/>
  <c r="D37" i="66"/>
  <c r="D41"/>
  <c r="G41"/>
  <c r="D40"/>
  <c r="G40" s="1"/>
  <c r="D39"/>
  <c r="G39" s="1"/>
  <c r="G11"/>
  <c r="G9"/>
  <c r="G12"/>
  <c r="G13"/>
  <c r="D14"/>
  <c r="G14" s="1"/>
  <c r="D10"/>
  <c r="D15" s="1"/>
  <c r="H17" i="67"/>
  <c r="F206" i="40"/>
  <c r="V100" i="61"/>
  <c r="V97"/>
  <c r="V96"/>
  <c r="V95"/>
  <c r="V69"/>
  <c r="F28" i="59"/>
  <c r="K75" i="61"/>
  <c r="F33" i="59" s="1"/>
  <c r="L75" i="61"/>
  <c r="L76"/>
  <c r="K58" i="58"/>
  <c r="K56"/>
  <c r="K55"/>
  <c r="K53"/>
  <c r="K52"/>
  <c r="AA8"/>
  <c r="K9"/>
  <c r="AA9"/>
  <c r="K10"/>
  <c r="K11" s="1"/>
  <c r="AA10"/>
  <c r="E11"/>
  <c r="F11"/>
  <c r="F19" s="1"/>
  <c r="G11"/>
  <c r="G19" s="1"/>
  <c r="H11"/>
  <c r="I11"/>
  <c r="I19"/>
  <c r="I27" s="1"/>
  <c r="I35" s="1"/>
  <c r="I43" s="1"/>
  <c r="I51" s="1"/>
  <c r="I59" s="1"/>
  <c r="J11"/>
  <c r="AA11"/>
  <c r="K12"/>
  <c r="AA12"/>
  <c r="K13"/>
  <c r="AA13"/>
  <c r="K14"/>
  <c r="AA14"/>
  <c r="K15"/>
  <c r="AA15"/>
  <c r="K16"/>
  <c r="X16"/>
  <c r="X19"/>
  <c r="K17"/>
  <c r="AA17"/>
  <c r="AA18"/>
  <c r="E19"/>
  <c r="K19" s="1"/>
  <c r="J19"/>
  <c r="U19"/>
  <c r="U27" s="1"/>
  <c r="U35" s="1"/>
  <c r="V19"/>
  <c r="V27" s="1"/>
  <c r="V35" s="1"/>
  <c r="W19"/>
  <c r="W27"/>
  <c r="W35" s="1"/>
  <c r="Y19"/>
  <c r="Y27" s="1"/>
  <c r="Y35" s="1"/>
  <c r="K20"/>
  <c r="AA20"/>
  <c r="K21"/>
  <c r="AA21"/>
  <c r="K22"/>
  <c r="AA22"/>
  <c r="K23"/>
  <c r="AA23"/>
  <c r="K24"/>
  <c r="X24"/>
  <c r="Z24" s="1"/>
  <c r="K25"/>
  <c r="AA25"/>
  <c r="K26"/>
  <c r="AA26"/>
  <c r="K28"/>
  <c r="AA28"/>
  <c r="K29"/>
  <c r="AA29"/>
  <c r="J30"/>
  <c r="K30" s="1"/>
  <c r="Z30"/>
  <c r="AA30" s="1"/>
  <c r="K31"/>
  <c r="AA31"/>
  <c r="K32"/>
  <c r="Z32"/>
  <c r="AA32" s="1"/>
  <c r="K33"/>
  <c r="AA33"/>
  <c r="K34"/>
  <c r="AA34"/>
  <c r="F71" i="2"/>
  <c r="M75"/>
  <c r="M74"/>
  <c r="O74"/>
  <c r="O75"/>
  <c r="F112"/>
  <c r="F92"/>
  <c r="F90"/>
  <c r="F40"/>
  <c r="O31"/>
  <c r="O7"/>
  <c r="O10" s="1"/>
  <c r="E15" i="83"/>
  <c r="E26" i="77"/>
  <c r="G15" i="2"/>
  <c r="G98" s="1"/>
  <c r="H63" i="45" s="1"/>
  <c r="E13" i="77"/>
  <c r="O50" i="2"/>
  <c r="O40"/>
  <c r="O34"/>
  <c r="F108" s="1"/>
  <c r="O22"/>
  <c r="O12" s="1"/>
  <c r="O17"/>
  <c r="F17"/>
  <c r="F12"/>
  <c r="E54" i="83"/>
  <c r="F74" i="45" s="1"/>
  <c r="E53" i="83"/>
  <c r="F73" i="45" s="1"/>
  <c r="E51" i="83"/>
  <c r="F31" i="2" s="1"/>
  <c r="F30" s="1"/>
  <c r="O72" s="1"/>
  <c r="E52" i="83"/>
  <c r="F33" i="2" s="1"/>
  <c r="F107" s="1"/>
  <c r="F97" i="45" s="1"/>
  <c r="E43" i="83"/>
  <c r="C11" i="84" s="1"/>
  <c r="F50" i="45"/>
  <c r="E40" i="83"/>
  <c r="E39"/>
  <c r="E55" s="1"/>
  <c r="B10" i="84" s="1"/>
  <c r="C10" s="1"/>
  <c r="E28" i="83"/>
  <c r="E35"/>
  <c r="F53" i="2"/>
  <c r="F46"/>
  <c r="F12" i="59" s="1"/>
  <c r="F43" i="2"/>
  <c r="F9"/>
  <c r="F6"/>
  <c r="Z28" i="61"/>
  <c r="S34"/>
  <c r="S83" s="1"/>
  <c r="I16" i="82"/>
  <c r="I20"/>
  <c r="S36" i="61"/>
  <c r="F134" i="40" s="1"/>
  <c r="F135" s="1"/>
  <c r="I15" i="82"/>
  <c r="S41" i="61" s="1"/>
  <c r="I14" i="82"/>
  <c r="S40" i="61" s="1"/>
  <c r="F161" i="40" s="1"/>
  <c r="F163" s="1"/>
  <c r="I13" i="82"/>
  <c r="S39" i="61" s="1"/>
  <c r="S66" s="1"/>
  <c r="I11" i="82"/>
  <c r="S15" i="61" s="1"/>
  <c r="I10" i="82"/>
  <c r="S8" i="61"/>
  <c r="F195" i="40" s="1"/>
  <c r="F197" s="1"/>
  <c r="F39" i="82"/>
  <c r="F30"/>
  <c r="F26"/>
  <c r="H91" i="61"/>
  <c r="F105" i="40" s="1"/>
  <c r="F36" i="82"/>
  <c r="H92" i="61" s="1"/>
  <c r="F106" i="40" s="1"/>
  <c r="F37" i="82"/>
  <c r="F35"/>
  <c r="G24" i="76"/>
  <c r="H33"/>
  <c r="F33"/>
  <c r="I19" i="61" s="1"/>
  <c r="L19" s="1"/>
  <c r="E60" i="82"/>
  <c r="H37" i="61"/>
  <c r="H66" s="1"/>
  <c r="H18"/>
  <c r="F46" i="82"/>
  <c r="H35" i="61" s="1"/>
  <c r="H65" s="1"/>
  <c r="F52" i="82"/>
  <c r="H36" i="61" s="1"/>
  <c r="F37" i="40" s="1"/>
  <c r="F39" s="1"/>
  <c r="F50" i="82"/>
  <c r="H23" i="61" s="1"/>
  <c r="H67" s="1"/>
  <c r="F53" i="82"/>
  <c r="H50" i="61" s="1"/>
  <c r="H79" s="1"/>
  <c r="F54" i="82"/>
  <c r="F6" i="40"/>
  <c r="F58" i="82"/>
  <c r="F7" i="40" s="1"/>
  <c r="F45" i="82"/>
  <c r="H22" i="61"/>
  <c r="H84" s="1"/>
  <c r="F32" i="82"/>
  <c r="H17" i="61" s="1"/>
  <c r="F25" i="76"/>
  <c r="I16" i="61" s="1"/>
  <c r="L16" s="1"/>
  <c r="F25" i="82"/>
  <c r="G25" s="1"/>
  <c r="F12" i="83"/>
  <c r="D55"/>
  <c r="H74" i="61"/>
  <c r="S98"/>
  <c r="S79"/>
  <c r="S82" s="1"/>
  <c r="S76"/>
  <c r="S49"/>
  <c r="S11"/>
  <c r="H87"/>
  <c r="H85"/>
  <c r="H72"/>
  <c r="H71"/>
  <c r="H40"/>
  <c r="H27"/>
  <c r="H97" i="45"/>
  <c r="H74"/>
  <c r="H73"/>
  <c r="J62"/>
  <c r="J61"/>
  <c r="H50"/>
  <c r="H47"/>
  <c r="J40"/>
  <c r="H36"/>
  <c r="H35"/>
  <c r="H34"/>
  <c r="H32"/>
  <c r="H31"/>
  <c r="H30"/>
  <c r="H29"/>
  <c r="H28"/>
  <c r="H27"/>
  <c r="H26"/>
  <c r="H25"/>
  <c r="H20"/>
  <c r="H19"/>
  <c r="F49" i="42"/>
  <c r="J88" i="70"/>
  <c r="J85" s="1"/>
  <c r="J72"/>
  <c r="K8"/>
  <c r="K24" s="1"/>
  <c r="D27" i="81"/>
  <c r="D28" s="1"/>
  <c r="F19"/>
  <c r="D19"/>
  <c r="E19"/>
  <c r="G18"/>
  <c r="G19" s="1"/>
  <c r="F10"/>
  <c r="D10"/>
  <c r="G9"/>
  <c r="G10" s="1"/>
  <c r="G24" i="66"/>
  <c r="J188" i="40"/>
  <c r="J189" s="1"/>
  <c r="J173"/>
  <c r="J134"/>
  <c r="J135" s="1"/>
  <c r="G33" i="59"/>
  <c r="W95" i="61"/>
  <c r="W96"/>
  <c r="W97"/>
  <c r="W100"/>
  <c r="W69"/>
  <c r="K50" i="58"/>
  <c r="K48"/>
  <c r="K47"/>
  <c r="K45"/>
  <c r="K44"/>
  <c r="E10" i="81"/>
  <c r="J7" i="45"/>
  <c r="J14" s="1"/>
  <c r="J39" i="40"/>
  <c r="D107"/>
  <c r="D105"/>
  <c r="J121"/>
  <c r="H118"/>
  <c r="H64"/>
  <c r="H63"/>
  <c r="J66"/>
  <c r="H99" i="2"/>
  <c r="H93"/>
  <c r="U68" i="61"/>
  <c r="J170" i="40"/>
  <c r="J100" i="61"/>
  <c r="F35" i="58"/>
  <c r="F43" s="1"/>
  <c r="F51" s="1"/>
  <c r="F59" s="1"/>
  <c r="G112" i="2"/>
  <c r="H8" i="77"/>
  <c r="P31" i="2" s="1"/>
  <c r="H7" i="77"/>
  <c r="P20" i="2" s="1"/>
  <c r="P17" s="1"/>
  <c r="H5" i="77"/>
  <c r="E42"/>
  <c r="E33"/>
  <c r="E30"/>
  <c r="G31" i="2"/>
  <c r="E49" i="77"/>
  <c r="J68" i="70" s="1"/>
  <c r="E48" i="77"/>
  <c r="G23" i="2" s="1"/>
  <c r="E47" i="77"/>
  <c r="G33" i="2"/>
  <c r="G107" s="1"/>
  <c r="D29" i="77"/>
  <c r="E32"/>
  <c r="G17" i="2" s="1"/>
  <c r="E40" i="77"/>
  <c r="G53" s="1"/>
  <c r="E37"/>
  <c r="G16" i="2" s="1"/>
  <c r="G97" s="1"/>
  <c r="H62" i="45" s="1"/>
  <c r="E36" i="77"/>
  <c r="G14" i="2" s="1"/>
  <c r="I98" i="61"/>
  <c r="I92"/>
  <c r="I91"/>
  <c r="I93"/>
  <c r="L93" s="1"/>
  <c r="I12" i="76"/>
  <c r="T16" i="61" s="1"/>
  <c r="K57" i="58"/>
  <c r="I11" i="76"/>
  <c r="F29"/>
  <c r="I17" i="61" s="1"/>
  <c r="L17" s="1"/>
  <c r="F28" i="76"/>
  <c r="F24"/>
  <c r="I15" i="61" s="1"/>
  <c r="L15" s="1"/>
  <c r="I18" i="76"/>
  <c r="H173" i="40"/>
  <c r="I17" i="76"/>
  <c r="I16"/>
  <c r="H171" i="40" s="1"/>
  <c r="I15" i="76"/>
  <c r="I14"/>
  <c r="T40" i="61" s="1"/>
  <c r="I13" i="76"/>
  <c r="T39" i="61" s="1"/>
  <c r="T66" s="1"/>
  <c r="W66" s="1"/>
  <c r="I10" i="76"/>
  <c r="I19"/>
  <c r="T34" i="61"/>
  <c r="T83" s="1"/>
  <c r="V83" s="1"/>
  <c r="I20" i="76"/>
  <c r="T36" i="61"/>
  <c r="F51" i="76"/>
  <c r="H7" i="40" s="1"/>
  <c r="F48" i="76"/>
  <c r="H6" i="40" s="1"/>
  <c r="F47" i="76"/>
  <c r="I50" i="61" s="1"/>
  <c r="F46" i="76"/>
  <c r="I36" i="61"/>
  <c r="L36" s="1"/>
  <c r="F44" i="76"/>
  <c r="I23" i="61" s="1"/>
  <c r="I67" s="1"/>
  <c r="F42" i="76"/>
  <c r="H50" i="40" s="1"/>
  <c r="F41" i="76"/>
  <c r="H48" i="40"/>
  <c r="F40" i="76"/>
  <c r="I35" i="61" s="1"/>
  <c r="E53" i="76"/>
  <c r="H56"/>
  <c r="H21"/>
  <c r="G10" i="77"/>
  <c r="L38" i="61"/>
  <c r="W43"/>
  <c r="W37"/>
  <c r="W38"/>
  <c r="L46"/>
  <c r="L20"/>
  <c r="L22"/>
  <c r="L24"/>
  <c r="L25"/>
  <c r="L28"/>
  <c r="L29"/>
  <c r="L30"/>
  <c r="L31"/>
  <c r="L32"/>
  <c r="W28"/>
  <c r="W29"/>
  <c r="W30"/>
  <c r="W31"/>
  <c r="W32"/>
  <c r="W33"/>
  <c r="W45"/>
  <c r="W12"/>
  <c r="W13"/>
  <c r="W9"/>
  <c r="W18"/>
  <c r="W17" s="1"/>
  <c r="W19"/>
  <c r="W20"/>
  <c r="W21"/>
  <c r="W22"/>
  <c r="W23"/>
  <c r="I40"/>
  <c r="L40" s="1"/>
  <c r="L51"/>
  <c r="W7"/>
  <c r="L34"/>
  <c r="H6" i="2"/>
  <c r="H22"/>
  <c r="H9"/>
  <c r="Q22"/>
  <c r="Q12" s="1"/>
  <c r="Q10"/>
  <c r="Q4"/>
  <c r="Q40"/>
  <c r="H105"/>
  <c r="H92"/>
  <c r="H90"/>
  <c r="J229" i="40" s="1"/>
  <c r="G6" i="2"/>
  <c r="G9"/>
  <c r="P22"/>
  <c r="P40"/>
  <c r="G53"/>
  <c r="H43"/>
  <c r="H45"/>
  <c r="P34"/>
  <c r="G108" s="1"/>
  <c r="W42" i="61"/>
  <c r="H30" i="2"/>
  <c r="J72" s="1"/>
  <c r="H98"/>
  <c r="H95" s="1"/>
  <c r="H18"/>
  <c r="H94" s="1"/>
  <c r="Q30"/>
  <c r="J108"/>
  <c r="L89" i="45" s="1"/>
  <c r="I106" i="2"/>
  <c r="I104" s="1"/>
  <c r="G92"/>
  <c r="G90"/>
  <c r="I101"/>
  <c r="L39" i="61"/>
  <c r="W10"/>
  <c r="L52"/>
  <c r="L41"/>
  <c r="L42"/>
  <c r="L47"/>
  <c r="L48"/>
  <c r="K69" i="70"/>
  <c r="K55" i="71"/>
  <c r="K64" i="70"/>
  <c r="K85"/>
  <c r="J73" i="2"/>
  <c r="H73" s="1"/>
  <c r="F73" s="1"/>
  <c r="I71"/>
  <c r="G71" s="1"/>
  <c r="G40"/>
  <c r="H40"/>
  <c r="P75"/>
  <c r="P74"/>
  <c r="Q75"/>
  <c r="Q74"/>
  <c r="F14" i="69"/>
  <c r="F14" i="68"/>
  <c r="F15" i="66"/>
  <c r="G22"/>
  <c r="D29"/>
  <c r="G25"/>
  <c r="G26"/>
  <c r="G27"/>
  <c r="G28"/>
  <c r="F29"/>
  <c r="F44"/>
  <c r="I85" i="61"/>
  <c r="I87"/>
  <c r="I71"/>
  <c r="I72"/>
  <c r="I74"/>
  <c r="G43" i="2"/>
  <c r="K36" i="58"/>
  <c r="K37"/>
  <c r="K39"/>
  <c r="K40"/>
  <c r="K41"/>
  <c r="K42"/>
  <c r="G35"/>
  <c r="G43" s="1"/>
  <c r="G51" s="1"/>
  <c r="G59" s="1"/>
  <c r="E43"/>
  <c r="H35"/>
  <c r="H43" s="1"/>
  <c r="H51" s="1"/>
  <c r="H59" s="1"/>
  <c r="H206" i="40"/>
  <c r="J53" i="61"/>
  <c r="T98"/>
  <c r="T49"/>
  <c r="R11"/>
  <c r="R6" s="1"/>
  <c r="R5" s="1"/>
  <c r="I27"/>
  <c r="P50" i="2"/>
  <c r="I73"/>
  <c r="G73" s="1"/>
  <c r="I75"/>
  <c r="G75" s="1"/>
  <c r="T79" i="61"/>
  <c r="T76"/>
  <c r="J72"/>
  <c r="L37" i="45"/>
  <c r="L40" s="1"/>
  <c r="L153" i="40"/>
  <c r="L154" s="1"/>
  <c r="L39"/>
  <c r="J75" i="45"/>
  <c r="J74"/>
  <c r="L74"/>
  <c r="L77" s="1"/>
  <c r="L63"/>
  <c r="L62"/>
  <c r="L7"/>
  <c r="L14" s="1"/>
  <c r="L230" i="40"/>
  <c r="J212"/>
  <c r="J214" s="1"/>
  <c r="L212"/>
  <c r="L214" s="1"/>
  <c r="J195"/>
  <c r="J197" s="1"/>
  <c r="L195"/>
  <c r="L197" s="1"/>
  <c r="J161"/>
  <c r="J163" s="1"/>
  <c r="L161"/>
  <c r="L163" s="1"/>
  <c r="L107"/>
  <c r="L109" s="1"/>
  <c r="L6"/>
  <c r="L9" s="1"/>
  <c r="I43" i="2"/>
  <c r="I45"/>
  <c r="I30"/>
  <c r="I6"/>
  <c r="I13"/>
  <c r="I22"/>
  <c r="I9"/>
  <c r="R22"/>
  <c r="R12" s="1"/>
  <c r="R30"/>
  <c r="R40"/>
  <c r="S22"/>
  <c r="S12" s="1"/>
  <c r="S10"/>
  <c r="S4" s="1"/>
  <c r="S33"/>
  <c r="S30"/>
  <c r="J30"/>
  <c r="J6"/>
  <c r="J13"/>
  <c r="J18"/>
  <c r="J94" s="1"/>
  <c r="J9"/>
  <c r="Y16" i="61"/>
  <c r="W24"/>
  <c r="W25"/>
  <c r="W46"/>
  <c r="W47"/>
  <c r="W48"/>
  <c r="W50"/>
  <c r="W51"/>
  <c r="W52"/>
  <c r="J60"/>
  <c r="U60"/>
  <c r="U64"/>
  <c r="J71"/>
  <c r="J74"/>
  <c r="U76"/>
  <c r="U79"/>
  <c r="U82" s="1"/>
  <c r="J85"/>
  <c r="J87"/>
  <c r="J96"/>
  <c r="U98"/>
  <c r="U102" s="1"/>
  <c r="I110" i="58"/>
  <c r="H110"/>
  <c r="G110"/>
  <c r="F110"/>
  <c r="E110"/>
  <c r="K109"/>
  <c r="K108"/>
  <c r="K107"/>
  <c r="K106"/>
  <c r="J105"/>
  <c r="J110" s="1"/>
  <c r="K103"/>
  <c r="K104"/>
  <c r="K101"/>
  <c r="K100"/>
  <c r="K99"/>
  <c r="K98"/>
  <c r="K97"/>
  <c r="K96"/>
  <c r="K95"/>
  <c r="K93"/>
  <c r="K92"/>
  <c r="J110" i="45"/>
  <c r="L106"/>
  <c r="J106"/>
  <c r="L110"/>
  <c r="L109"/>
  <c r="L108"/>
  <c r="L54"/>
  <c r="I12" i="2"/>
  <c r="R50"/>
  <c r="R7"/>
  <c r="R10" s="1"/>
  <c r="R4" s="1"/>
  <c r="I92"/>
  <c r="I91"/>
  <c r="I74"/>
  <c r="G74" s="1"/>
  <c r="I72"/>
  <c r="I70"/>
  <c r="I53"/>
  <c r="I60" s="1"/>
  <c r="I40"/>
  <c r="I21"/>
  <c r="I18" s="1"/>
  <c r="I17"/>
  <c r="J90"/>
  <c r="J89"/>
  <c r="J96"/>
  <c r="J97"/>
  <c r="J98"/>
  <c r="J25"/>
  <c r="J22" s="1"/>
  <c r="J99" s="1"/>
  <c r="J9" i="6"/>
  <c r="S40" i="2"/>
  <c r="H42" i="48"/>
  <c r="J60" i="2"/>
  <c r="C6" i="48"/>
  <c r="H50" s="1"/>
  <c r="H23"/>
  <c r="C52"/>
  <c r="C18"/>
  <c r="L335" i="40"/>
  <c r="J335"/>
  <c r="L324"/>
  <c r="J324"/>
  <c r="L314"/>
  <c r="J314"/>
  <c r="J76"/>
  <c r="J154"/>
  <c r="L52"/>
  <c r="L76"/>
  <c r="L85"/>
  <c r="L96"/>
  <c r="L179"/>
  <c r="L342"/>
  <c r="L351"/>
  <c r="L361"/>
  <c r="L370"/>
  <c r="J52"/>
  <c r="J85"/>
  <c r="J96"/>
  <c r="J342"/>
  <c r="J351"/>
  <c r="J361"/>
  <c r="J370"/>
  <c r="L206"/>
  <c r="J204"/>
  <c r="J206" s="1"/>
  <c r="Q50" i="2"/>
  <c r="J106"/>
  <c r="J92"/>
  <c r="J91"/>
  <c r="J45"/>
  <c r="L417" i="40"/>
  <c r="J417"/>
  <c r="L406"/>
  <c r="J406"/>
  <c r="L395"/>
  <c r="J395"/>
  <c r="L384"/>
  <c r="J384"/>
  <c r="N54" i="2"/>
  <c r="F39" i="37"/>
  <c r="G39"/>
  <c r="H39"/>
  <c r="I39"/>
  <c r="J39"/>
  <c r="F40"/>
  <c r="G40"/>
  <c r="H40"/>
  <c r="I40"/>
  <c r="J40"/>
  <c r="F41"/>
  <c r="G41"/>
  <c r="H41"/>
  <c r="I41"/>
  <c r="F42"/>
  <c r="G42"/>
  <c r="H42"/>
  <c r="I42"/>
  <c r="J42"/>
  <c r="F43"/>
  <c r="G43"/>
  <c r="H43"/>
  <c r="I43"/>
  <c r="J43"/>
  <c r="F44"/>
  <c r="G44"/>
  <c r="H44"/>
  <c r="I44"/>
  <c r="J44"/>
  <c r="E39"/>
  <c r="K39" s="1"/>
  <c r="E40"/>
  <c r="K40" s="1"/>
  <c r="E41"/>
  <c r="K41" s="1"/>
  <c r="E42"/>
  <c r="K42" s="1"/>
  <c r="E43"/>
  <c r="K43" s="1"/>
  <c r="E44"/>
  <c r="K44" s="1"/>
  <c r="E37"/>
  <c r="E31"/>
  <c r="K31" s="1"/>
  <c r="F31"/>
  <c r="G31"/>
  <c r="H31"/>
  <c r="I31"/>
  <c r="J31"/>
  <c r="E32"/>
  <c r="K32" s="1"/>
  <c r="F32"/>
  <c r="G32"/>
  <c r="H32"/>
  <c r="I32"/>
  <c r="J32"/>
  <c r="E33"/>
  <c r="K33"/>
  <c r="F33"/>
  <c r="G33"/>
  <c r="H33"/>
  <c r="I33"/>
  <c r="J33"/>
  <c r="E34"/>
  <c r="K34" s="1"/>
  <c r="F34"/>
  <c r="G34"/>
  <c r="H34"/>
  <c r="I34"/>
  <c r="J34"/>
  <c r="E35"/>
  <c r="K35" s="1"/>
  <c r="F35"/>
  <c r="G35"/>
  <c r="H35"/>
  <c r="I35"/>
  <c r="J35"/>
  <c r="E36"/>
  <c r="K36" s="1"/>
  <c r="F36"/>
  <c r="G36"/>
  <c r="H36"/>
  <c r="I36"/>
  <c r="J36"/>
  <c r="F37"/>
  <c r="G37"/>
  <c r="H37"/>
  <c r="I37"/>
  <c r="J37"/>
  <c r="F28"/>
  <c r="F30" s="1"/>
  <c r="F38" s="1"/>
  <c r="F45" s="1"/>
  <c r="G28"/>
  <c r="G30" s="1"/>
  <c r="G38" s="1"/>
  <c r="G45" s="1"/>
  <c r="H28"/>
  <c r="I28"/>
  <c r="J28"/>
  <c r="E28"/>
  <c r="K28" s="1"/>
  <c r="F27"/>
  <c r="G27"/>
  <c r="H27"/>
  <c r="H30"/>
  <c r="H38" s="1"/>
  <c r="H45" s="1"/>
  <c r="I27"/>
  <c r="I30"/>
  <c r="I38" s="1"/>
  <c r="I45" s="1"/>
  <c r="O38"/>
  <c r="O45"/>
  <c r="N38"/>
  <c r="N45" s="1"/>
  <c r="K29"/>
  <c r="I14"/>
  <c r="F14"/>
  <c r="E14"/>
  <c r="J13"/>
  <c r="J12"/>
  <c r="J9"/>
  <c r="J40" i="2"/>
  <c r="L8" i="6"/>
  <c r="M8" s="1"/>
  <c r="K9"/>
  <c r="K10"/>
  <c r="K11"/>
  <c r="K12"/>
  <c r="K13"/>
  <c r="K14"/>
  <c r="K15"/>
  <c r="K16"/>
  <c r="K17"/>
  <c r="K18"/>
  <c r="K19"/>
  <c r="K20"/>
  <c r="K21"/>
  <c r="B9"/>
  <c r="B10" s="1"/>
  <c r="B11" s="1"/>
  <c r="B12" s="1"/>
  <c r="B13" s="1"/>
  <c r="B14" s="1"/>
  <c r="B15" s="1"/>
  <c r="B16" s="1"/>
  <c r="B17" s="1"/>
  <c r="B18" s="1"/>
  <c r="B19" s="1"/>
  <c r="B20" s="1"/>
  <c r="B21" s="1"/>
  <c r="J10"/>
  <c r="L10"/>
  <c r="J11"/>
  <c r="L11" s="1"/>
  <c r="J12"/>
  <c r="J13"/>
  <c r="J14"/>
  <c r="L14" s="1"/>
  <c r="J15"/>
  <c r="L15" s="1"/>
  <c r="J16"/>
  <c r="L16" s="1"/>
  <c r="J17"/>
  <c r="L17" s="1"/>
  <c r="J18"/>
  <c r="J19"/>
  <c r="L19"/>
  <c r="J20"/>
  <c r="L20" s="1"/>
  <c r="J21"/>
  <c r="L21" s="1"/>
  <c r="E22"/>
  <c r="F22"/>
  <c r="H22"/>
  <c r="I22"/>
  <c r="H71" i="2"/>
  <c r="J74"/>
  <c r="H74" s="1"/>
  <c r="F74" s="1"/>
  <c r="J75"/>
  <c r="J27" i="37"/>
  <c r="J30"/>
  <c r="J38" s="1"/>
  <c r="J45" s="1"/>
  <c r="E27"/>
  <c r="E30" s="1"/>
  <c r="E38" s="1"/>
  <c r="E45" s="1"/>
  <c r="L229" i="40"/>
  <c r="J41" i="37"/>
  <c r="J107" i="2"/>
  <c r="H7" i="37"/>
  <c r="H10" s="1"/>
  <c r="G10" s="1"/>
  <c r="G14" s="1"/>
  <c r="L220" i="40"/>
  <c r="L223" s="1"/>
  <c r="H11" i="37"/>
  <c r="J11" s="1"/>
  <c r="W49" i="61"/>
  <c r="J69"/>
  <c r="J63"/>
  <c r="E28" i="43"/>
  <c r="Y17" i="61"/>
  <c r="T11"/>
  <c r="J54" i="45"/>
  <c r="U71" i="61"/>
  <c r="U75" s="1"/>
  <c r="J94"/>
  <c r="H108" i="2"/>
  <c r="H13"/>
  <c r="W14" i="61"/>
  <c r="J101" i="45"/>
  <c r="J220" i="40"/>
  <c r="J223" s="1"/>
  <c r="J43" i="58"/>
  <c r="Z36" i="61"/>
  <c r="X14"/>
  <c r="G53" i="59" s="1"/>
  <c r="U53" i="61"/>
  <c r="K38" i="58"/>
  <c r="E20" i="43"/>
  <c r="E22" s="1"/>
  <c r="G46" i="2"/>
  <c r="G45" s="1"/>
  <c r="J9" i="40"/>
  <c r="Y44" i="61"/>
  <c r="J109" i="40"/>
  <c r="H154"/>
  <c r="L18" i="6"/>
  <c r="T8" i="61"/>
  <c r="E15" i="66"/>
  <c r="I96" i="70" s="1"/>
  <c r="H170" i="40"/>
  <c r="H74"/>
  <c r="H76" s="1"/>
  <c r="H93" i="61"/>
  <c r="H98"/>
  <c r="K98" s="1"/>
  <c r="K100" s="1"/>
  <c r="H45"/>
  <c r="H44"/>
  <c r="L92"/>
  <c r="L91"/>
  <c r="H105" i="40"/>
  <c r="I96" i="61"/>
  <c r="I100" s="1"/>
  <c r="F15" i="2"/>
  <c r="F98" s="1"/>
  <c r="F63" i="45" s="1"/>
  <c r="F16" i="2"/>
  <c r="F97" s="1"/>
  <c r="F62" i="45" s="1"/>
  <c r="F23" i="2"/>
  <c r="T94" i="61"/>
  <c r="W94" s="1"/>
  <c r="F188" i="40"/>
  <c r="F189" s="1"/>
  <c r="I9" i="68"/>
  <c r="I18" i="61"/>
  <c r="L18" s="1"/>
  <c r="L9" i="6"/>
  <c r="L98" i="61"/>
  <c r="L100" s="1"/>
  <c r="E28" i="77"/>
  <c r="E50" s="1"/>
  <c r="H33" i="45"/>
  <c r="J84" i="70"/>
  <c r="D50" i="77"/>
  <c r="S94" i="61"/>
  <c r="V94" s="1"/>
  <c r="F50" i="42"/>
  <c r="S42" i="61"/>
  <c r="W34"/>
  <c r="T15"/>
  <c r="K9" i="68"/>
  <c r="L50" i="61"/>
  <c r="T27"/>
  <c r="G21" i="2"/>
  <c r="G54" s="1"/>
  <c r="I37" i="61"/>
  <c r="I66" s="1"/>
  <c r="K66" s="1"/>
  <c r="H28" i="76"/>
  <c r="H19" i="61"/>
  <c r="H16"/>
  <c r="F21" i="2"/>
  <c r="E11" i="43" s="1"/>
  <c r="F105" i="2"/>
  <c r="Z16" i="58"/>
  <c r="AA16" s="1"/>
  <c r="Z19"/>
  <c r="I109" i="2"/>
  <c r="L105" i="45" s="1"/>
  <c r="T61" i="61"/>
  <c r="W61" s="1"/>
  <c r="G58" i="59" s="1"/>
  <c r="W36" i="61"/>
  <c r="G10" i="66"/>
  <c r="H106" i="40"/>
  <c r="L8" i="68"/>
  <c r="H195" i="40"/>
  <c r="H197" s="1"/>
  <c r="P7" i="2"/>
  <c r="P10" s="1"/>
  <c r="P4" s="1"/>
  <c r="H229" i="40" s="1"/>
  <c r="I64" i="70"/>
  <c r="F173" i="40"/>
  <c r="F18" i="2"/>
  <c r="W15" i="61"/>
  <c r="D56" i="77"/>
  <c r="J71" i="70" s="1"/>
  <c r="C18" i="84"/>
  <c r="C20"/>
  <c r="H5" i="2" l="1"/>
  <c r="H28" s="1"/>
  <c r="H36" s="1"/>
  <c r="M67"/>
  <c r="I111"/>
  <c r="I113" s="1"/>
  <c r="I121" s="1"/>
  <c r="G60"/>
  <c r="F37" i="42"/>
  <c r="J104" i="2"/>
  <c r="R29"/>
  <c r="H75"/>
  <c r="F75" s="1"/>
  <c r="I76"/>
  <c r="H101"/>
  <c r="L35" i="61"/>
  <c r="I65"/>
  <c r="T101"/>
  <c r="W101" s="1"/>
  <c r="W16"/>
  <c r="H220" i="40"/>
  <c r="P30" i="2"/>
  <c r="Q72" s="1"/>
  <c r="G106"/>
  <c r="H95" i="45" s="1"/>
  <c r="F89" i="2"/>
  <c r="O4"/>
  <c r="O28" s="1"/>
  <c r="F60" i="82"/>
  <c r="J60" s="1"/>
  <c r="F53" i="76"/>
  <c r="I56" s="1"/>
  <c r="H21" i="61"/>
  <c r="G12" i="59"/>
  <c r="H104" i="2"/>
  <c r="J233" i="40" s="1"/>
  <c r="G23" i="66"/>
  <c r="G29" s="1"/>
  <c r="J93" i="2"/>
  <c r="I44" i="61"/>
  <c r="L44" s="1"/>
  <c r="I21" i="76"/>
  <c r="H107" i="45"/>
  <c r="H54"/>
  <c r="S68" i="61"/>
  <c r="S86"/>
  <c r="D38" i="66"/>
  <c r="G38" s="1"/>
  <c r="F66" i="40"/>
  <c r="G26" i="77"/>
  <c r="G12" i="2" s="1"/>
  <c r="H14" i="37"/>
  <c r="F94" i="2"/>
  <c r="Q29"/>
  <c r="K27" i="37"/>
  <c r="K30" s="1"/>
  <c r="K38" s="1"/>
  <c r="K45" s="1"/>
  <c r="F14" i="2"/>
  <c r="E29" i="66"/>
  <c r="G27" i="2"/>
  <c r="T41" i="61"/>
  <c r="H10" i="77"/>
  <c r="E57" i="83"/>
  <c r="H12" i="82" s="1"/>
  <c r="H22" s="1"/>
  <c r="F45" i="2"/>
  <c r="AA19" i="58"/>
  <c r="G50" i="77"/>
  <c r="H15" i="61"/>
  <c r="H14" s="1"/>
  <c r="H5" s="1"/>
  <c r="D25" i="43"/>
  <c r="L13" i="6"/>
  <c r="K22"/>
  <c r="K43" i="58"/>
  <c r="K90" i="70"/>
  <c r="I94" i="61"/>
  <c r="F27" i="2"/>
  <c r="F22" s="1"/>
  <c r="F99" s="1"/>
  <c r="F106"/>
  <c r="F95" i="45" s="1"/>
  <c r="F101" s="1"/>
  <c r="L9" i="68"/>
  <c r="E37" i="66"/>
  <c r="E44" s="1"/>
  <c r="G7" i="68"/>
  <c r="G14" s="1"/>
  <c r="I8"/>
  <c r="L7"/>
  <c r="L11"/>
  <c r="S28" i="2"/>
  <c r="S36" s="1"/>
  <c r="I5"/>
  <c r="I28" s="1"/>
  <c r="I36" s="1"/>
  <c r="J230" i="40"/>
  <c r="F93" i="2"/>
  <c r="K84" i="61"/>
  <c r="F39" i="59" s="1"/>
  <c r="F85" i="40"/>
  <c r="F87" s="1"/>
  <c r="I76" i="61"/>
  <c r="F9" i="40"/>
  <c r="H9"/>
  <c r="L67" i="61"/>
  <c r="K67"/>
  <c r="J88"/>
  <c r="J103" s="1"/>
  <c r="J76"/>
  <c r="J80" s="1"/>
  <c r="J77" i="45"/>
  <c r="F40"/>
  <c r="L113"/>
  <c r="L115" s="1"/>
  <c r="L119" s="1"/>
  <c r="F77"/>
  <c r="L67"/>
  <c r="J67"/>
  <c r="H40"/>
  <c r="F54"/>
  <c r="H77"/>
  <c r="H66" i="40"/>
  <c r="H33" i="61"/>
  <c r="K92"/>
  <c r="S27"/>
  <c r="H179" i="40"/>
  <c r="J179"/>
  <c r="F52"/>
  <c r="K105" i="58"/>
  <c r="K110" s="1"/>
  <c r="K62" i="59"/>
  <c r="K64" s="1"/>
  <c r="K71" s="1"/>
  <c r="K72" s="1"/>
  <c r="T60" i="61"/>
  <c r="K65"/>
  <c r="F27" i="59" s="1"/>
  <c r="L65" i="61"/>
  <c r="G27" i="59" s="1"/>
  <c r="V98" i="61"/>
  <c r="H134" i="40"/>
  <c r="H135" s="1"/>
  <c r="H188"/>
  <c r="H189" s="1"/>
  <c r="W11" i="61"/>
  <c r="F229" i="40"/>
  <c r="V86" i="61"/>
  <c r="F57" i="59"/>
  <c r="L94" i="61"/>
  <c r="G43" i="59" s="1"/>
  <c r="J69" i="70"/>
  <c r="J14" i="68"/>
  <c r="J64" i="70"/>
  <c r="H119" i="40"/>
  <c r="H121" s="1"/>
  <c r="L12" i="68"/>
  <c r="L14" s="1"/>
  <c r="H14"/>
  <c r="K12"/>
  <c r="L103" i="61"/>
  <c r="L23"/>
  <c r="L21" s="1"/>
  <c r="K93"/>
  <c r="H107" i="40"/>
  <c r="H109" s="1"/>
  <c r="H52"/>
  <c r="S61" i="61"/>
  <c r="O30" i="2"/>
  <c r="M72" s="1"/>
  <c r="H72" s="1"/>
  <c r="I69" i="70"/>
  <c r="I90" s="1"/>
  <c r="K91" i="61"/>
  <c r="H43"/>
  <c r="C28" i="84"/>
  <c r="T64" i="61"/>
  <c r="S67"/>
  <c r="I21"/>
  <c r="W83"/>
  <c r="W86" s="1"/>
  <c r="L231" i="40"/>
  <c r="T86" i="61"/>
  <c r="J231" i="40"/>
  <c r="V66" i="61"/>
  <c r="F30" i="59" s="1"/>
  <c r="K11" i="68"/>
  <c r="W64" i="61"/>
  <c r="I88"/>
  <c r="I103" s="1"/>
  <c r="L27"/>
  <c r="G28" i="59" s="1"/>
  <c r="H76" i="61"/>
  <c r="L49"/>
  <c r="F53" i="59"/>
  <c r="H69" i="61"/>
  <c r="Y18"/>
  <c r="W27"/>
  <c r="H88"/>
  <c r="L66"/>
  <c r="F31" i="59"/>
  <c r="G30"/>
  <c r="G93" i="2"/>
  <c r="J70"/>
  <c r="J76" s="1"/>
  <c r="L14" i="61"/>
  <c r="I69"/>
  <c r="F171" i="40"/>
  <c r="F179" s="1"/>
  <c r="I49" i="61"/>
  <c r="I79"/>
  <c r="G22" i="2"/>
  <c r="G99" s="1"/>
  <c r="P73"/>
  <c r="P12"/>
  <c r="P28" s="1"/>
  <c r="G105"/>
  <c r="K7" i="68"/>
  <c r="M7"/>
  <c r="M14" s="1"/>
  <c r="W60" i="61"/>
  <c r="I14"/>
  <c r="Z27" i="58"/>
  <c r="Z35" s="1"/>
  <c r="H49" i="61"/>
  <c r="H96"/>
  <c r="H100" s="1"/>
  <c r="F119" i="40"/>
  <c r="F121" s="1"/>
  <c r="G44" i="59"/>
  <c r="F74" i="40"/>
  <c r="F76" s="1"/>
  <c r="S35" i="61"/>
  <c r="G89" i="2"/>
  <c r="G52" i="77"/>
  <c r="G54" s="1"/>
  <c r="F54" i="2"/>
  <c r="F107" i="40"/>
  <c r="F109" s="1"/>
  <c r="H59" i="61"/>
  <c r="H94"/>
  <c r="J22" i="6"/>
  <c r="O73" i="2"/>
  <c r="W39" i="61"/>
  <c r="T35"/>
  <c r="T26" s="1"/>
  <c r="J7" i="37"/>
  <c r="L12" i="6"/>
  <c r="W98" i="61"/>
  <c r="I10" i="77"/>
  <c r="H161" i="40"/>
  <c r="H163" s="1"/>
  <c r="T67" i="61"/>
  <c r="W40"/>
  <c r="T70"/>
  <c r="W44"/>
  <c r="L37"/>
  <c r="L33" s="1"/>
  <c r="I33"/>
  <c r="X66"/>
  <c r="S99"/>
  <c r="T99"/>
  <c r="J46" i="58"/>
  <c r="E49"/>
  <c r="K49" s="1"/>
  <c r="T6" i="61"/>
  <c r="T5" s="1"/>
  <c r="W8"/>
  <c r="W6" s="1"/>
  <c r="W5" s="1"/>
  <c r="L98" i="45"/>
  <c r="L101" s="1"/>
  <c r="L233" i="40"/>
  <c r="G96" i="2"/>
  <c r="G13"/>
  <c r="F7" i="45"/>
  <c r="F14" s="1"/>
  <c r="G57" i="59"/>
  <c r="G60" s="1"/>
  <c r="G18" i="2"/>
  <c r="G94" s="1"/>
  <c r="F55" i="83"/>
  <c r="J10" i="37"/>
  <c r="H109" i="2"/>
  <c r="H111" s="1"/>
  <c r="F44" i="59"/>
  <c r="F107" i="45"/>
  <c r="G15" i="66"/>
  <c r="J5" i="2"/>
  <c r="J28" s="1"/>
  <c r="J36" s="1"/>
  <c r="U86" i="61"/>
  <c r="U88" s="1"/>
  <c r="U105" s="1"/>
  <c r="M9" i="6"/>
  <c r="J95" i="2"/>
  <c r="J109" s="1"/>
  <c r="J111" s="1"/>
  <c r="R28"/>
  <c r="T82" i="61"/>
  <c r="Q28" i="2"/>
  <c r="H37" i="40"/>
  <c r="H39" s="1"/>
  <c r="AA24" i="58"/>
  <c r="D42" i="66"/>
  <c r="G42" s="1"/>
  <c r="G30" i="2"/>
  <c r="X27" i="58"/>
  <c r="K10" i="68"/>
  <c r="D46" i="42"/>
  <c r="I45" i="61"/>
  <c r="I10" i="68"/>
  <c r="G27" i="81"/>
  <c r="G28" s="1"/>
  <c r="K76" i="61"/>
  <c r="F72" i="2" l="1"/>
  <c r="J236" i="40"/>
  <c r="F104" i="2"/>
  <c r="G37" i="66"/>
  <c r="G44" s="1"/>
  <c r="H223" i="40"/>
  <c r="F31" i="42"/>
  <c r="T68" i="61"/>
  <c r="W41"/>
  <c r="I14" i="68"/>
  <c r="S26" i="61"/>
  <c r="I12" i="82"/>
  <c r="S16" i="61" s="1"/>
  <c r="S101" s="1"/>
  <c r="F96" i="2"/>
  <c r="F13"/>
  <c r="F5" s="1"/>
  <c r="G104"/>
  <c r="H90" i="45"/>
  <c r="H101" s="1"/>
  <c r="O36" i="2"/>
  <c r="D6" i="42" s="1"/>
  <c r="F6" s="1"/>
  <c r="V67" i="61"/>
  <c r="G31" i="59"/>
  <c r="H26" i="61"/>
  <c r="H53" s="1"/>
  <c r="K60" i="82" s="1"/>
  <c r="L236" i="40"/>
  <c r="G46" i="59"/>
  <c r="I5" i="61"/>
  <c r="L5"/>
  <c r="J105"/>
  <c r="J107" s="1"/>
  <c r="S64"/>
  <c r="V61"/>
  <c r="S60"/>
  <c r="J90" i="70"/>
  <c r="G5" i="2"/>
  <c r="H230" i="40" s="1"/>
  <c r="H231" s="1"/>
  <c r="M70" i="2"/>
  <c r="M76" s="1"/>
  <c r="L69" i="61"/>
  <c r="T53"/>
  <c r="O29" i="2"/>
  <c r="K94" i="61"/>
  <c r="E58" i="83"/>
  <c r="E59" s="1"/>
  <c r="K69" i="61"/>
  <c r="W35"/>
  <c r="W26" s="1"/>
  <c r="W53" s="1"/>
  <c r="H103"/>
  <c r="J42" i="2"/>
  <c r="J50"/>
  <c r="X35" i="58"/>
  <c r="AA35" s="1"/>
  <c r="AA41" s="1"/>
  <c r="AA27"/>
  <c r="K46"/>
  <c r="K51" s="1"/>
  <c r="J51"/>
  <c r="J54"/>
  <c r="K54" s="1"/>
  <c r="H70" i="2"/>
  <c r="H76" s="1"/>
  <c r="W67" i="61"/>
  <c r="F67" i="59"/>
  <c r="H63" i="61"/>
  <c r="H80" s="1"/>
  <c r="P36" i="2"/>
  <c r="Q70"/>
  <c r="F46" i="42"/>
  <c r="D45"/>
  <c r="D44" i="66"/>
  <c r="G95" i="2"/>
  <c r="H61" i="45"/>
  <c r="H67" s="1"/>
  <c r="F212" i="40"/>
  <c r="F214" s="1"/>
  <c r="E17" i="43"/>
  <c r="V99" i="61"/>
  <c r="H233" i="40"/>
  <c r="L79" i="61"/>
  <c r="K79"/>
  <c r="J14" i="37"/>
  <c r="X44" i="61"/>
  <c r="J101" i="2"/>
  <c r="J10" i="70"/>
  <c r="H7" i="45"/>
  <c r="H14" s="1"/>
  <c r="S71" i="61"/>
  <c r="R36" i="2"/>
  <c r="R42" s="1"/>
  <c r="R43" s="1"/>
  <c r="I29"/>
  <c r="J104" i="45"/>
  <c r="J113" s="1"/>
  <c r="J115" s="1"/>
  <c r="J119" s="1"/>
  <c r="L45" i="61"/>
  <c r="L43" s="1"/>
  <c r="L26" s="1"/>
  <c r="I59"/>
  <c r="I43"/>
  <c r="I26" s="1"/>
  <c r="I53" s="1"/>
  <c r="T54" s="1"/>
  <c r="P72" i="2"/>
  <c r="G72" s="1"/>
  <c r="P29"/>
  <c r="Q36"/>
  <c r="Q42" s="1"/>
  <c r="J67"/>
  <c r="V28"/>
  <c r="H29"/>
  <c r="N9" i="6"/>
  <c r="W99" i="61"/>
  <c r="W102" s="1"/>
  <c r="H212" i="40"/>
  <c r="H214" s="1"/>
  <c r="T102" i="61"/>
  <c r="X70"/>
  <c r="W70"/>
  <c r="V70"/>
  <c r="F60" i="2"/>
  <c r="F23" i="42"/>
  <c r="D9" i="43"/>
  <c r="B9" i="84"/>
  <c r="E51" i="58"/>
  <c r="E59" s="1"/>
  <c r="K14" i="68"/>
  <c r="I10" i="70" l="1"/>
  <c r="I8" s="1"/>
  <c r="G109" i="2"/>
  <c r="G111" s="1"/>
  <c r="H104" i="45" s="1"/>
  <c r="H113" s="1"/>
  <c r="H115" s="1"/>
  <c r="G28" i="2"/>
  <c r="P70" s="1"/>
  <c r="G70" s="1"/>
  <c r="G76" s="1"/>
  <c r="F233" i="40"/>
  <c r="F61" i="45"/>
  <c r="F67" s="1"/>
  <c r="F95" i="2"/>
  <c r="F101" s="1"/>
  <c r="F220" i="40"/>
  <c r="F223" s="1"/>
  <c r="I22" i="82"/>
  <c r="W68" i="61"/>
  <c r="X68"/>
  <c r="V68"/>
  <c r="V71" s="1"/>
  <c r="F230" i="40"/>
  <c r="F231" s="1"/>
  <c r="F28" i="2"/>
  <c r="S6" i="61"/>
  <c r="S5" s="1"/>
  <c r="S53" s="1"/>
  <c r="X71"/>
  <c r="T71"/>
  <c r="T75" s="1"/>
  <c r="T88" s="1"/>
  <c r="I24" i="70"/>
  <c r="I25" s="1"/>
  <c r="F8" i="42"/>
  <c r="I42" i="2"/>
  <c r="I52" s="1"/>
  <c r="I61" s="1"/>
  <c r="I64" s="1"/>
  <c r="L53" i="61"/>
  <c r="H236" i="40"/>
  <c r="F43" i="59"/>
  <c r="F46" s="1"/>
  <c r="K103" i="61"/>
  <c r="V60"/>
  <c r="V64"/>
  <c r="F58" i="59"/>
  <c r="F60" s="1"/>
  <c r="G60" i="82"/>
  <c r="J22"/>
  <c r="S75" i="61"/>
  <c r="S88" s="1"/>
  <c r="H105"/>
  <c r="H106" s="1"/>
  <c r="T105"/>
  <c r="T55" s="1"/>
  <c r="G113" i="2"/>
  <c r="G10" i="59" s="1"/>
  <c r="G25" s="1"/>
  <c r="S54" i="61"/>
  <c r="Q43" i="2"/>
  <c r="H53"/>
  <c r="H60" s="1"/>
  <c r="J24" i="70"/>
  <c r="J8"/>
  <c r="F29" i="59"/>
  <c r="J52" i="2"/>
  <c r="J61" s="1"/>
  <c r="J64" s="1"/>
  <c r="J112" s="1"/>
  <c r="J113" s="1"/>
  <c r="J121" s="1"/>
  <c r="J43"/>
  <c r="J41"/>
  <c r="J65"/>
  <c r="F45" i="42"/>
  <c r="D63"/>
  <c r="Y70" i="61"/>
  <c r="G32" i="59"/>
  <c r="W71" i="61"/>
  <c r="W75" s="1"/>
  <c r="W88" s="1"/>
  <c r="W105" s="1"/>
  <c r="V101"/>
  <c r="V102" s="1"/>
  <c r="S102"/>
  <c r="N51" i="58"/>
  <c r="K59"/>
  <c r="C9" i="84"/>
  <c r="C13" s="1"/>
  <c r="B13"/>
  <c r="B14"/>
  <c r="Q76" i="2"/>
  <c r="H42"/>
  <c r="G101"/>
  <c r="O9" i="6"/>
  <c r="M10"/>
  <c r="J59" i="58"/>
  <c r="E9" i="43"/>
  <c r="G67" i="59"/>
  <c r="F63" s="1"/>
  <c r="K59" i="61"/>
  <c r="K63" s="1"/>
  <c r="K80" s="1"/>
  <c r="I63"/>
  <c r="I80" s="1"/>
  <c r="I105" s="1"/>
  <c r="I106" s="1"/>
  <c r="L59"/>
  <c r="L63" s="1"/>
  <c r="L80" s="1"/>
  <c r="L105" s="1"/>
  <c r="I65" i="2"/>
  <c r="I80" s="1"/>
  <c r="I81" s="1"/>
  <c r="G29" i="59"/>
  <c r="I50" i="2" l="1"/>
  <c r="P76"/>
  <c r="G36"/>
  <c r="G29"/>
  <c r="I41"/>
  <c r="F32" i="59"/>
  <c r="F236" i="40"/>
  <c r="F109" i="2"/>
  <c r="F111" s="1"/>
  <c r="F29"/>
  <c r="F36"/>
  <c r="D7" i="42" s="1"/>
  <c r="O70" i="2"/>
  <c r="K105" i="61"/>
  <c r="S105"/>
  <c r="S55" s="1"/>
  <c r="V75"/>
  <c r="V88" s="1"/>
  <c r="V105" s="1"/>
  <c r="F36" i="59"/>
  <c r="O10" i="6"/>
  <c r="N10"/>
  <c r="C15" i="84"/>
  <c r="E14" s="1"/>
  <c r="H119" i="45"/>
  <c r="H41" i="2"/>
  <c r="H65"/>
  <c r="H80" s="1"/>
  <c r="H81" s="1"/>
  <c r="H52"/>
  <c r="H61" s="1"/>
  <c r="H64" s="1"/>
  <c r="H112" s="1"/>
  <c r="H113" s="1"/>
  <c r="H121" s="1"/>
  <c r="H50"/>
  <c r="G36" i="59"/>
  <c r="G62" s="1"/>
  <c r="G64" s="1"/>
  <c r="G71" s="1"/>
  <c r="G72" s="1"/>
  <c r="G42" i="2" l="1"/>
  <c r="P42"/>
  <c r="F42"/>
  <c r="O42"/>
  <c r="O76"/>
  <c r="F70"/>
  <c r="F76" s="1"/>
  <c r="F113"/>
  <c r="F10" i="59" s="1"/>
  <c r="F25" s="1"/>
  <c r="F62" s="1"/>
  <c r="F64" s="1"/>
  <c r="F68" s="1"/>
  <c r="F104" i="45"/>
  <c r="F113" s="1"/>
  <c r="F115" s="1"/>
  <c r="F119" s="1"/>
  <c r="N52" i="2"/>
  <c r="H120"/>
  <c r="M11" i="6"/>
  <c r="G65" i="2" l="1"/>
  <c r="G80" s="1"/>
  <c r="G81" s="1"/>
  <c r="G50"/>
  <c r="G41"/>
  <c r="P43"/>
  <c r="G52"/>
  <c r="G61" s="1"/>
  <c r="O43"/>
  <c r="F52"/>
  <c r="F61" s="1"/>
  <c r="F65"/>
  <c r="F80" s="1"/>
  <c r="F81" s="1"/>
  <c r="F50"/>
  <c r="F41"/>
  <c r="D29" i="42"/>
  <c r="I91" i="70"/>
  <c r="F7" i="42"/>
  <c r="F29" s="1"/>
  <c r="F34" s="1"/>
  <c r="D10" i="43"/>
  <c r="N11" i="6"/>
  <c r="D15" i="43" l="1"/>
  <c r="E10"/>
  <c r="D16"/>
  <c r="M12" i="6"/>
  <c r="O11"/>
  <c r="E15" i="43" l="1"/>
  <c r="E16"/>
  <c r="O12" i="6"/>
  <c r="N12"/>
  <c r="M13" s="1"/>
  <c r="N13" l="1"/>
  <c r="M14" s="1"/>
  <c r="N14" l="1"/>
  <c r="M15" s="1"/>
  <c r="O13"/>
  <c r="O14" l="1"/>
  <c r="N15"/>
  <c r="M16" s="1"/>
  <c r="O15"/>
  <c r="N16" l="1"/>
  <c r="M17" s="1"/>
  <c r="O16" l="1"/>
  <c r="N17"/>
  <c r="O17" s="1"/>
  <c r="M18" l="1"/>
  <c r="O18" l="1"/>
  <c r="M19"/>
  <c r="M20" l="1"/>
  <c r="N19"/>
  <c r="O19" s="1"/>
  <c r="N20" l="1"/>
  <c r="N22" s="1"/>
  <c r="O20" l="1"/>
  <c r="M21"/>
</calcChain>
</file>

<file path=xl/comments1.xml><?xml version="1.0" encoding="utf-8"?>
<comments xmlns="http://schemas.openxmlformats.org/spreadsheetml/2006/main">
  <authors>
    <author>Albina-PC</author>
  </authors>
  <commentList>
    <comment ref="J59" authorId="0">
      <text>
        <r>
          <rPr>
            <b/>
            <sz val="8"/>
            <color indexed="81"/>
            <rFont val="Tahoma"/>
            <family val="2"/>
          </rPr>
          <t>Depozita ne banke+arke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Furnitore per blerje dhe sherbime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Sigurime shoqerore dhe te ngjashme + shteti - tatime dhe taksa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materiale te para dhe materiale te tjera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Inventari i imet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Konsumi i inv te imet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pjesmarrje dhe tituj te tjere financiare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te tjera kerkesa ortaket</t>
        </r>
      </text>
    </comment>
  </commentList>
</comments>
</file>

<file path=xl/comments2.xml><?xml version="1.0" encoding="utf-8"?>
<comments xmlns="http://schemas.openxmlformats.org/spreadsheetml/2006/main">
  <authors>
    <author>Albina-PC</author>
  </authors>
  <commentList>
    <comment ref="J89" authorId="0">
      <text>
        <r>
          <rPr>
            <b/>
            <sz val="9"/>
            <color indexed="81"/>
            <rFont val="Tahoma"/>
            <family val="2"/>
          </rPr>
          <t>Nga kryerja e sherbimeve+ te tjera shitje dhe sherbime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materiale te para dhe mat te tjera + furnitura nentrajtime dhe sherbime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tatim, taks e derdhje te ngjashme+ shpenzime te tjera rrjedhese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Trajtime dhe shperblime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Amortizim AQ + inv i imet</t>
        </r>
      </text>
    </comment>
  </commentList>
</comments>
</file>

<file path=xl/sharedStrings.xml><?xml version="1.0" encoding="utf-8"?>
<sst xmlns="http://schemas.openxmlformats.org/spreadsheetml/2006/main" count="2826" uniqueCount="1749">
  <si>
    <t>Efektet e ndryshimit të kurseve të këmbimit gjatë konsolidimit</t>
  </si>
  <si>
    <t>Transferime në rezervën e detyrueshme  statutore</t>
  </si>
  <si>
    <t>Transferime në rezervën e detyrueshme statutore</t>
  </si>
  <si>
    <t>Ndryshimi 2011</t>
  </si>
  <si>
    <t>Ndryshimi 11</t>
  </si>
  <si>
    <t>Totali i të ardhurave/i shpenzimeve, që nuk janë njohur në pasqyrën e të ardhurave &amp; shpenzimeve</t>
  </si>
  <si>
    <t>Totali i të ardhurave apo i shpenzimeve, qe nuk jane njohur në PASH</t>
  </si>
  <si>
    <t>ALL ‘000</t>
  </si>
  <si>
    <t>Prodhime ,punime ,sherbime ne proces(inv imet)</t>
  </si>
  <si>
    <t xml:space="preserve">       Provizion per zhvleres. e A qarkulluese(inv imet)</t>
  </si>
  <si>
    <t>Furnitore per fatura te pranuara</t>
  </si>
  <si>
    <t xml:space="preserve">      Totali</t>
  </si>
  <si>
    <t>E M E R T I M I</t>
  </si>
  <si>
    <t>Sipas  Bilancit</t>
  </si>
  <si>
    <t>Fiskale</t>
  </si>
  <si>
    <t>Totali  i të ardhurave</t>
  </si>
  <si>
    <t>Totali  i shpenzimeve</t>
  </si>
  <si>
    <t>Total shpenzimet e pazbritshme sipas ligjit (neni 21):</t>
  </si>
  <si>
    <t>[a] kosto e blerjes dhe e përmiresimit të tokës dhe të truallit</t>
  </si>
  <si>
    <t>[b] kosto e blerjes dhe e permiresimit per active objekt amortizimi</t>
  </si>
  <si>
    <t>[c] zmadhimi i kapitalit themeltar të shoqerisë ose kontributit të secilit person në ortakëri</t>
  </si>
  <si>
    <t>[ç] vlera e shperblimeve ne natyrë</t>
  </si>
  <si>
    <t>[d] kontributet vullnetare të pensioneve</t>
  </si>
  <si>
    <t>[dh] dividentet e deklaruar dhe ndarja e fitimit</t>
  </si>
  <si>
    <t>[e] interesat e paguara mbi interesin maksimal të kredisë të caktuar nga Banka e Shqiperisë</t>
  </si>
  <si>
    <t>[ë] gjobat, kamat-vonesat dhe kushtet e tjera penale</t>
  </si>
  <si>
    <t>[f] krijimi ose rritja e rezervave e fondeve të tjera</t>
  </si>
  <si>
    <t>Provizione  per zhvleresime (garanci te dhena)</t>
  </si>
  <si>
    <t xml:space="preserve">       Blerje gjate ushtrimit  (inv imet)</t>
  </si>
  <si>
    <t xml:space="preserve">       Ndryshim i gjendjes  (inv imet)</t>
  </si>
  <si>
    <t>[g] tatim mbi të ardhurat personale, akciza, tatimi mbi fitimin dhe tatimi mbi vleren e shtuar të zbritshme</t>
  </si>
  <si>
    <t>[gj] shpenzimet e përfaqësimit, pritje percjellje</t>
  </si>
  <si>
    <t>Te tjera gjendje inventari (konsumi inventarit të imët)</t>
  </si>
  <si>
    <t>Te tjera  kerkesa  (te tjera kerkesa ortaket)</t>
  </si>
  <si>
    <t>Personeli  dhe persona (te tjera kerkesa TVSH, Tat Fit)</t>
  </si>
  <si>
    <t>[h] shpenzimet e konsumit personal</t>
  </si>
  <si>
    <t>[i] shpenzime të cilat tejkalojnë kufijtë e përcaktuar me ligj</t>
  </si>
  <si>
    <t>[j] shpenzime për dhurata</t>
  </si>
  <si>
    <t>[k] çdo lloj shpenzimi, masa e te cilit nuk vertetohet me dokumenta</t>
  </si>
  <si>
    <t>[l] interesi i paguar kur huaja dhe parapagimet tejkalojne kater here kapitalin themelor</t>
  </si>
  <si>
    <t>[ll] nëse baza e amortizimit është një shumë negative</t>
  </si>
  <si>
    <t>[m] shpenzime për shërbime teknike, konsulence, manaxhim të palikujduara brënda periudhës tatimore</t>
  </si>
  <si>
    <t>[n] Amortizim nga rivleresimi i aktiveve të qendrueshme</t>
  </si>
  <si>
    <t>Rezultati i Vitit Ushtrimor:</t>
  </si>
  <si>
    <t xml:space="preserve"> - Humbja</t>
  </si>
  <si>
    <t xml:space="preserve"> - Fitimi</t>
  </si>
  <si>
    <t xml:space="preserve">Humbja për tu mbartur nga 1 vit me parë </t>
  </si>
  <si>
    <t xml:space="preserve">Humbja për tu mbartur nga 2 vite me parë   </t>
  </si>
  <si>
    <t xml:space="preserve">Humbja për tu mbartur nga 3 vite me parë   </t>
  </si>
  <si>
    <t>Shuma e humbjes për tu mbartur në vitin ushtrimor</t>
  </si>
  <si>
    <t>Shuma e humbjeve që nuk barten për efekt fiskal</t>
  </si>
  <si>
    <t xml:space="preserve">Fitimi i tatueshem </t>
  </si>
  <si>
    <t>Tatim fitimi i llogaritur</t>
  </si>
  <si>
    <t>Zbritje nga fitimi (rezervat ligjore)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</si>
  <si>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</si>
  <si>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</si>
  <si>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</si>
  <si>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</si>
  <si>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i llogaritur</t>
  </si>
  <si>
    <t>Nga shitja e mallrave (SMS)</t>
  </si>
  <si>
    <t>Te tjera shitje dhe sherbime ()</t>
  </si>
  <si>
    <t xml:space="preserve">       Te tjera (rivleres, pa dok, paga cash)</t>
  </si>
  <si>
    <t>Parapagime dhe shpenzime te shtyra ()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</si>
  <si>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</si>
  <si>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</t>
  </si>
  <si>
    <t xml:space="preserve">                 Llogaritja e Amortizimit</t>
  </si>
  <si>
    <t>Ne total  llogaritja  e amortizimit vjetor =(a+b+c+d )</t>
  </si>
  <si>
    <t>a.Ndertesa e makineri  afat gjate</t>
  </si>
  <si>
    <t>b.Aktive te patrupezuara</t>
  </si>
  <si>
    <t>c.Kompjuterat dhe sisteme informacioni</t>
  </si>
  <si>
    <t>d.Te gjitha aktivet e tjera te aktivitetit</t>
  </si>
  <si>
    <t>Tatimi i mbajtur ne burim ne zbatim te nenit 33</t>
  </si>
  <si>
    <t xml:space="preserve">(19)  Tatim fitimi </t>
  </si>
  <si>
    <t>PASQYRA  E FLUKSEVE MONETARE :</t>
  </si>
  <si>
    <t>Ne leke</t>
  </si>
  <si>
    <t>Fluksi  monetar  nga veprimtaria e shfrytezimit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</si>
  <si>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</si>
  <si>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</si>
  <si>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</si>
  <si>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</si>
  <si>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</si>
  <si>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</si>
  <si>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</si>
  <si>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</si>
  <si>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</si>
  <si>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 xml:space="preserve"> Rrimarje e shumave te  zhvleresimit te kredive dhe paradhenieve  (Llogari te arketueshme)</t>
  </si>
  <si>
    <t>Amortizimi I Aktiveve Afat gjate</t>
  </si>
  <si>
    <t>Te ardhura (Humbje) nga kembimet valutore</t>
  </si>
  <si>
    <t>Ndryshimet ne Flukset e MM nga aktiviteti I shfrytezimit</t>
  </si>
  <si>
    <t>Rritje/renie e kerkesave te arketueshme</t>
  </si>
  <si>
    <t>Rritje/renie e tepricave te inventarit</t>
  </si>
  <si>
    <t>Rritje/renie ne shpenzimet e shtyra</t>
  </si>
  <si>
    <t>Rritje/renie ne llogarite e furnitoreve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</si>
  <si>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</si>
  <si>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</si>
  <si>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</si>
  <si>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</si>
  <si>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</si>
  <si>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</si>
  <si>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</si>
  <si>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</si>
  <si>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</si>
  <si>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</si>
  <si>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</si>
  <si>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</si>
  <si>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</si>
  <si>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kapitalit aksioner</t>
  </si>
  <si>
    <t>Emetim I aksione preferenciale</t>
  </si>
  <si>
    <t>Pagesa e kostove te emetimit te kapitali aksioner</t>
  </si>
  <si>
    <t>Ctrl</t>
  </si>
  <si>
    <t>Te dala nga pakesimi I kapitali aksioner</t>
  </si>
  <si>
    <t>Rritje pakesim I detyrimeve te ortakeve</t>
  </si>
  <si>
    <t>Rritje pakesim I detyrimeve te qerase financiare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</si>
  <si>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</si>
  <si>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</si>
  <si>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</si>
  <si>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</si>
  <si>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</si>
  <si>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</si>
  <si>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</si>
  <si>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</si>
  <si>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</si>
  <si>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>Totale Spese non rocinosciute</t>
  </si>
  <si>
    <t>Humbje e mbartur</t>
  </si>
  <si>
    <t>Interesi</t>
  </si>
  <si>
    <t>Shpenzimet e pa zbritshme</t>
  </si>
  <si>
    <t>Altre</t>
  </si>
  <si>
    <t>Dhurata</t>
  </si>
  <si>
    <t xml:space="preserve">Provizione Kuotat Financiare </t>
  </si>
  <si>
    <t>Gjoba, penalitete</t>
  </si>
  <si>
    <t>Taksa te viteve te kaluara per automjetet</t>
  </si>
  <si>
    <t>Spese in Totale</t>
  </si>
  <si>
    <t>Spese non riconosciute</t>
  </si>
  <si>
    <t>Totali shpenzime te pa zbritshme</t>
  </si>
  <si>
    <t>Rezultati Fiskal</t>
  </si>
  <si>
    <t>Spese fiscali</t>
  </si>
  <si>
    <t>Tatim Fitimi</t>
  </si>
  <si>
    <r>
      <t>(23)  Parapagime (</t>
    </r>
    <r>
      <rPr>
        <b/>
        <sz val="10"/>
        <color indexed="10"/>
        <rFont val="Calibri"/>
        <family val="2"/>
      </rPr>
      <t>vjetor</t>
    </r>
    <r>
      <rPr>
        <b/>
        <sz val="10"/>
        <rFont val="Calibri"/>
        <family val="2"/>
      </rPr>
      <t>)</t>
    </r>
  </si>
  <si>
    <t xml:space="preserve">Mjete Monetare </t>
  </si>
  <si>
    <t>Llogari Kerkesa te Arketueshme</t>
  </si>
  <si>
    <t>Llogari Kerkesa te Tjera te Arketueshme</t>
  </si>
  <si>
    <t>Vlera ne Arke</t>
  </si>
  <si>
    <t>Shteti Tatime dhe Taksa</t>
  </si>
  <si>
    <t>Sigurimet Shoqerore</t>
  </si>
  <si>
    <t>LISTA E AQT 2008</t>
  </si>
  <si>
    <t>MAKINERI E PAJISJE PUNE</t>
  </si>
  <si>
    <t>Te ardhura nga reklamat</t>
  </si>
  <si>
    <t>Kuota shpenzime per t'u shperndare</t>
  </si>
  <si>
    <t>e amortizimit te legjislacionit fiskal ne fuqi 5%, 20% dhe 25 %.</t>
  </si>
  <si>
    <t xml:space="preserve">PAISJE INFORMATIKE </t>
  </si>
  <si>
    <t>emertimi</t>
  </si>
  <si>
    <t>vl fillestare</t>
  </si>
  <si>
    <t>Karroca pastrimi</t>
  </si>
  <si>
    <t>Hard disk hpd x 6100MT</t>
  </si>
  <si>
    <t>Monitor hp 17" TFT</t>
  </si>
  <si>
    <t>DVD writter</t>
  </si>
  <si>
    <t>UPS 650 RTAPC</t>
  </si>
  <si>
    <t>Scanner hp 3970</t>
  </si>
  <si>
    <t>Fax canon</t>
  </si>
  <si>
    <t>Printer hp laser 1160</t>
  </si>
  <si>
    <t>Printer hp deskjet 3745</t>
  </si>
  <si>
    <t>Progr fin alpha</t>
  </si>
  <si>
    <t>Fotokopje digital 16pm</t>
  </si>
  <si>
    <t>Programi Fin 5, karte hub 07</t>
  </si>
  <si>
    <t>Ups 07</t>
  </si>
  <si>
    <t>PAISJE ZYRE</t>
  </si>
  <si>
    <t>njesi qendrore agis 08</t>
  </si>
  <si>
    <t>njesi qendrore dell 08</t>
  </si>
  <si>
    <t>Tavoline L</t>
  </si>
  <si>
    <t>karte grafike per dell 08</t>
  </si>
  <si>
    <t>Tavoline mbledhje</t>
  </si>
  <si>
    <t>monitor samsung 17''  08</t>
  </si>
  <si>
    <t>Dollap 120 h</t>
  </si>
  <si>
    <t>monitor dell 19'' 08</t>
  </si>
  <si>
    <t>Karrike rrotulluese</t>
  </si>
  <si>
    <t>printer laser jet 08</t>
  </si>
  <si>
    <t>Karrike fikse</t>
  </si>
  <si>
    <t>Ventilator plastik</t>
  </si>
  <si>
    <t>Ventilator intern</t>
  </si>
  <si>
    <t>Tavoline off style</t>
  </si>
  <si>
    <t>Tabele white board</t>
  </si>
  <si>
    <t>Tabele white board 3600</t>
  </si>
  <si>
    <t>Frigorifer</t>
  </si>
  <si>
    <t>MJETE TRANSPORTI</t>
  </si>
  <si>
    <t>Pjanure</t>
  </si>
  <si>
    <t>Aspirator</t>
  </si>
  <si>
    <t>Mercedes Benz 163</t>
  </si>
  <si>
    <t>Etazher</t>
  </si>
  <si>
    <t>pompe uji 07</t>
  </si>
  <si>
    <t>Rafte per zyra</t>
  </si>
  <si>
    <t>amort, shpat, friks 07</t>
  </si>
  <si>
    <t>Grila zyra ing 07</t>
  </si>
  <si>
    <t>impiant, ped gazi, spruc, krik 07</t>
  </si>
  <si>
    <t>grila 08</t>
  </si>
  <si>
    <t>pompe larje xhami 07</t>
  </si>
  <si>
    <t>kabine dushi 08</t>
  </si>
  <si>
    <t>sedilje 07</t>
  </si>
  <si>
    <t>Rritje/renie ne llogarite e tjera te pagueshme AKTIV</t>
  </si>
  <si>
    <t>Rritje/renie ne llogarite e tjera te pagueshme PASIV</t>
  </si>
  <si>
    <t xml:space="preserve">REKLAME </t>
  </si>
  <si>
    <t>SHERB REALIZ IDENT</t>
  </si>
  <si>
    <t>61102</t>
  </si>
  <si>
    <t>SHPENZ AGJ DOG</t>
  </si>
  <si>
    <t>SHERBIM HAPSIR PUBLIC A1</t>
  </si>
  <si>
    <t xml:space="preserve">RREGJISTRIME </t>
  </si>
  <si>
    <t>61301</t>
  </si>
  <si>
    <t>QERA I</t>
  </si>
  <si>
    <t>613011</t>
  </si>
  <si>
    <t xml:space="preserve">ENERGJI ELEKT UJE </t>
  </si>
  <si>
    <t>61302</t>
  </si>
  <si>
    <t>QERA II</t>
  </si>
  <si>
    <t>MIREMB ZYRA</t>
  </si>
  <si>
    <t>MIREMB TEKNIK</t>
  </si>
  <si>
    <t>61801</t>
  </si>
  <si>
    <t>AGJENSI DOGANORE</t>
  </si>
  <si>
    <t>6321</t>
  </si>
  <si>
    <t>TAX DOG</t>
  </si>
  <si>
    <t>6381</t>
  </si>
  <si>
    <t>SIG AUTO</t>
  </si>
  <si>
    <t>6382</t>
  </si>
  <si>
    <t>SIG KOLATERALI</t>
  </si>
  <si>
    <t>6383</t>
  </si>
  <si>
    <t>SIG PERSONEL</t>
  </si>
  <si>
    <t>SHPENZ PERQINDJE REKL</t>
  </si>
  <si>
    <t>SHPENZIM PANJ</t>
  </si>
  <si>
    <t>SHPENZ TEKNIKE</t>
  </si>
  <si>
    <t>KOZMETIK VESHJE SPIKER</t>
  </si>
  <si>
    <t>SHPENZ MIREMB</t>
  </si>
  <si>
    <t>SHPENZ SANIT</t>
  </si>
  <si>
    <t>SHPENZ ADMIN</t>
  </si>
  <si>
    <t>Arka ne EUR</t>
  </si>
  <si>
    <t>53141</t>
  </si>
  <si>
    <t>ARKA LEKE</t>
  </si>
  <si>
    <t>BANKA CREDINS E</t>
  </si>
  <si>
    <t>BANKA CREDINS ALL</t>
  </si>
  <si>
    <t>INTESA SANPAOLO</t>
  </si>
  <si>
    <t>SHPENZ PERIUDH ARDH</t>
  </si>
  <si>
    <t>48601</t>
  </si>
  <si>
    <t>LLOG NE PRITJE</t>
  </si>
  <si>
    <t>DEB KRED SHQPT</t>
  </si>
  <si>
    <t>DEB KRED A.M</t>
  </si>
  <si>
    <t>TVSH e zbriteshme</t>
  </si>
  <si>
    <t>4455</t>
  </si>
  <si>
    <t>TVSH DOG</t>
  </si>
  <si>
    <t>4451</t>
  </si>
  <si>
    <t>AMORT MAKIN PAISJE ENERGJ</t>
  </si>
  <si>
    <t>AMORT PAISJE INFORMAT</t>
  </si>
  <si>
    <t>AMORT MOBILJE PAISJA ZYRE</t>
  </si>
  <si>
    <t>Per shpenzimet e  zhvillimit</t>
  </si>
  <si>
    <t>2803</t>
  </si>
  <si>
    <t>VEPRA  ARTI</t>
  </si>
  <si>
    <t>21881</t>
  </si>
  <si>
    <t>2183</t>
  </si>
  <si>
    <t>Shpenzime  te zhvillimit</t>
  </si>
  <si>
    <t>203</t>
  </si>
  <si>
    <t>INTESA SANPAOLO E</t>
  </si>
  <si>
    <t>DEB KRED FFM</t>
  </si>
  <si>
    <t>Shteti-TVSH e zbritshme</t>
  </si>
  <si>
    <t>4456</t>
  </si>
  <si>
    <t>Sigurime shoqerore dhe shendetsore</t>
  </si>
  <si>
    <t>431</t>
  </si>
  <si>
    <t xml:space="preserve">AMORT MAK PAISJE ENERGJ </t>
  </si>
  <si>
    <t>AMORT INSTAL TEKNIK SPEC</t>
  </si>
  <si>
    <t>AMORT INSTR VEGLA</t>
  </si>
  <si>
    <t>2818</t>
  </si>
  <si>
    <t>AMORT TE TJERA</t>
  </si>
  <si>
    <t>Ortake   kapital   i pa derdhur (llog ne pritje)</t>
  </si>
  <si>
    <t>Te tjera   detyrime  ortaku</t>
  </si>
  <si>
    <t>Detyrim tatim burim</t>
  </si>
  <si>
    <t>Dec 31,2012</t>
  </si>
  <si>
    <t xml:space="preserve"> 31.05.2012</t>
  </si>
  <si>
    <t xml:space="preserve">interesa bankare </t>
  </si>
  <si>
    <t>Huate dhe obligacionet afatshkurtra (overdraft)</t>
  </si>
  <si>
    <t xml:space="preserve">Tv Ballkan </t>
  </si>
  <si>
    <t xml:space="preserve">Bashkangjitur do te gjeni dhe listen analitike te shpenzimeve </t>
  </si>
  <si>
    <t xml:space="preserve">Instrumeta te tjera borxhi </t>
  </si>
  <si>
    <t xml:space="preserve">Debitor ortaku Shqiptarja.com </t>
  </si>
  <si>
    <t>Aktive Afatgjata Jo Materiale</t>
  </si>
  <si>
    <t xml:space="preserve">Bashkengjitur eshte dhe tabela e amortizimit me listen </t>
  </si>
  <si>
    <t>Overdraft ne Banken Intesa Sanpaolo</t>
  </si>
  <si>
    <t>llogari ne pritje (veprim I kryer gabim nga banka)</t>
  </si>
  <si>
    <t xml:space="preserve">Detyrim ndaj ortakut FFM Group </t>
  </si>
  <si>
    <t>Emri :  "MEDIA CONTENT" SHPK</t>
  </si>
  <si>
    <t xml:space="preserve">Pasqyra financiare jane te shprehura ne </t>
  </si>
  <si>
    <t>Lek</t>
  </si>
  <si>
    <t>NIPT : L21407033P</t>
  </si>
  <si>
    <t xml:space="preserve">Pasqyra financiare jane te rumbullakosura ne </t>
  </si>
  <si>
    <t>Data e krijimit: 07/02/2012</t>
  </si>
  <si>
    <t>Periudha Kontabel e Pasqyrave Financiare</t>
  </si>
  <si>
    <t xml:space="preserve">Data e mbylljes se Pasqyrave Financiare </t>
  </si>
  <si>
    <t>Fusha e veprimtarisë : “Krijimi I rrjeteve televizive analoge e digitale“</t>
  </si>
  <si>
    <t xml:space="preserve"> Kulla e Dyte, Tirane</t>
  </si>
  <si>
    <t>Adresa :</t>
  </si>
  <si>
    <t xml:space="preserve"> Rr. "Dervish Hima" Tre Kullat,</t>
  </si>
  <si>
    <t>Pozicioni më 31 dhjetor 2012</t>
  </si>
  <si>
    <t>31.12.2012</t>
  </si>
  <si>
    <t>Pagesa per blerje  AAJM</t>
  </si>
  <si>
    <t>11.b</t>
  </si>
  <si>
    <t>Vlera e kesaj llogarie vjen si rezultat i pagave te dhjetorit te cilat paguhen ne muajin janar.</t>
  </si>
  <si>
    <t xml:space="preserve">ALL </t>
  </si>
  <si>
    <t>IRMA GORDANI</t>
  </si>
  <si>
    <t>Subjekti  MEDIA CONTENT</t>
  </si>
  <si>
    <t>Inventari automjeteve ne pronesi te subjektit   2012</t>
  </si>
  <si>
    <t xml:space="preserve">Intesa sanpaolo </t>
  </si>
  <si>
    <t>37766535301</t>
  </si>
  <si>
    <t xml:space="preserve">Banka Credins </t>
  </si>
  <si>
    <t>Intesa sanpaolo EUR</t>
  </si>
  <si>
    <t>401162</t>
  </si>
  <si>
    <t>Banka Credins EUR</t>
  </si>
  <si>
    <t>Shoqeria MEDIA CONTENT</t>
  </si>
  <si>
    <t>NIPTI L21407033P</t>
  </si>
  <si>
    <t xml:space="preserve">Te zhvillimit </t>
  </si>
  <si>
    <t>Instrumeta dhe vegla</t>
  </si>
  <si>
    <t xml:space="preserve">Instrumenta dhe vegla </t>
  </si>
  <si>
    <t>Viti 2012</t>
  </si>
  <si>
    <t>MEDIA CONTENT</t>
  </si>
  <si>
    <t>NIPT L21407033P</t>
  </si>
  <si>
    <t>Në Lekë</t>
  </si>
  <si>
    <t>c-</t>
  </si>
  <si>
    <t>Honorare korrespondent te jashtem</t>
  </si>
  <si>
    <t>Irma Gordani</t>
  </si>
  <si>
    <t>NIPT  L21407033P</t>
  </si>
  <si>
    <t>VITI 2012</t>
  </si>
  <si>
    <t xml:space="preserve">Sherbime per rregjistrime </t>
  </si>
  <si>
    <t xml:space="preserve">Te tjera </t>
  </si>
  <si>
    <t xml:space="preserve">Taci Oil </t>
  </si>
  <si>
    <t>Ben 10</t>
  </si>
  <si>
    <t xml:space="preserve">Tirana Bussines university </t>
  </si>
  <si>
    <t xml:space="preserve">Future University of Tirana </t>
  </si>
  <si>
    <t>Kristal shpk</t>
  </si>
  <si>
    <t xml:space="preserve">Dilo </t>
  </si>
  <si>
    <t xml:space="preserve">Universiteti Europian </t>
  </si>
  <si>
    <t xml:space="preserve">Njesia Prodhim Vau Dejes </t>
  </si>
  <si>
    <t xml:space="preserve">Dv Group </t>
  </si>
  <si>
    <t>M&amp;M Company</t>
  </si>
  <si>
    <t xml:space="preserve">Sali Elektrik </t>
  </si>
  <si>
    <t xml:space="preserve">Pc Store </t>
  </si>
  <si>
    <t>Vodafone</t>
  </si>
  <si>
    <t xml:space="preserve">Interalbanian </t>
  </si>
  <si>
    <t>Seim Fler</t>
  </si>
  <si>
    <t>L21407033P</t>
  </si>
  <si>
    <t>Tatimpaguesi  Media Content</t>
  </si>
  <si>
    <t>Nga  01/01/2013</t>
  </si>
  <si>
    <t>Deri 31/12/2013</t>
  </si>
  <si>
    <t>Dec 31,2013</t>
  </si>
  <si>
    <t>45501</t>
  </si>
  <si>
    <t xml:space="preserve">ORTAKU TV BALLKAN </t>
  </si>
  <si>
    <t>INTESA SANPAOLO ALL</t>
  </si>
  <si>
    <t>2134</t>
  </si>
  <si>
    <t>Makineri dhe pajisje pune</t>
  </si>
  <si>
    <t>215</t>
  </si>
  <si>
    <t>26101</t>
  </si>
  <si>
    <t xml:space="preserve">PJESMARRJE TV BALLKAN </t>
  </si>
  <si>
    <t>AMORT MOBILJE PAIS ZYRA</t>
  </si>
  <si>
    <t>AMORT PAISJE INFORMATIKE</t>
  </si>
  <si>
    <t xml:space="preserve">AMORT MAK PAISJE </t>
  </si>
  <si>
    <t>2815</t>
  </si>
  <si>
    <t>Per mjete transporti</t>
  </si>
  <si>
    <t xml:space="preserve">AMORT INST TEKN SPECIF </t>
  </si>
  <si>
    <t>AMORT INST VEGLA</t>
  </si>
  <si>
    <t>Per te tjera AA materiale</t>
  </si>
  <si>
    <t>2819</t>
  </si>
  <si>
    <t>AMORT MAKIN PAISJE PUNE</t>
  </si>
  <si>
    <t>4454</t>
  </si>
  <si>
    <t>Shteti-TVSH per tu marre</t>
  </si>
  <si>
    <t>46710</t>
  </si>
  <si>
    <t>DEB KRED TV BALLKAN OVERDRAFT</t>
  </si>
  <si>
    <t>512103</t>
  </si>
  <si>
    <t>RAIFFEISEN BANK ALL</t>
  </si>
  <si>
    <t>512104</t>
  </si>
  <si>
    <t>TIRANA BANK ALL</t>
  </si>
  <si>
    <t>61106</t>
  </si>
  <si>
    <t xml:space="preserve">ANTIVIRUS DHE DOMAIN </t>
  </si>
  <si>
    <t>613</t>
  </si>
  <si>
    <t>Qira</t>
  </si>
  <si>
    <t>623</t>
  </si>
  <si>
    <t>Shpenz per koncesione, patenta, licensa dhe te ngjashme</t>
  </si>
  <si>
    <t>6271</t>
  </si>
  <si>
    <t>Transporte per blerje</t>
  </si>
  <si>
    <t>tatime, taksa dog</t>
  </si>
  <si>
    <t>6384</t>
  </si>
  <si>
    <t>SIG AMBJENTE PAISJE</t>
  </si>
  <si>
    <t>SHPENZ PERQINDJE REKLAME</t>
  </si>
  <si>
    <t>657</t>
  </si>
  <si>
    <t>Gjoba dhe demshperblime</t>
  </si>
  <si>
    <t>658</t>
  </si>
  <si>
    <t>Shpenzime te tjera</t>
  </si>
  <si>
    <t>667</t>
  </si>
  <si>
    <t>Shpenzime  per interesa</t>
  </si>
  <si>
    <t xml:space="preserve">TOTAL </t>
  </si>
  <si>
    <t>VITI 2013</t>
  </si>
  <si>
    <t>(19)  Tatim fitimi me shkallen tatimore standarte</t>
  </si>
  <si>
    <t>(23)  Parapagime</t>
  </si>
  <si>
    <t>(24) Kredi e mbartur nga periudha e meparshme</t>
  </si>
  <si>
    <t>(25) Kerkese per rimbursim</t>
  </si>
  <si>
    <t xml:space="preserve">(26)  Tatim fitimi i mbipaguar </t>
  </si>
  <si>
    <t>(27)  Tatimi fitimi i detyrueshem per tu paguar</t>
  </si>
  <si>
    <t>(28)  Denime / interesa per vonesa</t>
  </si>
  <si>
    <t>(29)  TOTALI PER TU PAGUAR</t>
  </si>
  <si>
    <t>Te tjera te shfrytzimit( pais inform)</t>
  </si>
  <si>
    <t>Ne proces dhe pagesa pjesore(auto,mob te tjera)</t>
  </si>
  <si>
    <t xml:space="preserve">prove </t>
  </si>
  <si>
    <t>Shpenzimet '13</t>
  </si>
  <si>
    <t>Shpenzimet '12</t>
  </si>
  <si>
    <t>Ardhurat 13</t>
  </si>
  <si>
    <t>Ardhurat 12</t>
  </si>
  <si>
    <t>31.12.2013</t>
  </si>
  <si>
    <t>31 Dhjetor 2013</t>
  </si>
  <si>
    <t xml:space="preserve">Raiffeisen Bank </t>
  </si>
  <si>
    <t>Tirana Bank</t>
  </si>
  <si>
    <t>744074</t>
  </si>
  <si>
    <t>0110314769100</t>
  </si>
  <si>
    <t>Aktivet Afatgjata Jo Materiale  me vlere fillestare   2013</t>
  </si>
  <si>
    <t>Amortizimi A.A.Jo Materiale   2013</t>
  </si>
  <si>
    <t>Vlera Kontabel Neto e A.A. Jo Materiale  2013</t>
  </si>
  <si>
    <t>Te nisjes</t>
  </si>
  <si>
    <t>Vlera Kontabel Neto e A.A.Materiale  2013</t>
  </si>
  <si>
    <t>Amortizimi A.A.Materiale   2013</t>
  </si>
  <si>
    <t>Aktivet Afatgjata Materiale  me vlere fillestare   2013</t>
  </si>
  <si>
    <t>Automjete</t>
  </si>
  <si>
    <t>Makineri,paisje,</t>
  </si>
  <si>
    <t>01.01.13</t>
  </si>
  <si>
    <t>31.12.13</t>
  </si>
  <si>
    <t>01.01.12</t>
  </si>
  <si>
    <t>vitit 2013</t>
  </si>
  <si>
    <t>Aktivet Afatgjata Materiale   2013</t>
  </si>
  <si>
    <t>Viti 2013</t>
  </si>
  <si>
    <t>Te punesuar mesatarisht per vitin 2013:</t>
  </si>
  <si>
    <t>4+1</t>
  </si>
  <si>
    <t>Volkswagen</t>
  </si>
  <si>
    <t>Subjekti  Media Content Sh.p.k</t>
  </si>
  <si>
    <t>Me page deri ne 22.000 leke</t>
  </si>
  <si>
    <t>Me page nga 22.001 deri ne 30.000 leke</t>
  </si>
  <si>
    <t>Me page me te larte se 95.130 leke</t>
  </si>
  <si>
    <t>Me page nga 66.501 deri ne 95.130 leke</t>
  </si>
  <si>
    <t>Media Content</t>
  </si>
  <si>
    <t>Per vitin 2013</t>
  </si>
  <si>
    <t>Dhjetor</t>
  </si>
  <si>
    <t xml:space="preserve">Janar </t>
  </si>
  <si>
    <t>Shkurt</t>
  </si>
  <si>
    <t xml:space="preserve">Dhjetor </t>
  </si>
  <si>
    <t xml:space="preserve">Partia Socialiste </t>
  </si>
  <si>
    <t xml:space="preserve">Primalat </t>
  </si>
  <si>
    <t xml:space="preserve">TEG </t>
  </si>
  <si>
    <t xml:space="preserve">City park </t>
  </si>
  <si>
    <t xml:space="preserve">Belle air </t>
  </si>
  <si>
    <t xml:space="preserve">Trebeshina </t>
  </si>
  <si>
    <t>c) TVSH gjendje debitore ndaj shtetit.</t>
  </si>
  <si>
    <t>Shpenzime te  nisjes</t>
  </si>
  <si>
    <t xml:space="preserve">Classic </t>
  </si>
  <si>
    <t xml:space="preserve">Eurosig </t>
  </si>
  <si>
    <t xml:space="preserve">Shpiragu </t>
  </si>
  <si>
    <t xml:space="preserve">Atom </t>
  </si>
  <si>
    <t xml:space="preserve">Agjensia abonimit shtypit </t>
  </si>
  <si>
    <t>Gjoba e penalitete shpenz panjohura</t>
  </si>
  <si>
    <t>Tatimpaguesi   Media Content shpk</t>
  </si>
  <si>
    <t>NIPT    L21407033P</t>
  </si>
  <si>
    <t>etazher madh 08</t>
  </si>
  <si>
    <t>injektore 07</t>
  </si>
  <si>
    <t>etazher vogel 08</t>
  </si>
  <si>
    <t>disqe rrote 07</t>
  </si>
  <si>
    <t>tavoline zyre 08</t>
  </si>
  <si>
    <t>vakum i madh 08</t>
  </si>
  <si>
    <t>krevat portativ 08</t>
  </si>
  <si>
    <t>vw passat tr 7421 p 08</t>
  </si>
  <si>
    <t>kamion daimler tr 4598 08</t>
  </si>
  <si>
    <t>eskavator fiat - hitachi</t>
  </si>
  <si>
    <t>PAISJE TE TJERA</t>
  </si>
  <si>
    <t>Dispenser leter wc</t>
  </si>
  <si>
    <t>Dispenser leter duarsh</t>
  </si>
  <si>
    <t>Dispenser sapun liquid</t>
  </si>
  <si>
    <t>Metoda gjuhe angleze 08</t>
  </si>
  <si>
    <t>TOT</t>
  </si>
  <si>
    <t>Te Pagueshme ndaj Furnitoreve</t>
  </si>
  <si>
    <t>Tatim mbi te Ardhurat Personale te Punonjesve</t>
  </si>
  <si>
    <t xml:space="preserve">Provizionet </t>
  </si>
  <si>
    <t>Gjendja ne fillim</t>
  </si>
  <si>
    <t>Shtesa e provizioneve</t>
  </si>
  <si>
    <t>Rimarrjet e Provizioneve</t>
  </si>
  <si>
    <t>Gjendja ne fund 2008</t>
  </si>
  <si>
    <t>Afat Shkurter</t>
  </si>
  <si>
    <t>Afat Gjata</t>
  </si>
  <si>
    <t>Natyra e Provizioneve</t>
  </si>
  <si>
    <t>xxxxxxxxxxxxxxxxxxxx</t>
  </si>
  <si>
    <t>13.a</t>
  </si>
  <si>
    <t>Riklasifikime Afat gjate/shkurter</t>
  </si>
  <si>
    <t>Huate Afat Gjata</t>
  </si>
  <si>
    <t>Huamarrje te tjera Afat Gjata</t>
  </si>
  <si>
    <t>Totali i të ardhurave/i shpenzimeve, që nuk janë njohur në Pasqyrën e të Ardhur. &amp; Shpenz.</t>
  </si>
  <si>
    <t>Shitjet Neto</t>
  </si>
  <si>
    <t xml:space="preserve">Amortizime  dhe Zhvleftesime </t>
  </si>
  <si>
    <t>Sherbimet</t>
  </si>
  <si>
    <t>Dec 31,2009</t>
  </si>
  <si>
    <t>A  IV</t>
  </si>
  <si>
    <t>Te tjera te ardhura financiare (nga shoq lidh)</t>
  </si>
  <si>
    <t>Mallra (inv imet)</t>
  </si>
  <si>
    <t>Te tjera shpenzime financiare (nga shoq lidh)</t>
  </si>
  <si>
    <t xml:space="preserve">Kjo llogari perbehet nga : </t>
  </si>
  <si>
    <t>Llogari kerkesa te arketueshme</t>
  </si>
  <si>
    <t>Ortaket</t>
  </si>
  <si>
    <t xml:space="preserve"> Instrumente te tjera borxhi </t>
  </si>
  <si>
    <t>Llogari kerkese te arketueshme (ortaket)</t>
  </si>
  <si>
    <t xml:space="preserve"> Mallra per rishitje (kons inv imet)</t>
  </si>
  <si>
    <t xml:space="preserve"> Prodhimi ne proces (inv imet)</t>
  </si>
  <si>
    <t>Shpenzime periudha te ardhme</t>
  </si>
  <si>
    <t>Kjo llogari perbehet nga :</t>
  </si>
  <si>
    <t>Kjo llogari perbehet nga diferenca e vleres bruto te aktiveve respektive me amortizimin.</t>
  </si>
  <si>
    <t>Bashkengjitur eshte dhe tabela e amortizimit me listen e AAM-ve.</t>
  </si>
  <si>
    <t>Paga</t>
  </si>
  <si>
    <t>Kapitali aksionar</t>
  </si>
  <si>
    <t>Fitime dhe humbje</t>
  </si>
  <si>
    <t>Rezervat ligjore qe jane krijuar.</t>
  </si>
  <si>
    <t>Kjo llogari perfshin rezervat e tjera te krijuara nga shoqeria.</t>
  </si>
  <si>
    <t>Vlera e kapitalit aksionar qe eshte derdhur me krijimin e shoqerise.</t>
  </si>
  <si>
    <t>Kjo llogari perfshin fitimin neto e shoqerise per vitin ' 08.</t>
  </si>
  <si>
    <t>Rezultati Tatimor</t>
  </si>
  <si>
    <t>Amortizimi  AAM</t>
  </si>
  <si>
    <t>Nr.
 Ref.</t>
  </si>
  <si>
    <t xml:space="preserve">             A K T I V I </t>
  </si>
  <si>
    <t>ASSETS</t>
  </si>
  <si>
    <t>Viti Ushtrimor</t>
  </si>
  <si>
    <t>Nr. 
Ref.</t>
  </si>
  <si>
    <t xml:space="preserve">             P A S I V I </t>
  </si>
  <si>
    <t>CAPITAL &amp; LIABILITIES</t>
  </si>
  <si>
    <t>FIXED ASSETS</t>
  </si>
  <si>
    <t>A</t>
  </si>
  <si>
    <t xml:space="preserve">K A P I T A L E T  E  V E T A </t>
  </si>
  <si>
    <t>SHARE HOLDERS EQUITY</t>
  </si>
  <si>
    <t>B  I</t>
  </si>
  <si>
    <t>Te pa Trupezuara</t>
  </si>
  <si>
    <t>Intangible Asssets</t>
  </si>
  <si>
    <t xml:space="preserve">A I </t>
  </si>
  <si>
    <t>Kapit Themel, Rezervat, Fitime/Humbje</t>
  </si>
  <si>
    <t>Capital &amp; Reserves</t>
  </si>
  <si>
    <t>B   I a</t>
  </si>
  <si>
    <t>Shpenzime te nisjes dhe zgjerimit</t>
  </si>
  <si>
    <t xml:space="preserve">        Nga ky i derdhur </t>
  </si>
  <si>
    <t>Delivered</t>
  </si>
  <si>
    <t>B   I b</t>
  </si>
  <si>
    <t>Shpenzime te kerk. Te aplik. dhe zhvill.</t>
  </si>
  <si>
    <t xml:space="preserve">Expenditures of starting and expanding </t>
  </si>
  <si>
    <t>A I a</t>
  </si>
  <si>
    <t xml:space="preserve">Kapitali i nenshkruar </t>
  </si>
  <si>
    <t>Share Capital</t>
  </si>
  <si>
    <t>B   I c</t>
  </si>
  <si>
    <t>Te tjera te shfrytzimit</t>
  </si>
  <si>
    <t xml:space="preserve">Expenditures of applied research and development </t>
  </si>
  <si>
    <t>A I b</t>
  </si>
  <si>
    <t xml:space="preserve">Prime te lidhura me kapitalin </t>
  </si>
  <si>
    <t>Prime related to the capital</t>
  </si>
  <si>
    <t>B   I d</t>
  </si>
  <si>
    <t>Pagesa pjesore te derdhura</t>
  </si>
  <si>
    <t>Other expense of explotation</t>
  </si>
  <si>
    <t>A I c</t>
  </si>
  <si>
    <t>Diferenca nga rivleresimi</t>
  </si>
  <si>
    <t xml:space="preserve">Differences from the revaluation </t>
  </si>
  <si>
    <t>B   I e</t>
  </si>
  <si>
    <t>Amortizime</t>
  </si>
  <si>
    <t xml:space="preserve">Partial Payments </t>
  </si>
  <si>
    <t>A I d</t>
  </si>
  <si>
    <t>Rezervat</t>
  </si>
  <si>
    <t>Reserves</t>
  </si>
  <si>
    <t>B   I h</t>
  </si>
  <si>
    <t>Provizione per zhvlersime</t>
  </si>
  <si>
    <t xml:space="preserve">Depreciation </t>
  </si>
  <si>
    <t xml:space="preserve">   Rezervat   ligjore </t>
  </si>
  <si>
    <t xml:space="preserve">       Legal  reserves</t>
  </si>
  <si>
    <t xml:space="preserve">   Rezervat    statutore </t>
  </si>
  <si>
    <t xml:space="preserve">       Statutory  reserves</t>
  </si>
  <si>
    <t>B  II</t>
  </si>
  <si>
    <t>Te Trupezuara</t>
  </si>
  <si>
    <t>Tangible Assets</t>
  </si>
  <si>
    <t xml:space="preserve">   Rezerva    te tjera </t>
  </si>
  <si>
    <t xml:space="preserve">       Other reserves</t>
  </si>
  <si>
    <t xml:space="preserve">B  II a </t>
  </si>
  <si>
    <t>Land, constructions and general istallations</t>
  </si>
  <si>
    <t xml:space="preserve">A I e </t>
  </si>
  <si>
    <t>Fitimi ose  humbje te mbartura (Humbjet)</t>
  </si>
  <si>
    <t>Retained earnings</t>
  </si>
  <si>
    <t xml:space="preserve">B  II b </t>
  </si>
  <si>
    <t>Istalime tek.makineri,paisje,vegla pune</t>
  </si>
  <si>
    <t>Technical installation, machinery, equipment &amp; tools</t>
  </si>
  <si>
    <t xml:space="preserve">A I h </t>
  </si>
  <si>
    <t>Profits &amp; losses of the current year</t>
  </si>
  <si>
    <t xml:space="preserve">B  II c </t>
  </si>
  <si>
    <t>A  II</t>
  </si>
  <si>
    <t>OTHER OWN FUNDS</t>
  </si>
  <si>
    <t xml:space="preserve">B  II d </t>
  </si>
  <si>
    <t>Tangible in proces and prepayments</t>
  </si>
  <si>
    <t>A  II a</t>
  </si>
  <si>
    <t>Fondi (Rezerva) i zhvillimit</t>
  </si>
  <si>
    <t>Funds of development</t>
  </si>
  <si>
    <t xml:space="preserve">B  II e </t>
  </si>
  <si>
    <t>A  II b</t>
  </si>
  <si>
    <t>Fondi i shperblimit suplementar te punonjesve</t>
  </si>
  <si>
    <t>The fund of reserve for personnel rewarding</t>
  </si>
  <si>
    <t xml:space="preserve">B  II h </t>
  </si>
  <si>
    <t>Provizione per  zhvleresim</t>
  </si>
  <si>
    <t>Provisions for Depreciation (-)</t>
  </si>
  <si>
    <t xml:space="preserve">A  II c </t>
  </si>
  <si>
    <t>Fondi i ndihmave te menjehershme</t>
  </si>
  <si>
    <t>The fund of immediate aid</t>
  </si>
  <si>
    <t>B III</t>
  </si>
  <si>
    <t>FINANCIAL FIXED ASSETS</t>
  </si>
  <si>
    <t>A  II d</t>
  </si>
  <si>
    <t xml:space="preserve">Fonde te tjera    </t>
  </si>
  <si>
    <t>Other funds</t>
  </si>
  <si>
    <t>B III a</t>
  </si>
  <si>
    <t>Pjesemarrje dhe tituj financiare te tjere</t>
  </si>
  <si>
    <t>Titles of partecipation and other financial titles</t>
  </si>
  <si>
    <t>A  III</t>
  </si>
  <si>
    <t xml:space="preserve">SUBSIDIES FOR INVESTMENTS </t>
  </si>
  <si>
    <t>B III b</t>
  </si>
  <si>
    <t>Kerkesa  debitore te lidhura me pjesemarr</t>
  </si>
  <si>
    <t>Debits requirements related to financial participation</t>
  </si>
  <si>
    <t>Provisions</t>
  </si>
  <si>
    <t>B III c</t>
  </si>
  <si>
    <t>Kredi    te   dhena</t>
  </si>
  <si>
    <t xml:space="preserve">Credits </t>
  </si>
  <si>
    <t>A IV a</t>
  </si>
  <si>
    <t xml:space="preserve">Provizione per rreziqe     </t>
  </si>
  <si>
    <t>Expected sums for risks</t>
  </si>
  <si>
    <t>B III d</t>
  </si>
  <si>
    <t>Provizione  per  zhvleresim</t>
  </si>
  <si>
    <t>A IV b</t>
  </si>
  <si>
    <t xml:space="preserve">Provizione per shpenzime </t>
  </si>
  <si>
    <t xml:space="preserve">Expected sums for expenditures </t>
  </si>
  <si>
    <t>C</t>
  </si>
  <si>
    <t>A K T I V E   Q A R K U LL U E S E</t>
  </si>
  <si>
    <t>CURRENT ASSETS</t>
  </si>
  <si>
    <t>B</t>
  </si>
  <si>
    <t xml:space="preserve">      D E T Y R I M E </t>
  </si>
  <si>
    <t>LIABILITIES</t>
  </si>
  <si>
    <t>C  I</t>
  </si>
  <si>
    <t>Gjendje Inventari dhe ne Proces</t>
  </si>
  <si>
    <t>Inventories</t>
  </si>
  <si>
    <t xml:space="preserve">B I </t>
  </si>
  <si>
    <t xml:space="preserve">Det. te Kerk. pas me Shume se 1 Vit </t>
  </si>
  <si>
    <t xml:space="preserve">Long Terme Liabilities </t>
  </si>
  <si>
    <t>C   I a</t>
  </si>
  <si>
    <t>18.a</t>
  </si>
  <si>
    <t>Materiale te para dhe materiale te tjera</t>
  </si>
  <si>
    <t xml:space="preserve">Raw materials and other materials </t>
  </si>
  <si>
    <t>B I a</t>
  </si>
  <si>
    <t>Huara nga bankat dhe institutete kreditit</t>
  </si>
  <si>
    <t>Loans from banks &amp; other credits Institutes</t>
  </si>
  <si>
    <t>C   I b</t>
  </si>
  <si>
    <t>Products, works, and services in process</t>
  </si>
  <si>
    <t>B I b</t>
  </si>
  <si>
    <t xml:space="preserve">Huara te tjera </t>
  </si>
  <si>
    <t>Other loans</t>
  </si>
  <si>
    <t>C   I c</t>
  </si>
  <si>
    <t>Produkte dhe mallra</t>
  </si>
  <si>
    <t>Products and goods</t>
  </si>
  <si>
    <t>B I c</t>
  </si>
  <si>
    <t xml:space="preserve">Shuma te arketuara per porosi </t>
  </si>
  <si>
    <t>Amount cashed for orders</t>
  </si>
  <si>
    <t>C   I d</t>
  </si>
  <si>
    <t>Other inventory</t>
  </si>
  <si>
    <t xml:space="preserve">B I d </t>
  </si>
  <si>
    <t xml:space="preserve">Furnitore per blerje e sherbime </t>
  </si>
  <si>
    <t>Suppliers for purchases &amp; sales</t>
  </si>
  <si>
    <t>C   I e</t>
  </si>
  <si>
    <t>Provizione per zhvleresime</t>
  </si>
  <si>
    <t xml:space="preserve">B I e </t>
  </si>
  <si>
    <t xml:space="preserve">Shteti </t>
  </si>
  <si>
    <t>State</t>
  </si>
  <si>
    <t>C II</t>
  </si>
  <si>
    <t>Kerkesa per Arketim mbi Debitoret</t>
  </si>
  <si>
    <t>Receivables</t>
  </si>
  <si>
    <t xml:space="preserve">B I h </t>
  </si>
  <si>
    <t xml:space="preserve">Ortake </t>
  </si>
  <si>
    <t>Partners</t>
  </si>
  <si>
    <t>Nga keto me afat pas me shume se 1 vit</t>
  </si>
  <si>
    <t>More than one year</t>
  </si>
  <si>
    <t>B I f</t>
  </si>
  <si>
    <t>Other liabilities</t>
  </si>
  <si>
    <t>C  II a</t>
  </si>
  <si>
    <t>Kliente per shitje, sherbime</t>
  </si>
  <si>
    <t>Clients for sale and services</t>
  </si>
  <si>
    <t>B II</t>
  </si>
  <si>
    <t>Short terme Liabilities</t>
  </si>
  <si>
    <t>C  II b</t>
  </si>
  <si>
    <t xml:space="preserve">Partners undelivered capital </t>
  </si>
  <si>
    <t>B II a</t>
  </si>
  <si>
    <t xml:space="preserve">Huara nga bankat dhe institutet e kreditit </t>
  </si>
  <si>
    <t>C  II c</t>
  </si>
  <si>
    <t>Personel and related persons</t>
  </si>
  <si>
    <t>B II b</t>
  </si>
  <si>
    <t>C  II d</t>
  </si>
  <si>
    <t>Other demands</t>
  </si>
  <si>
    <t>B II c</t>
  </si>
  <si>
    <t>C  II e</t>
  </si>
  <si>
    <t>B II d</t>
  </si>
  <si>
    <t>C III</t>
  </si>
  <si>
    <t xml:space="preserve">Letra me Vlere te Vendosjes  </t>
  </si>
  <si>
    <t>ESTABLISHING TEMPORARY BONDS</t>
  </si>
  <si>
    <t xml:space="preserve">B II e </t>
  </si>
  <si>
    <t xml:space="preserve">Personeli </t>
  </si>
  <si>
    <t>Personnel</t>
  </si>
  <si>
    <t>C III a</t>
  </si>
  <si>
    <t>Aksione,Obligacione,bono thesari e te ngjashme</t>
  </si>
  <si>
    <t>Shares, liabilities, bonds &amp; other similar</t>
  </si>
  <si>
    <t>B II h</t>
  </si>
  <si>
    <t xml:space="preserve">Sigurime shoqerore dhe te ngjashme </t>
  </si>
  <si>
    <t>Social Insurance and similar</t>
  </si>
  <si>
    <t>C III b</t>
  </si>
  <si>
    <t xml:space="preserve">B II f </t>
  </si>
  <si>
    <t xml:space="preserve">Shteti -tatime dhe taksa </t>
  </si>
  <si>
    <t>State Taxes &amp; Taxation</t>
  </si>
  <si>
    <t xml:space="preserve">C IV </t>
  </si>
  <si>
    <t>Likujditete dhe Vlera Arke te Tjera</t>
  </si>
  <si>
    <t xml:space="preserve">Cash  </t>
  </si>
  <si>
    <t>B II g</t>
  </si>
  <si>
    <t xml:space="preserve">Ortake                                     </t>
  </si>
  <si>
    <t>C IV a</t>
  </si>
  <si>
    <t xml:space="preserve">Depozita ne banke dhe ne llog.te tjera </t>
  </si>
  <si>
    <t>Bank deposits &amp; other accounts</t>
  </si>
  <si>
    <t>B II i</t>
  </si>
  <si>
    <t>C IV b</t>
  </si>
  <si>
    <t>Para ne dore  (arke)</t>
  </si>
  <si>
    <t>Cash in hand</t>
  </si>
  <si>
    <t>Te Ardhura te Marra/te Rregjistruara Avance</t>
  </si>
  <si>
    <t>Incomes Received in Advance</t>
  </si>
  <si>
    <t>C IV c</t>
  </si>
  <si>
    <t>Other cash value</t>
  </si>
  <si>
    <t xml:space="preserve">C V </t>
  </si>
  <si>
    <t>Shpenz. te Paguara ose Regj.Avance</t>
  </si>
  <si>
    <t>EXPENDITURE REGISTERED IN ADVANCE</t>
  </si>
  <si>
    <t xml:space="preserve">Nga  keto  : Mbi nje vit </t>
  </si>
  <si>
    <t>D</t>
  </si>
  <si>
    <t>OTHER ACCOUNTS</t>
  </si>
  <si>
    <t xml:space="preserve">OTHER ACCOUNTS </t>
  </si>
  <si>
    <t>D  a</t>
  </si>
  <si>
    <t>Shpenzime  (kosto) per tu shperndare</t>
  </si>
  <si>
    <t>Expenses (costs) to be delivered</t>
  </si>
  <si>
    <t>C a</t>
  </si>
  <si>
    <t>Të dhëna identifikuese</t>
  </si>
  <si>
    <t>Të dhëna të tjera</t>
  </si>
  <si>
    <t>DIFERENCA  konvertimi   pasive</t>
  </si>
  <si>
    <t xml:space="preserve">Differences from the conversion of liabilities </t>
  </si>
  <si>
    <t>D  b</t>
  </si>
  <si>
    <t>Diferenca  Konvertimi   Aktive</t>
  </si>
  <si>
    <t>Differences from the conversion of assets Others</t>
  </si>
  <si>
    <t xml:space="preserve">       TOTALI I   AKTIVIT</t>
  </si>
  <si>
    <t>TOTAL ASSETS</t>
  </si>
  <si>
    <t xml:space="preserve">T O T A L I  I  P A S I V I T </t>
  </si>
  <si>
    <t>TOTAL  LIABILITIES &amp; SHARE HOLDER's EQUITY</t>
  </si>
  <si>
    <t>Nr. Ref.</t>
  </si>
  <si>
    <t>SHPENZIME</t>
  </si>
  <si>
    <t>VITI USHTRIMOR</t>
  </si>
  <si>
    <t>TE ARDHURAT</t>
  </si>
  <si>
    <t>I</t>
  </si>
  <si>
    <t>PAKESIMI I GJENDJ.PRODH.TE VET</t>
  </si>
  <si>
    <t>DECREASE ON STOKS OF PRODUCTION</t>
  </si>
  <si>
    <t>TE ARDHURAT E AFARIZMIT</t>
  </si>
  <si>
    <t>ACTIVITY  REVENUES</t>
  </si>
  <si>
    <t>II</t>
  </si>
  <si>
    <t>SHPENZ. TE SHFRYT.TE TJERA RJEDH.</t>
  </si>
  <si>
    <t>OPERACIONAL EXPENSES</t>
  </si>
  <si>
    <t>Materiale te para dhe mat. Te tjera</t>
  </si>
  <si>
    <t>Row Materials</t>
  </si>
  <si>
    <t>Nga shitja e prodhimit te vet</t>
  </si>
  <si>
    <t xml:space="preserve">Sales of products </t>
  </si>
  <si>
    <t>1/a</t>
  </si>
  <si>
    <t xml:space="preserve">       Blerje gjate ushtrimit</t>
  </si>
  <si>
    <t>Fitimi - Humbje</t>
  </si>
  <si>
    <t>kuota e ushtrimit nga shpz e periudhave te ardhme</t>
  </si>
  <si>
    <t>6816</t>
  </si>
  <si>
    <t>amortizim i AQ afatgjate</t>
  </si>
  <si>
    <t>6811</t>
  </si>
  <si>
    <t>Humbje nga kembimet valutore</t>
  </si>
  <si>
    <t>669</t>
  </si>
  <si>
    <t>65806</t>
  </si>
  <si>
    <t>65805</t>
  </si>
  <si>
    <t>65804</t>
  </si>
  <si>
    <t>65803</t>
  </si>
  <si>
    <t>65802</t>
  </si>
  <si>
    <t>65801</t>
  </si>
  <si>
    <t>65701</t>
  </si>
  <si>
    <t>Shpenzime per pritje dhe perfaqesime</t>
  </si>
  <si>
    <t>654</t>
  </si>
  <si>
    <t>64801</t>
  </si>
  <si>
    <t>Sigurimet shoqerore dhe shendetesore</t>
  </si>
  <si>
    <t>644</t>
  </si>
  <si>
    <t>Pagat dhe shperblimet e personelit</t>
  </si>
  <si>
    <t>641</t>
  </si>
  <si>
    <t>Taksa dhe tarifa vendore</t>
  </si>
  <si>
    <t>634</t>
  </si>
  <si>
    <t>628</t>
  </si>
  <si>
    <t>Shpz.postare e telekom.</t>
  </si>
  <si>
    <t>626</t>
  </si>
  <si>
    <t>Transferime, udhetim, dieta</t>
  </si>
  <si>
    <t>625</t>
  </si>
  <si>
    <t>Personel nga jashte ndermarjes</t>
  </si>
  <si>
    <t>621</t>
  </si>
  <si>
    <t>NOTERIZIME</t>
  </si>
  <si>
    <t>KANCELARI</t>
  </si>
  <si>
    <t>61503</t>
  </si>
  <si>
    <t>MIREMB AUTO</t>
  </si>
  <si>
    <t>61502</t>
  </si>
  <si>
    <t>61501</t>
  </si>
  <si>
    <t>61105</t>
  </si>
  <si>
    <t>SKENOGRAFI</t>
  </si>
  <si>
    <t>61104</t>
  </si>
  <si>
    <t>61103</t>
  </si>
  <si>
    <t>61101</t>
  </si>
  <si>
    <t>Bl.energji,avull,uje</t>
  </si>
  <si>
    <t>604</t>
  </si>
  <si>
    <t>Fitim nga kembimet valutore</t>
  </si>
  <si>
    <t>769</t>
  </si>
  <si>
    <t>Te ardhura nga interesat</t>
  </si>
  <si>
    <t>767</t>
  </si>
  <si>
    <t>Dhurata e ndihma te marra</t>
  </si>
  <si>
    <t>754</t>
  </si>
  <si>
    <t>70401</t>
  </si>
  <si>
    <t>Shitje e punimeve dhe e sherbimeve</t>
  </si>
  <si>
    <t>704</t>
  </si>
  <si>
    <t>ARDHURA</t>
  </si>
  <si>
    <t>ardhura</t>
  </si>
  <si>
    <t>shpenzime</t>
  </si>
  <si>
    <t>pershkrim</t>
  </si>
  <si>
    <t>llogari</t>
  </si>
  <si>
    <t>aktiv</t>
  </si>
  <si>
    <t>pasiv</t>
  </si>
  <si>
    <t>Pasiv</t>
  </si>
  <si>
    <t>101</t>
  </si>
  <si>
    <t>Kapitali i paguar</t>
  </si>
  <si>
    <t>109</t>
  </si>
  <si>
    <t>Rezultati i ushtrimit</t>
  </si>
  <si>
    <t>121Z</t>
  </si>
  <si>
    <t xml:space="preserve">HUMBJE/FITIM </t>
  </si>
  <si>
    <t>401</t>
  </si>
  <si>
    <t>Furnitore per mallra , produkte e sherbime</t>
  </si>
  <si>
    <t>421</t>
  </si>
  <si>
    <t>Paga e shperblime</t>
  </si>
  <si>
    <t>44201</t>
  </si>
  <si>
    <t>TAT ARDH PERS</t>
  </si>
  <si>
    <t>449</t>
  </si>
  <si>
    <t>Tatimi ne burim</t>
  </si>
  <si>
    <t>46701</t>
  </si>
  <si>
    <t>46703</t>
  </si>
  <si>
    <t>46704</t>
  </si>
  <si>
    <t>Aktiv</t>
  </si>
  <si>
    <t>2131</t>
  </si>
  <si>
    <t>instalime teknike specifike</t>
  </si>
  <si>
    <t>2133</t>
  </si>
  <si>
    <t>makineri dhe pajisje energjitike</t>
  </si>
  <si>
    <t>2135</t>
  </si>
  <si>
    <t>instrumente dhe vegla</t>
  </si>
  <si>
    <t>Mjete transporti</t>
  </si>
  <si>
    <t>2181</t>
  </si>
  <si>
    <t>Mobilje dhe pajisje zyre</t>
  </si>
  <si>
    <t>2182</t>
  </si>
  <si>
    <t>Pajisje informative</t>
  </si>
  <si>
    <t>2811</t>
  </si>
  <si>
    <t>2812</t>
  </si>
  <si>
    <t>2813</t>
  </si>
  <si>
    <t>2814</t>
  </si>
  <si>
    <t>2816</t>
  </si>
  <si>
    <t>2817</t>
  </si>
  <si>
    <t>411</t>
  </si>
  <si>
    <t>Kliente per mallra , produkte e sherbime</t>
  </si>
  <si>
    <t>444</t>
  </si>
  <si>
    <t>47101</t>
  </si>
  <si>
    <t>512101</t>
  </si>
  <si>
    <t>512102</t>
  </si>
  <si>
    <t>5124101</t>
  </si>
  <si>
    <t>5124102</t>
  </si>
  <si>
    <t>531101</t>
  </si>
  <si>
    <t>Sherbim reklame</t>
  </si>
  <si>
    <t xml:space="preserve">b) kuota shpenzime per t'u shperndare permbledh pjesen e rendimit te ushtrimit me shpenzimet e meremetimeve </t>
  </si>
  <si>
    <t>dhe mirembajtjes auto te shtrira ne periudha.</t>
  </si>
  <si>
    <t>k)</t>
  </si>
  <si>
    <t>l)</t>
  </si>
  <si>
    <t>m)</t>
  </si>
  <si>
    <t>Pozicioni më 31 dhjetor 2011</t>
  </si>
  <si>
    <t xml:space="preserve">       Bought during the period</t>
  </si>
  <si>
    <t xml:space="preserve">Nga kryerja e sherbimeve </t>
  </si>
  <si>
    <t>Sales of services</t>
  </si>
  <si>
    <t>1/b</t>
  </si>
  <si>
    <t xml:space="preserve">       Ndryshim i gjendjes</t>
  </si>
  <si>
    <t xml:space="preserve">       Change of stock</t>
  </si>
  <si>
    <t>Sales of goods</t>
  </si>
  <si>
    <t>Other sales and services</t>
  </si>
  <si>
    <t>2/a</t>
  </si>
  <si>
    <t xml:space="preserve">       Amortization</t>
  </si>
  <si>
    <t>TOTAL SHIFRA NETO E AFARIZMIT</t>
  </si>
  <si>
    <t>Pozicioni më 31 dhjetor 2009</t>
  </si>
  <si>
    <t>Control</t>
  </si>
  <si>
    <t>31.12.2009</t>
  </si>
  <si>
    <t>TOTAL OF ACTIVITY</t>
  </si>
  <si>
    <t>2/b</t>
  </si>
  <si>
    <t xml:space="preserve">       Provisions for depreciation</t>
  </si>
  <si>
    <t xml:space="preserve"> NGA KJO :EXPORT</t>
  </si>
  <si>
    <t>Emertimi</t>
  </si>
  <si>
    <t>Sasia</t>
  </si>
  <si>
    <t>Gjendje</t>
  </si>
  <si>
    <t>Shtesa</t>
  </si>
  <si>
    <t>Pakesime</t>
  </si>
  <si>
    <t>Toka</t>
  </si>
  <si>
    <t>Paisje kompjuterike</t>
  </si>
  <si>
    <t>Paisje Zyre</t>
  </si>
  <si>
    <t xml:space="preserve">             TOTALI</t>
  </si>
  <si>
    <t>Administratori</t>
  </si>
  <si>
    <t>NIPT    K21909002k</t>
  </si>
  <si>
    <t>TEL     2359147</t>
  </si>
  <si>
    <t>INVENTARI I LLOGARIVE BANKARE</t>
  </si>
  <si>
    <t>Emertimi i 
Bankes</t>
  </si>
  <si>
    <t>Numri 
i Llogarise</t>
  </si>
  <si>
    <t>Shuma ne 
monedhe te Huaj (eur)</t>
  </si>
  <si>
    <t>Shuma ne 
monedhe te Huaj (usd)</t>
  </si>
  <si>
    <t>Shuma ne 
monedhe te Huaj (gbp)</t>
  </si>
  <si>
    <t xml:space="preserve">Shuma 
ne Leke </t>
  </si>
  <si>
    <t xml:space="preserve">Shuma </t>
  </si>
  <si>
    <t xml:space="preserve">Perfaqesuesi I Personit Juridik/Fizik </t>
  </si>
  <si>
    <t>emer mbemer firme e vule</t>
  </si>
  <si>
    <t>20% Vl.Mbet.</t>
  </si>
  <si>
    <t>Grupet e aktiveve</t>
  </si>
  <si>
    <t>Pake</t>
  </si>
  <si>
    <t>Amortizimi</t>
  </si>
  <si>
    <t>Vl.mbetur</t>
  </si>
  <si>
    <t>Amortiz.i</t>
  </si>
  <si>
    <t>Amortizim
Tatimor</t>
  </si>
  <si>
    <t>sime</t>
  </si>
  <si>
    <t>Makineri e paisje</t>
  </si>
  <si>
    <t>Paisje informatike</t>
  </si>
  <si>
    <t>Të tjera</t>
  </si>
  <si>
    <t>SHUMA</t>
  </si>
  <si>
    <t>Per Drejtimin e Shoqerise</t>
  </si>
  <si>
    <t>V.O.Per pakesimet ndryshimi i amortizimit dhe vleftes se mbetur te pasqyrohen me storno</t>
  </si>
  <si>
    <t xml:space="preserve">  </t>
  </si>
  <si>
    <t>Nr.</t>
  </si>
  <si>
    <t>Lloji automjetit</t>
  </si>
  <si>
    <t>Kapaciteti</t>
  </si>
  <si>
    <t>Targa</t>
  </si>
  <si>
    <t>Vlera</t>
  </si>
  <si>
    <t>Pasqyre Nr.1</t>
  </si>
  <si>
    <t>ANEKS STATISTIKOR</t>
  </si>
  <si>
    <t>Numri i Llogarise</t>
  </si>
  <si>
    <t>Kodi Statistikor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</si>
  <si>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</si>
  <si>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</si>
  <si>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</si>
  <si>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</si>
  <si>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</si>
  <si>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</si>
  <si>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</si>
  <si>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</si>
  <si>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</si>
  <si>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Komisione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</si>
  <si>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</si>
  <si>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</si>
  <si>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</si>
  <si>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</si>
  <si>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</si>
  <si>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</si>
  <si>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</si>
  <si>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</si>
  <si>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Rivlersim tat fit ushtr para </t>
  </si>
  <si>
    <t xml:space="preserve">Interesa te llogaritura </t>
  </si>
  <si>
    <t xml:space="preserve">Gjoba te llogaritura </t>
  </si>
  <si>
    <t>Tatim ne burim ushtr para</t>
  </si>
  <si>
    <t xml:space="preserve">Kjo llogari perbehet nga sigurimet shoqerore,tvsh dhe tatimi mbi te ardhurat personale te punonjesve ne muajin </t>
  </si>
  <si>
    <t>Detyrim ndaj pronareve</t>
  </si>
  <si>
    <t xml:space="preserve">Mirembajtje te tjera </t>
  </si>
  <si>
    <t>Te ardhura/shpenzime finan. nga dhurata ,demshperblime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</si>
  <si>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</si>
  <si>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</si>
  <si>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</si>
  <si>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</si>
  <si>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</si>
  <si>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</si>
  <si>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</si>
  <si>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</si>
  <si>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</si>
  <si>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</si>
  <si>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</si>
  <si>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</si>
  <si>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</si>
  <si>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</si>
  <si>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</si>
  <si>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</si>
  <si>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</si>
  <si>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</si>
  <si>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</si>
  <si>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</si>
  <si>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</si>
  <si>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</si>
  <si>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</si>
  <si>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</si>
  <si>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</si>
  <si>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Mirembajtje dhe riparime</t>
  </si>
  <si>
    <t>Shpenzime për Siguracione</t>
  </si>
  <si>
    <t>Kerkim studime</t>
  </si>
  <si>
    <t>Sherbime të tjera</t>
  </si>
  <si>
    <t>Shpenzime per koncesione, patenta dhe licensa</t>
  </si>
  <si>
    <t>Shpenzime per publicitet, reklama</t>
  </si>
  <si>
    <t>Transferime, udhetime, dieta</t>
  </si>
  <si>
    <t xml:space="preserve">Shpenzime postare dhe telekomunikacioni </t>
  </si>
  <si>
    <t>Shpenzime transporti</t>
  </si>
  <si>
    <t xml:space="preserve">   per Blerje </t>
  </si>
  <si>
    <t xml:space="preserve">   per shitje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</si>
  <si>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</si>
  <si>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</si>
  <si>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</si>
  <si>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</si>
  <si>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</si>
  <si>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</si>
  <si>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</si>
  <si>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</si>
  <si>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</si>
  <si>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</si>
  <si>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</si>
  <si>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</si>
  <si>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</si>
  <si>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</si>
  <si>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</si>
  <si>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r>
      <t xml:space="preserve"> </t>
    </r>
    <r>
      <rPr>
        <sz val="8"/>
        <rFont val="Arial"/>
        <family val="2"/>
      </rPr>
      <t>Ndryshimet e gjëndjeve të Mallrave (+/-)</t>
    </r>
  </si>
  <si>
    <r>
      <t xml:space="preserve"> </t>
    </r>
    <r>
      <rPr>
        <sz val="8"/>
        <rFont val="Arial"/>
        <family val="2"/>
      </rPr>
      <t>Pagat e personelit</t>
    </r>
  </si>
  <si>
    <t>NIPT</t>
  </si>
  <si>
    <t>Aktiviteti  kryesor</t>
  </si>
  <si>
    <t>Aktiviteti dytesor</t>
  </si>
  <si>
    <t>Tregti</t>
  </si>
  <si>
    <t>Pasqyre Nr.3</t>
  </si>
  <si>
    <t>Tregti karburanti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</si>
  <si>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</si>
  <si>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</si>
  <si>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</si>
  <si>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</si>
  <si>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</si>
  <si>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</si>
  <si>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</si>
  <si>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</si>
  <si>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</si>
  <si>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</si>
  <si>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</si>
  <si>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</si>
  <si>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</si>
  <si>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</si>
  <si>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>11.a</t>
  </si>
  <si>
    <t>Huamarrjet afatshkurter</t>
  </si>
  <si>
    <t>Te ardhura nga dhurata dhe zhdemtimet auto</t>
  </si>
  <si>
    <t>Rezultati '10</t>
  </si>
  <si>
    <t>Rezultati '11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</si>
  <si>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</si>
  <si>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</si>
  <si>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</si>
  <si>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</si>
  <si>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</si>
  <si>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</si>
  <si>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</si>
  <si>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</si>
  <si>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</si>
  <si>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</si>
  <si>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</si>
  <si>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</si>
  <si>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</si>
  <si>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</si>
  <si>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</si>
  <si>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</si>
  <si>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</si>
  <si>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</si>
  <si>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</si>
  <si>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</si>
  <si>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</si>
  <si>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</si>
  <si>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</si>
  <si>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</si>
  <si>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</si>
  <si>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</si>
  <si>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</si>
  <si>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</si>
  <si>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</si>
  <si>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</si>
  <si>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</si>
  <si>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</si>
  <si>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</si>
  <si>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</si>
  <si>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</si>
  <si>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</si>
  <si>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</si>
  <si>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</si>
  <si>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</si>
  <si>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</si>
  <si>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</si>
  <si>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Huamarrjet(overdraft)</t>
  </si>
  <si>
    <t>From wich Export</t>
  </si>
  <si>
    <t>Reparing, services,subcontractors,</t>
  </si>
  <si>
    <t>OTHER REVENUES (exept financ.)</t>
  </si>
  <si>
    <t>Shpenzime personeli</t>
  </si>
  <si>
    <t>Personel Expenses</t>
  </si>
  <si>
    <t>4/a</t>
  </si>
  <si>
    <t xml:space="preserve">       Paga</t>
  </si>
  <si>
    <t xml:space="preserve">       Salaries</t>
  </si>
  <si>
    <t>Shtesa e gjendjes se prodhimit te vet</t>
  </si>
  <si>
    <t>Increase in stoks of production</t>
  </si>
  <si>
    <t>4/b</t>
  </si>
  <si>
    <t xml:space="preserve">       Trajtime dhe shperblime</t>
  </si>
  <si>
    <t xml:space="preserve">       Training and premiums</t>
  </si>
  <si>
    <t>Prodhim AQ</t>
  </si>
  <si>
    <t>Production of fixed assets</t>
  </si>
  <si>
    <t>4/c</t>
  </si>
  <si>
    <t xml:space="preserve">       Sigurime shoqerore</t>
  </si>
  <si>
    <t xml:space="preserve">       Social insurance and similar</t>
  </si>
  <si>
    <t>Subvencione te shfrytezimit</t>
  </si>
  <si>
    <t>Subsidies receved</t>
  </si>
  <si>
    <t>Tatime,taksa e derdhje te ngjashme</t>
  </si>
  <si>
    <t>Taxes and other similar</t>
  </si>
  <si>
    <t>Te ardhura te tjera rrjedhese</t>
  </si>
  <si>
    <t>Other current revenues</t>
  </si>
  <si>
    <t>Shpenzime te tjera rrjedhese</t>
  </si>
  <si>
    <t>Other Expenses</t>
  </si>
  <si>
    <t>8/a</t>
  </si>
  <si>
    <t xml:space="preserve">      Cmimi shitje se AQ</t>
  </si>
  <si>
    <t xml:space="preserve">      Sales of fixed assets</t>
  </si>
  <si>
    <t>6/a</t>
  </si>
  <si>
    <t xml:space="preserve">       Vlera kontabel e AQ te shitura</t>
  </si>
  <si>
    <t xml:space="preserve">       Accounting value of fixed assets</t>
  </si>
  <si>
    <t>8/b</t>
  </si>
  <si>
    <t xml:space="preserve">      Arketim i debitoreve</t>
  </si>
  <si>
    <t xml:space="preserve">      Reven. due to paym.of bad debts</t>
  </si>
  <si>
    <t>6/b</t>
  </si>
  <si>
    <t xml:space="preserve">       Humje nga mos arketim i debitoreve</t>
  </si>
  <si>
    <t xml:space="preserve">       Losses from bad clients</t>
  </si>
  <si>
    <t>8/c</t>
  </si>
  <si>
    <t xml:space="preserve">      Other</t>
  </si>
  <si>
    <t>6/c</t>
  </si>
  <si>
    <t xml:space="preserve">       Other Expenses</t>
  </si>
  <si>
    <t>Amortizime dhe provizione</t>
  </si>
  <si>
    <t>Depreciation and Provisions</t>
  </si>
  <si>
    <t>Rimarje amortizimi dhe provizione</t>
  </si>
  <si>
    <t>Adjustments of Depreciat.&amp; Provisions</t>
  </si>
  <si>
    <t>7/a</t>
  </si>
  <si>
    <t xml:space="preserve">       Amortizim AQ</t>
  </si>
  <si>
    <t xml:space="preserve">       Depreciation of fixed assets</t>
  </si>
  <si>
    <t>9/a</t>
  </si>
  <si>
    <t xml:space="preserve">      Per AQ</t>
  </si>
  <si>
    <t xml:space="preserve">      For depreciation of fixed assets</t>
  </si>
  <si>
    <t>7/b</t>
  </si>
  <si>
    <t xml:space="preserve">       Provizion per zhvleres. e AQ</t>
  </si>
  <si>
    <t xml:space="preserve">       Provisions related fixed assets</t>
  </si>
  <si>
    <t>9/b</t>
  </si>
  <si>
    <t xml:space="preserve">      Per prov.te AQ</t>
  </si>
  <si>
    <t xml:space="preserve">      For provisions of fixed assets</t>
  </si>
  <si>
    <t>7/c</t>
  </si>
  <si>
    <t xml:space="preserve">       Provisions related circular assets</t>
  </si>
  <si>
    <t>9/c</t>
  </si>
  <si>
    <t xml:space="preserve">      For provisions of Circuliar assets</t>
  </si>
  <si>
    <t>7/d</t>
  </si>
  <si>
    <t xml:space="preserve">       Provizion per rreziqe e shpenzime </t>
  </si>
  <si>
    <t xml:space="preserve">       Provisions related exp, &amp; other risks</t>
  </si>
  <si>
    <t>9/d</t>
  </si>
  <si>
    <t xml:space="preserve">      Per prov.per rreziqe e shpenzime</t>
  </si>
  <si>
    <t xml:space="preserve">      For provis. for risks and expens.</t>
  </si>
  <si>
    <t>7/e</t>
  </si>
  <si>
    <t xml:space="preserve">       Shpenzime per tu shperndare</t>
  </si>
  <si>
    <t xml:space="preserve">       Amortization of  Prepaid expenses</t>
  </si>
  <si>
    <t>TOTAL     (I+II)</t>
  </si>
  <si>
    <t>TOTAL OF OPERAC. EXPENS. (I+II)</t>
  </si>
  <si>
    <t>TOTAL  TE ARDHURA (I+II)</t>
  </si>
  <si>
    <t>TOTAL OF OPERAC. REVENUES (I+II)</t>
  </si>
  <si>
    <t>III</t>
  </si>
  <si>
    <t>SHPENZIME FINANCIARE</t>
  </si>
  <si>
    <t>FINANCIAL EXPENSES</t>
  </si>
  <si>
    <t>TE ARDHURA FINANCIARE</t>
  </si>
  <si>
    <t>FINANCIAL REVENUES</t>
  </si>
  <si>
    <t>Interesa te paguara dhe per tu paguar</t>
  </si>
  <si>
    <t>Interes expense calculated to be paid</t>
  </si>
  <si>
    <t>Int.te fituara dhe te ngjashme</t>
  </si>
  <si>
    <t>Int. income from loans and deposits</t>
  </si>
  <si>
    <t>Minusvlera nga shitja e letrave me vlere</t>
  </si>
  <si>
    <t>Losses on sales of financial assets</t>
  </si>
  <si>
    <t>Plus vlera nga shitja e letrave me vlere</t>
  </si>
  <si>
    <t>Gain on sales of finacial assets</t>
  </si>
  <si>
    <t>Difernca negative nga kembimi</t>
  </si>
  <si>
    <t>Shitje AAM</t>
  </si>
  <si>
    <t xml:space="preserve">Losses from the exchange rates </t>
  </si>
  <si>
    <t>Diferenca pozitive nga kembimi</t>
  </si>
  <si>
    <t>Gain from exchange rate</t>
  </si>
  <si>
    <t>Provis. related financial circular assets</t>
  </si>
  <si>
    <t>Adjustments of provis. for circul. assets</t>
  </si>
  <si>
    <t>Other financial expenses</t>
  </si>
  <si>
    <t>Other finacial revenues</t>
  </si>
  <si>
    <t>TOTAL     (I+II+III)</t>
  </si>
  <si>
    <t>ORDINARY EXPENSE OF ACTIVITY</t>
  </si>
  <si>
    <t>TOTAL  TE ARDHURA (I+II+III)</t>
  </si>
  <si>
    <t>ORDINARY REVENUES OF ACTIVITY</t>
  </si>
  <si>
    <t>IV</t>
  </si>
  <si>
    <t>SHPENZIME TE JASHTEZAKONSHME</t>
  </si>
  <si>
    <t xml:space="preserve">Shpenzime te panjohura </t>
  </si>
  <si>
    <t>Taksa auto</t>
  </si>
  <si>
    <t>Te ardhura nga shoqeri te lidhura</t>
  </si>
  <si>
    <t>Shpenzime nga shoqeri te lidhura</t>
  </si>
  <si>
    <t>EXTRAORDINARY EXPENSES</t>
  </si>
  <si>
    <t>TE ARDHURA TE JASHTEZAKONSHME</t>
  </si>
  <si>
    <t>EXTRAORDINARY REVENUE</t>
  </si>
  <si>
    <t>REZULTAT I JASHTEZAKONSHEM</t>
  </si>
  <si>
    <t>EXTRAORDINARY  RESULT</t>
  </si>
  <si>
    <t>REZULTAT I  JASHTEZAKONSHEM</t>
  </si>
  <si>
    <t>FITIMI PARA TATIMIT</t>
  </si>
  <si>
    <t>INCOME BEFORE TAXES</t>
  </si>
  <si>
    <t>HUMBJE</t>
  </si>
  <si>
    <t>TATIM MBI FITIMIN</t>
  </si>
  <si>
    <t>PROFIT TAXES</t>
  </si>
  <si>
    <t>Tatim mbi fitimin</t>
  </si>
  <si>
    <t>Profit taxes</t>
  </si>
  <si>
    <t xml:space="preserve">       Tatim mbi fitimin</t>
  </si>
  <si>
    <t xml:space="preserve"> Profit tax</t>
  </si>
  <si>
    <t xml:space="preserve">           -  Related ordinary activity</t>
  </si>
  <si>
    <t xml:space="preserve">       Zbritje te tjera</t>
  </si>
  <si>
    <t xml:space="preserve">       Other redaction</t>
  </si>
  <si>
    <t>FITIMI NETO</t>
  </si>
  <si>
    <t>NET PROFIT</t>
  </si>
  <si>
    <t>Cash Flow nga aktiviteti I shfrytzimit</t>
  </si>
  <si>
    <t>Cash flows from operating activities</t>
  </si>
  <si>
    <t>Rezultati</t>
  </si>
  <si>
    <t>Shpenzimet</t>
  </si>
  <si>
    <t xml:space="preserve">(Humbje)/ fitimi para tatimit </t>
  </si>
  <si>
    <t>Net (Loss) / profit before income taxes</t>
  </si>
  <si>
    <t>Sistemim per:</t>
  </si>
  <si>
    <t>Adjustments for:</t>
  </si>
  <si>
    <t xml:space="preserve">     Rezultati Financiar neto (e ardhur) shpenzim</t>
  </si>
  <si>
    <t>Net finance (income) / costs</t>
  </si>
  <si>
    <t>Diferencat e konvertimit kane kaluar ne rezultat.</t>
  </si>
  <si>
    <t xml:space="preserve">     Amortizimi</t>
  </si>
  <si>
    <t>Depreciation</t>
  </si>
  <si>
    <t xml:space="preserve">     Provizionet</t>
  </si>
  <si>
    <t xml:space="preserve">     Humbje nga shitja e AQT</t>
  </si>
  <si>
    <t>Loss on disposal of property, plant &amp; equipment</t>
  </si>
  <si>
    <t>Rezultati para ndryshimeve ne Kapitalin Qarkullues</t>
  </si>
  <si>
    <t>Operating profit before working capital changes:</t>
  </si>
  <si>
    <t>Kapitali</t>
  </si>
  <si>
    <t>Rezerva</t>
  </si>
  <si>
    <t>Fit e humb 
mbartura</t>
  </si>
  <si>
    <t>Fit e humb
v. ushtrimor</t>
  </si>
  <si>
    <t>Provi</t>
  </si>
  <si>
    <t>Total</t>
  </si>
  <si>
    <t>Themeltar</t>
  </si>
  <si>
    <t>zionet</t>
  </si>
  <si>
    <t xml:space="preserve">Shtesa e kapitalit </t>
  </si>
  <si>
    <t>Fitim i shperndare</t>
  </si>
  <si>
    <t xml:space="preserve">Fitimi vitit ushtrimor </t>
  </si>
  <si>
    <t>Provizonet neto</t>
  </si>
  <si>
    <t>Nr</t>
  </si>
  <si>
    <t>Muajt</t>
  </si>
  <si>
    <t>Shitjet</t>
  </si>
  <si>
    <t>Blerjet</t>
  </si>
  <si>
    <t>TVSH</t>
  </si>
  <si>
    <t>Per tu Paguar
/Kredituar</t>
  </si>
  <si>
    <t>Paguar</t>
  </si>
  <si>
    <t>Kredituar</t>
  </si>
  <si>
    <t>Te perjasht.</t>
  </si>
  <si>
    <t>Eksporte</t>
  </si>
  <si>
    <t>Tatueshme</t>
  </si>
  <si>
    <t>Perjasht</t>
  </si>
  <si>
    <t>Importe</t>
  </si>
  <si>
    <t>Vendi</t>
  </si>
  <si>
    <t>Llogaritur</t>
  </si>
  <si>
    <t>Zbritshme</t>
  </si>
  <si>
    <t>Diferenca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</si>
  <si>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</si>
  <si>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</si>
  <si>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</si>
  <si>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</si>
  <si>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</si>
  <si>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</si>
  <si>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</si>
  <si>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</si>
  <si>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</si>
  <si>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Pershkrimi</t>
  </si>
  <si>
    <t>f)</t>
  </si>
  <si>
    <t>g)</t>
  </si>
  <si>
    <t>AKTIVI</t>
  </si>
  <si>
    <t>PASIVI</t>
  </si>
  <si>
    <t>Taksa vjetore ( Inspektoriati Shteteror i Punes)</t>
  </si>
  <si>
    <t xml:space="preserve">Llogaritja e rezultatit </t>
  </si>
  <si>
    <t>Te ardhurat dhe shpenzimet</t>
  </si>
  <si>
    <t>Te ushtrimit</t>
  </si>
  <si>
    <t>Tatimore</t>
  </si>
  <si>
    <t>(8/9)      Te ardhurat</t>
  </si>
  <si>
    <t>(10/11)  Shpenzimet</t>
  </si>
  <si>
    <t>(12)       Shpenzimet e pazbritshme</t>
  </si>
  <si>
    <t xml:space="preserve">(13/14)  Humbja </t>
  </si>
  <si>
    <t>(15/16)  Fitimi</t>
  </si>
  <si>
    <t>(17)       Humbje e mbartur</t>
  </si>
  <si>
    <t>(18)       Fitimi i tatueshem neto (16-17)</t>
  </si>
  <si>
    <t xml:space="preserve">Llogaritja e tatim  fitimit </t>
  </si>
  <si>
    <t>(20)  Tatim fitimi me perqindje te tjera</t>
  </si>
  <si>
    <t>(21)  Tatim fitimi (19+20)</t>
  </si>
  <si>
    <t xml:space="preserve">(22)  Tatim fitimi i shtyre </t>
  </si>
  <si>
    <t xml:space="preserve">(24)  Tatim fitimi i mbipaguar </t>
  </si>
  <si>
    <t>(25)  Tatimi fitimi i detyrueshem per tu paguar</t>
  </si>
  <si>
    <t>(26)  Denime / interesa per vonesa</t>
  </si>
  <si>
    <t>(27)  TOTALI PER TU PAGUAR</t>
  </si>
  <si>
    <t>Formule</t>
  </si>
  <si>
    <t>Plotesohen me dore</t>
  </si>
  <si>
    <t>Nuk plotesohen</t>
  </si>
  <si>
    <t>Financiare</t>
  </si>
  <si>
    <t>Provizione per rreziqe dhe shpenzime</t>
  </si>
  <si>
    <t>Subvencione per investime</t>
  </si>
  <si>
    <t xml:space="preserve">LLOGARI TE TJERA </t>
  </si>
  <si>
    <t>HUMBJA NETO</t>
  </si>
  <si>
    <t>AKTIVE TE QENDRUESHME</t>
  </si>
  <si>
    <t>Fiitime ose humbje te ushtrimit (Humbje)</t>
  </si>
  <si>
    <t xml:space="preserve">Fonde te Tjera Te Vetat </t>
  </si>
  <si>
    <t xml:space="preserve">Detyrime te Kerkushme deri nje Vit </t>
  </si>
  <si>
    <t xml:space="preserve">Vlera arke te tjera </t>
  </si>
  <si>
    <t>Furnitura,nentrajt. dhe sherbime</t>
  </si>
  <si>
    <t>Provis. Per aktivet financ.te qendr. E qark</t>
  </si>
  <si>
    <t xml:space="preserve">          -  Per fitimin nga vep. Te zakonshme</t>
  </si>
  <si>
    <t>TE ARDHURA TE TJERA (vec financiare)</t>
  </si>
  <si>
    <t xml:space="preserve">      Per prov.te A.qarkulluese</t>
  </si>
  <si>
    <t>Me 1 January 2007</t>
  </si>
  <si>
    <t>Me 30 June 2008</t>
  </si>
  <si>
    <t>Aktive Afatshkurtra</t>
  </si>
  <si>
    <t>Mjetet Monetare</t>
  </si>
  <si>
    <t>Derivate dhe Aktive Financiare te mbajtur per tregtim</t>
  </si>
  <si>
    <t>Derivatet</t>
  </si>
  <si>
    <t>Totali</t>
  </si>
  <si>
    <t>a)</t>
  </si>
  <si>
    <t>b)</t>
  </si>
  <si>
    <t>Aktive te tjera Financiare afatshkurter</t>
  </si>
  <si>
    <t>c)</t>
  </si>
  <si>
    <t>d)</t>
  </si>
  <si>
    <t>Inventari</t>
  </si>
  <si>
    <t>Aktive Biologjike afatshkurter</t>
  </si>
  <si>
    <t>Aktive Afatshkurtra te mbajtur per shitje</t>
  </si>
  <si>
    <t>Aktive Afatgjata</t>
  </si>
  <si>
    <t>Investime financiare afatgjata</t>
  </si>
  <si>
    <t>ç)</t>
  </si>
  <si>
    <t>Aksione dhe pjesemarrje te tjera ne njesi te kontrolluara</t>
  </si>
  <si>
    <t>Aksione dhe investime te tjera ne pjesemarrje</t>
  </si>
  <si>
    <t>Aksione dhe letra te tjera me vlere</t>
  </si>
  <si>
    <t>Aktive Afatgjata Materiale</t>
  </si>
  <si>
    <t>Aktive Biologjike Afatgjate</t>
  </si>
  <si>
    <t>Aktive Afatgjata Jomateriale</t>
  </si>
  <si>
    <t>Emri i mire</t>
  </si>
  <si>
    <t>Shpenzimet e zhvillimit</t>
  </si>
  <si>
    <t>Kapitali aksionar i papaguar</t>
  </si>
  <si>
    <t>Totali i Aktiveve Afatgjata</t>
  </si>
  <si>
    <t xml:space="preserve">Pasivet Afatshkurta 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</si>
  <si>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</si>
  <si>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</si>
  <si>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</si>
  <si>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</si>
  <si>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</si>
  <si>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</si>
  <si>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</si>
  <si>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Pasive Totale Afatshkurtra</t>
  </si>
  <si>
    <t>Pasivet Afatgjata</t>
  </si>
  <si>
    <t>Huate afatgjata</t>
  </si>
  <si>
    <t>Bonot e konvertueshme</t>
  </si>
  <si>
    <t>Huamarrje te tjera afatgjata</t>
  </si>
  <si>
    <t>Provizionet afatgjata</t>
  </si>
  <si>
    <t>Grandet dhe te ardhura te shtyra</t>
  </si>
  <si>
    <t>Pasive Totale Afatgjata</t>
  </si>
  <si>
    <t>Totali i pasiveve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</si>
  <si>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</si>
  <si>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</si>
  <si>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</si>
  <si>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</si>
  <si>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</si>
  <si>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</si>
  <si>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</si>
  <si>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</si>
  <si>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</si>
  <si>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</si>
  <si>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</si>
  <si>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</si>
  <si>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TOTALI AKTIVEVE</t>
  </si>
  <si>
    <t>Shitje neto</t>
  </si>
  <si>
    <t>Te ardhura te tjera nga veprimtarite e shfrytezimit</t>
  </si>
  <si>
    <t>Puna e kryer nga njesia ek per qellime te veta</t>
  </si>
  <si>
    <t xml:space="preserve">Mallra, lendet e para dhe sherbimet </t>
  </si>
  <si>
    <t>Materiale</t>
  </si>
  <si>
    <t>Keto shpenzime jane shperndare sipas konsumit te tyre ne vite. Ushtrimi eshte renduar me nje pjese te tyre.</t>
  </si>
  <si>
    <t xml:space="preserve">Tituj pjesemarrje </t>
  </si>
  <si>
    <t>Tvsh</t>
  </si>
  <si>
    <t>Energji elektrike</t>
  </si>
  <si>
    <t>Karburant</t>
  </si>
  <si>
    <t>Qera</t>
  </si>
  <si>
    <t>Materiale teknike</t>
  </si>
  <si>
    <t>Materiale per vete</t>
  </si>
  <si>
    <t>Mirembajtje teknika</t>
  </si>
  <si>
    <t>Te tjera</t>
  </si>
  <si>
    <t>Shpenzime udhetimi, dieta</t>
  </si>
  <si>
    <t>Shpenzime te tjera nga veprimtarite e shfryt</t>
  </si>
  <si>
    <t>Shpenzimet e personelit</t>
  </si>
  <si>
    <t>3/a</t>
  </si>
  <si>
    <t>3/b</t>
  </si>
  <si>
    <t>3/c</t>
  </si>
  <si>
    <t>3/d</t>
  </si>
  <si>
    <t>17.a</t>
  </si>
  <si>
    <t xml:space="preserve">Control </t>
  </si>
  <si>
    <t>Dec 31,2010</t>
  </si>
  <si>
    <t xml:space="preserve">Te tjera  detyrime             </t>
  </si>
  <si>
    <t xml:space="preserve"> Lendet e para (materiale)</t>
  </si>
  <si>
    <t>Shpenzime pa fature te rregullt</t>
  </si>
  <si>
    <t>Rimarrje proviz per A. financ (rivler fin)</t>
  </si>
  <si>
    <t>Te ardh dhe shpenz te tjera financ (rivler fin)</t>
  </si>
  <si>
    <t>31.12.2010</t>
  </si>
  <si>
    <t>16.a</t>
  </si>
  <si>
    <t>16.b</t>
  </si>
  <si>
    <t>16.c</t>
  </si>
  <si>
    <t>Depozita ne banke e llogari te tjera</t>
  </si>
  <si>
    <t>j)</t>
  </si>
  <si>
    <t>b) Tatim fitimi i periudhave te meparshme paguar teper dhe</t>
  </si>
  <si>
    <t>Tatim ne burim</t>
  </si>
  <si>
    <t>Te ardhura nga shitja e AAM-ve</t>
  </si>
  <si>
    <t>Shpenzime postare telekom / cel, internet</t>
  </si>
  <si>
    <t xml:space="preserve">      Te tjera (dhurata dhe demshperblim)</t>
  </si>
  <si>
    <t>Shpenzime kancelari e mirembajtje zyre</t>
  </si>
  <si>
    <t>Sigurime (prime) automjetet, kontrata</t>
  </si>
  <si>
    <t>Shpenzime te tjera te shfrytezimit (Tatim Taksa e Tjera)</t>
  </si>
  <si>
    <t>Vlera kont e AAM te shitur</t>
  </si>
  <si>
    <t>Shpenzime per sponsorizim</t>
  </si>
  <si>
    <t>Te tjera shpenzime me dokumentacion jo te plote</t>
  </si>
  <si>
    <t>Pozicioni më 31 dhjetor 2010</t>
  </si>
  <si>
    <t xml:space="preserve">Fitimi para tatimit </t>
  </si>
  <si>
    <t xml:space="preserve">Shpenzime te tjera  </t>
  </si>
  <si>
    <t>Te ardhurat/shpenzimet fin. nga njesi. kontrolluara</t>
  </si>
  <si>
    <t>Te ardhurat/shpenzimet fin. nga pjesemarrjet</t>
  </si>
  <si>
    <t>Te ardhura dhe shpenzime financiare</t>
  </si>
  <si>
    <t>Te ardhura dhe shpenzime financiare nga interesi</t>
  </si>
  <si>
    <t>Fitimi dhe humbje nga kursi i kembimit</t>
  </si>
  <si>
    <t>Fitimi (humbja) para tatimit</t>
  </si>
  <si>
    <t>DETYRIMET DHE KAPITALI</t>
  </si>
  <si>
    <t>PASQYRA E TE ARDHURAVE DHE SHPENZIMEVE</t>
  </si>
  <si>
    <t>(Bazuar ne klasifikimin e shpenzimeve sipas natyres)</t>
  </si>
  <si>
    <t>PASQYRA E LEVIZJES SE KAPITALIT</t>
  </si>
  <si>
    <t>Shpenzimet e tatimit mbi fitimin</t>
  </si>
  <si>
    <t>Fitim (humbje) neto e vitit financiar</t>
  </si>
  <si>
    <t>Pjesa e fitimit neto per aksionaret e shoqerise meme</t>
  </si>
  <si>
    <t>Pjesa e fitimit neto per akisoneret e pakices</t>
  </si>
  <si>
    <t xml:space="preserve">Mbipagese tatim fitimi ushtrimor </t>
  </si>
  <si>
    <t>Mbipagese tatim fitimi i mbartur</t>
  </si>
  <si>
    <t>TVSH per tu paguar (gjendje debitore)</t>
  </si>
  <si>
    <t>Shpenzime te paguara ose te regjistruara ne avance</t>
  </si>
  <si>
    <t>Te tjere</t>
  </si>
  <si>
    <t>Shteti detyrime tatimore</t>
  </si>
  <si>
    <t>Fitim humbje vitit ushtrimor</t>
  </si>
  <si>
    <t>Fitim humbje</t>
  </si>
  <si>
    <t>Llogaria fitim humbje</t>
  </si>
  <si>
    <t>Aktiviteti</t>
  </si>
  <si>
    <t>Shpenzime operacionale</t>
  </si>
  <si>
    <t>Rezultati i shfrytezimit</t>
  </si>
  <si>
    <t>Rezultati financiar</t>
  </si>
  <si>
    <t>Rezultati para tatimeve</t>
  </si>
  <si>
    <t>Rezultati tatimor</t>
  </si>
  <si>
    <t>Rezultati ushtrimor</t>
  </si>
  <si>
    <t>Dhurata  (konsum vetjak)</t>
  </si>
  <si>
    <t>Shpenzime per konsum personal</t>
  </si>
  <si>
    <t>Totali i te ardhurave dhe shpenzimeve financiare</t>
  </si>
  <si>
    <t xml:space="preserve">  Shpenzimet per personelin</t>
  </si>
  <si>
    <t>Fitimi (humbja) nga veprimtarite e shfrytezimit</t>
  </si>
  <si>
    <t>Assets</t>
  </si>
  <si>
    <t>Cash and cash equivalents</t>
  </si>
  <si>
    <t>Derivatives and financial assets classified as held for sale</t>
  </si>
  <si>
    <t xml:space="preserve">Derivatives </t>
  </si>
  <si>
    <t>Assets classified as held for sale</t>
  </si>
  <si>
    <t>Other non-current assets</t>
  </si>
  <si>
    <t>Trade receivables</t>
  </si>
  <si>
    <t>Other receivables</t>
  </si>
  <si>
    <t>Other investments</t>
  </si>
  <si>
    <t xml:space="preserve">Raw materials </t>
  </si>
  <si>
    <t>Work in progress</t>
  </si>
  <si>
    <t>Own production</t>
  </si>
  <si>
    <t>Goods</t>
  </si>
  <si>
    <t>Prepayments for supplies</t>
  </si>
  <si>
    <t>Prepayments and deferred expenses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</si>
  <si>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</si>
  <si>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</si>
  <si>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</si>
  <si>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</si>
  <si>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Non-current receivables</t>
  </si>
  <si>
    <t>Property, plant and equipment</t>
  </si>
  <si>
    <t>Land</t>
  </si>
  <si>
    <t>Plant and equipment</t>
  </si>
  <si>
    <t>Other fixed assets</t>
  </si>
  <si>
    <t>Derivatives</t>
  </si>
  <si>
    <t>Current loans and borrowings</t>
  </si>
  <si>
    <t>Current portion of long-term borrowings</t>
  </si>
  <si>
    <t>Convertibles shares</t>
  </si>
  <si>
    <t>Trade and other payables</t>
  </si>
  <si>
    <t>Trade payables</t>
  </si>
  <si>
    <t>Payables toward employees</t>
  </si>
  <si>
    <t>Current tax payables</t>
  </si>
  <si>
    <t>Other borrowings</t>
  </si>
  <si>
    <t>Prepayments</t>
  </si>
  <si>
    <t>Grants and deferred income</t>
  </si>
  <si>
    <t>Current provisions</t>
  </si>
  <si>
    <t>Non-current loans and borrowings</t>
  </si>
  <si>
    <t>Other non-current borrowings</t>
  </si>
  <si>
    <t>Total non-current liabilities</t>
  </si>
  <si>
    <t>Total liabilities</t>
  </si>
  <si>
    <t>Minority interest</t>
  </si>
  <si>
    <t>Equity holders of the Company</t>
  </si>
  <si>
    <t>Share capital</t>
  </si>
  <si>
    <t>Share premium</t>
  </si>
  <si>
    <t>Statutory reserves</t>
  </si>
  <si>
    <t>Legal reserves</t>
  </si>
  <si>
    <t>Other reserves</t>
  </si>
  <si>
    <t>Current year profit/loss</t>
  </si>
  <si>
    <t>xxxxxxxxxxx</t>
  </si>
  <si>
    <t>Total current liabilities</t>
  </si>
  <si>
    <t xml:space="preserve">Loans, securities and financial leasing </t>
  </si>
  <si>
    <t>Hua, bono dhe detyrime nga qeraja financiare</t>
  </si>
  <si>
    <t xml:space="preserve">             A K T I V E T</t>
  </si>
  <si>
    <t xml:space="preserve"> Derivatet</t>
  </si>
  <si>
    <t xml:space="preserve"> Aktivet e mbajtur per tregtim</t>
  </si>
  <si>
    <t xml:space="preserve"> Investime te tjera financiare</t>
  </si>
  <si>
    <t xml:space="preserve"> Produkte te gatshme</t>
  </si>
  <si>
    <t xml:space="preserve"> Parapagesat per furnizime</t>
  </si>
  <si>
    <t>Hua Te tjera</t>
  </si>
  <si>
    <t>Parapagimet e Arketueshme</t>
  </si>
  <si>
    <t>Grantet dhe te Ardhurat e Shtyra</t>
  </si>
  <si>
    <t>Te Ardhura  Financiare</t>
  </si>
  <si>
    <t>Interesa Positive</t>
  </si>
  <si>
    <t>Shpenzime Financiare</t>
  </si>
  <si>
    <t>Interesa te llogaritura</t>
  </si>
  <si>
    <t>Diferenca negative kembimit</t>
  </si>
  <si>
    <t>Efekti i Korigjimeve te rezultatit Ushtrimor</t>
  </si>
  <si>
    <t>% e Tatim Fitimi</t>
  </si>
  <si>
    <t>Tatimi Mbi Fitimin</t>
  </si>
  <si>
    <t xml:space="preserve">Kryerja e sherbimeve </t>
  </si>
  <si>
    <t xml:space="preserve">Te tjera shitje e sherbime </t>
  </si>
  <si>
    <t>Te ardhura nga zhdemtimet</t>
  </si>
  <si>
    <t>Sherbime bankare</t>
  </si>
  <si>
    <t>Tatim taksa lidhur me personelin</t>
  </si>
  <si>
    <t>Taksa tarifa vendore</t>
  </si>
  <si>
    <t xml:space="preserve"> Llogari kerkesa te tjera te arketueshme(shteti tat fit )</t>
  </si>
  <si>
    <t>Shpenzime te tjera nga veprimtarite e shfrytezimit</t>
  </si>
  <si>
    <t>Shpenzime e personelit</t>
  </si>
  <si>
    <t>Shpenzimet e sigurimeve shoqerore</t>
  </si>
  <si>
    <t xml:space="preserve">a) fillimi i amortizimit ka ndodhur ne daten e pare te muajit pasardhes te hyrjes se AAM dhe per te jane zbatuar normat </t>
  </si>
  <si>
    <t>Mallra, lende te para dhe sherbimet</t>
  </si>
  <si>
    <t>Total i Aktiveve Afatshkurtra</t>
  </si>
  <si>
    <t>Long Term Aktive</t>
  </si>
  <si>
    <t>e)</t>
  </si>
  <si>
    <t>Shenime</t>
  </si>
  <si>
    <t>Dec 31,2008</t>
  </si>
  <si>
    <t>Good name</t>
  </si>
  <si>
    <t>Aktive te tjera afatgjata (ne proces)</t>
  </si>
  <si>
    <t>Total Asset</t>
  </si>
  <si>
    <t>Buildings (net)</t>
  </si>
  <si>
    <t>Dividendët e paguar</t>
  </si>
  <si>
    <t>Kapitali aksionar që i përket aksionerëve të shoqërisë mëmë</t>
  </si>
  <si>
    <t>aksionar</t>
  </si>
  <si>
    <t>Primi i</t>
  </si>
  <si>
    <t>aksionit</t>
  </si>
  <si>
    <t>thesarit</t>
  </si>
  <si>
    <t>statusore</t>
  </si>
  <si>
    <t>dhe</t>
  </si>
  <si>
    <t>ligjore</t>
  </si>
  <si>
    <t>Rezerva të</t>
  </si>
  <si>
    <t>konvertimit të</t>
  </si>
  <si>
    <t>monedhave të</t>
  </si>
  <si>
    <t>huaja</t>
  </si>
  <si>
    <t>Fitimi i</t>
  </si>
  <si>
    <t>Zotërimet e</t>
  </si>
  <si>
    <t>aksionerëve</t>
  </si>
  <si>
    <t>të pakicës</t>
  </si>
  <si>
    <t>Aksionet e</t>
  </si>
  <si>
    <t>Efekti i ndryshimeve në politikat kontabel</t>
  </si>
  <si>
    <t>Pozicioni i rregulluar</t>
  </si>
  <si>
    <t>Emetim i kapitalit aksionar</t>
  </si>
  <si>
    <t>Pozicioni më 31 dhjetor 2006</t>
  </si>
  <si>
    <t>Fitimi neto për periudhën kontabël</t>
  </si>
  <si>
    <t>Aksione të thesarit të riblera</t>
  </si>
  <si>
    <t>Pozicioni më 31 dhjetor 2007</t>
  </si>
  <si>
    <t>Fitimi neto i vitit financiar</t>
  </si>
  <si>
    <t>Pozicioni më 31 dhjetor 2008</t>
  </si>
  <si>
    <t>a</t>
  </si>
  <si>
    <t>b</t>
  </si>
  <si>
    <t>c</t>
  </si>
  <si>
    <t>d</t>
  </si>
  <si>
    <t>e</t>
  </si>
  <si>
    <t>f</t>
  </si>
  <si>
    <t>g</t>
  </si>
  <si>
    <t>Pashpërndare</t>
  </si>
  <si>
    <t>F</t>
  </si>
  <si>
    <t>G</t>
  </si>
  <si>
    <t>H</t>
  </si>
  <si>
    <t>J</t>
  </si>
  <si>
    <t>K</t>
  </si>
  <si>
    <t xml:space="preserve">     Pagat</t>
  </si>
  <si>
    <t xml:space="preserve">     Shpenzimet e sigurimeve shoqerore</t>
  </si>
  <si>
    <t>Amortizimi dhe Zhvleresimet</t>
  </si>
  <si>
    <t>A/1</t>
  </si>
  <si>
    <t>A/2</t>
  </si>
  <si>
    <t>A/a</t>
  </si>
  <si>
    <t>A/b</t>
  </si>
  <si>
    <t>A/3</t>
  </si>
  <si>
    <t>A/3/a</t>
  </si>
  <si>
    <t>A/3/b</t>
  </si>
  <si>
    <t>A/3/c</t>
  </si>
  <si>
    <t>A/3/d</t>
  </si>
  <si>
    <t>B/a</t>
  </si>
  <si>
    <t>B/b</t>
  </si>
  <si>
    <t>B/c</t>
  </si>
  <si>
    <t>B/d</t>
  </si>
  <si>
    <t>B/e</t>
  </si>
  <si>
    <t>B/5</t>
  </si>
  <si>
    <t>B/6</t>
  </si>
  <si>
    <t>B/7</t>
  </si>
  <si>
    <t>C/1</t>
  </si>
  <si>
    <t>C/1/a</t>
  </si>
  <si>
    <t>C/1/b</t>
  </si>
  <si>
    <t>C/1/c</t>
  </si>
  <si>
    <t>C/1/ç</t>
  </si>
  <si>
    <t>D/a</t>
  </si>
  <si>
    <t>D/b</t>
  </si>
  <si>
    <t>D/c</t>
  </si>
  <si>
    <t>D/ç</t>
  </si>
  <si>
    <t>E/3</t>
  </si>
  <si>
    <t>E/4</t>
  </si>
  <si>
    <t>E/a</t>
  </si>
  <si>
    <t>E/b</t>
  </si>
  <si>
    <t>E/c</t>
  </si>
  <si>
    <t>E/5</t>
  </si>
  <si>
    <t>E/6</t>
  </si>
  <si>
    <t>F/1</t>
  </si>
  <si>
    <t>F/2</t>
  </si>
  <si>
    <t>F/a</t>
  </si>
  <si>
    <t>F/b</t>
  </si>
  <si>
    <t>F/c</t>
  </si>
  <si>
    <t>G/3</t>
  </si>
  <si>
    <t>G/a</t>
  </si>
  <si>
    <t>G/b</t>
  </si>
  <si>
    <t>g/c</t>
  </si>
  <si>
    <t>G/ç</t>
  </si>
  <si>
    <t>G/d</t>
  </si>
  <si>
    <t>H/4</t>
  </si>
  <si>
    <t>H/5</t>
  </si>
  <si>
    <t>J/1</t>
  </si>
  <si>
    <t>J/a</t>
  </si>
  <si>
    <t>J/b</t>
  </si>
  <si>
    <t>J/2</t>
  </si>
  <si>
    <t>J/3</t>
  </si>
  <si>
    <t>J/4</t>
  </si>
  <si>
    <t>K/1</t>
  </si>
  <si>
    <t>K/2</t>
  </si>
  <si>
    <t>K/3</t>
  </si>
  <si>
    <t>K/4</t>
  </si>
  <si>
    <t>K/5</t>
  </si>
  <si>
    <t>K/6</t>
  </si>
  <si>
    <t>K/7</t>
  </si>
  <si>
    <t>K/8</t>
  </si>
  <si>
    <t>K/9</t>
  </si>
  <si>
    <t>K/10</t>
  </si>
  <si>
    <t>L/2</t>
  </si>
  <si>
    <t>L/3</t>
  </si>
  <si>
    <t>L/4</t>
  </si>
  <si>
    <t>L/5</t>
  </si>
  <si>
    <t>L/6</t>
  </si>
  <si>
    <t>L/7</t>
  </si>
  <si>
    <t>L/a</t>
  </si>
  <si>
    <t>L/b</t>
  </si>
  <si>
    <t>L/c</t>
  </si>
  <si>
    <t>L/8</t>
  </si>
  <si>
    <t>M/1</t>
  </si>
  <si>
    <t>M/2</t>
  </si>
  <si>
    <t>M/3</t>
  </si>
  <si>
    <t>M/3/a</t>
  </si>
  <si>
    <t>M/3/b</t>
  </si>
  <si>
    <t>M/3/c</t>
  </si>
  <si>
    <t>M/3/d</t>
  </si>
  <si>
    <t>Kodi</t>
  </si>
  <si>
    <t>Andi</t>
  </si>
  <si>
    <t>Grantet dhe te ardhura te shtyra</t>
  </si>
  <si>
    <t>Provizionet afatshkurtra</t>
  </si>
  <si>
    <t>Aktive te tjera afatgjata jomateriele</t>
  </si>
  <si>
    <t>Vlera e drejtë</t>
  </si>
  <si>
    <t>Vlera e drejtë (SKK 3)</t>
  </si>
  <si>
    <t>Derivativët me vlerë të drejtë. Aktive të
mbajtura për tregtim me vlerë të drejtë ose
me koston e amortizuar, në varësi
të politikës kontabël të zgjedhur nga njësia
ekonomike raportuese</t>
  </si>
  <si>
    <t>Kostoja e amortizuar (në përgjithësi është e
barabartë me vlerën nominale të kërkesës
për arkëtim minus zhvlerësimin, nëse ka) (SKK 3)</t>
  </si>
  <si>
    <t>Me shumën më të ulët, mes kostos dhe
vlerës neto të realizueshme. Kostoja mund të llogaritet për çdo zë më vete, ose duke përdorur
metodën FIFO, ose metodën e mesatares
së ponderuar</t>
  </si>
  <si>
    <t>Më e ulëta midis vlerës kontabël të mbartur dhe vlerës së drejtë minus kostot e shitjes.</t>
  </si>
  <si>
    <t>Kosto minus zhvlerësimin, nëse ka</t>
  </si>
  <si>
    <t>Kostoja e blerjes në pasqyrat financiare të
pakonsoliduara minus zhvlerësimin, nëse ka</t>
  </si>
  <si>
    <t xml:space="preserve">Metoda e kapitalit në pasqyrat financiare të konsoliduara; kostoja
e blerjes në pasqyrat financiare të pakonsoliduara minus
zhvlerësimin, nëse ka </t>
  </si>
  <si>
    <t xml:space="preserve">Letrat me vlerë njihen me koston e amortizuar dhe pjesëmarrje të tjera - me kosto minus zhvlerësimin </t>
  </si>
  <si>
    <t xml:space="preserve">Kosto e amortizuar minus zhvlerësimi, nëse ka </t>
  </si>
  <si>
    <t>Kosto ose shuma e rivlerësuar minus amortizimin e
akumuluar dhe zhvlerësimin, nëse ka</t>
  </si>
  <si>
    <t>Kostoja minus amortizimin e akumuluar dhe
zhvlerësimin, siç përshkruhet në SKK 4</t>
  </si>
  <si>
    <t>Kostoja e emrit të mirë dhe aktiveve të tjera afatgjata jomateriale
minus amortizimin e akumuluar dhe zhvlerësimin, nëse ka</t>
  </si>
  <si>
    <t>Kostoja e amortizuar</t>
  </si>
  <si>
    <t>Kliente per fatura te leshuara</t>
  </si>
  <si>
    <t xml:space="preserve">Kostoja e amortizuar; për detyrime të qirasë financiare të përdoret
SKK 7 </t>
  </si>
  <si>
    <t>Te tjera rivleresime kapitali (Rezervat)</t>
  </si>
  <si>
    <t>h)</t>
  </si>
  <si>
    <t>i)</t>
  </si>
  <si>
    <t xml:space="preserve">Kostoja e amortizuar, nëse nevojitet, duke e hequr komponentin e
kapitalit nga detyrimi  </t>
  </si>
  <si>
    <t xml:space="preserve">Grandet për shpenzimet kontabilizohen sipas  parimit të përputhshmërisë të të ardhurave dhe shpenzimeve SKK 10 </t>
  </si>
  <si>
    <t xml:space="preserve">Kosto e amortizuar, duke hequr komponentin e kapitalit
nga pasivi </t>
  </si>
  <si>
    <t xml:space="preserve">Vlerësimi i shumës së mundshme të nevojshme për shlyerjen 
e detyrimit bëhet nga drejtuesit e njësisë </t>
  </si>
  <si>
    <t>Grandet për aktivet kontabilizohen në përputhje me metodën
bruto, të përshkruar në SKK 10</t>
  </si>
  <si>
    <t>Sipas metodës kontabël të përshkruar në SKK 9</t>
  </si>
  <si>
    <t>Vlera e drejtë e shumës së paguar për aksionet e riblera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</si>
  <si>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</si>
  <si>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 barabartë me fitimin/humbjen e raportuar në pasqyrën
e të ardhurave dhe shpenzimeve</t>
  </si>
  <si>
    <t>Biological assets xxxxx</t>
  </si>
  <si>
    <t xml:space="preserve"> Llogari kerkesa te arketueshme</t>
  </si>
  <si>
    <t>L/1</t>
  </si>
  <si>
    <t>Periudha 1 janar 2013-31 dhjetor 2013</t>
  </si>
  <si>
    <t>Inventari automjeteve ne pronesi te subjektit   31.12.2013</t>
  </si>
  <si>
    <t>Pozicioni më 31 dhjetor 2013</t>
  </si>
  <si>
    <t>PASQYRAT  FINANCIARE</t>
  </si>
  <si>
    <t>(Mbështetur në Ligjin nr. 9228, datë 29.04.2004 "Për Kontabilitetin dhe Pasqyrat Financiare", të ndryshuar, dhe në Standartet Kombëtare të Kontabilitetit - SKK 2 )</t>
  </si>
  <si>
    <t>ll)</t>
  </si>
  <si>
    <t>n)</t>
  </si>
  <si>
    <t>Vlera e mjeteve monetare ne banke perbehet nga 484 307 leke, 1 349.17 eur.</t>
  </si>
  <si>
    <t>Vlera e mjeteve monetare ne arke perbehet nga  22 444.57 leke dhe 2 061.36 eur.</t>
  </si>
  <si>
    <t>TAT FIT USHT PARARDHEDS</t>
  </si>
  <si>
    <t>SHPENZIME PER T'U SHPERNDARE</t>
  </si>
  <si>
    <t>viti ushtr</t>
  </si>
  <si>
    <t>vl fill mbet</t>
  </si>
  <si>
    <t>blerje</t>
  </si>
  <si>
    <t>% shpernd</t>
  </si>
  <si>
    <t>koha e perd</t>
  </si>
  <si>
    <t>shpernd ushtr</t>
  </si>
  <si>
    <t>shpernd tot</t>
  </si>
  <si>
    <t>vl mbetur</t>
  </si>
  <si>
    <t>UPS 1000 VA 2013</t>
  </si>
  <si>
    <t>07.03.2013</t>
  </si>
  <si>
    <t>TOT 2012</t>
  </si>
  <si>
    <t>TOT 2013</t>
  </si>
  <si>
    <t>GRAND TOT 2013</t>
  </si>
  <si>
    <t>GRAND TOT 2012</t>
  </si>
  <si>
    <t xml:space="preserve">GRAND TOTAL ALL </t>
  </si>
  <si>
    <t>Te zhvillimit</t>
  </si>
  <si>
    <t>Instal teknike,instrumenta</t>
  </si>
  <si>
    <t>Paisje zyra,automjete</t>
  </si>
  <si>
    <t>Paga ndaj punonjesve</t>
  </si>
  <si>
    <t>Ndryshimet ne inventarin e Gatshem dhe proces</t>
  </si>
  <si>
    <t>Interesa Negative</t>
  </si>
  <si>
    <t>Diferenca negative kembimi</t>
  </si>
  <si>
    <t xml:space="preserve">Debitor Tv Ballkan per ineteresa overdraft </t>
  </si>
  <si>
    <t>Pjesemarrje tek TV Ballkan me 35%.</t>
  </si>
  <si>
    <t xml:space="preserve">dhjetor te cilat shlyhen ne muajin janar, po ashtu dhe detyrime te tjera si tatim ne burim. </t>
  </si>
  <si>
    <t>Shpenzimet per personelin (honorare)</t>
  </si>
  <si>
    <t>TR 7422 U</t>
  </si>
  <si>
    <t>TR 7466 U</t>
  </si>
  <si>
    <t>AA 837 DP</t>
  </si>
  <si>
    <t>AA 839 DP</t>
  </si>
  <si>
    <t>AA 846 DP</t>
  </si>
  <si>
    <t>AA 847 DP</t>
  </si>
  <si>
    <t>Aktivet Afatgjata Jo  Materiale   2013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</si>
</sst>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0.0%"/>
    <numFmt numFmtId="169" formatCode="#,##0.0_ ;[Red]\-#,##0.0\ "/>
    <numFmt numFmtId="170" formatCode="_-* #,##0.0_-;\-* #,##0.0_-;_-* &quot;-&quot;??_-;_-@_-"/>
    <numFmt numFmtId="171" formatCode="#,##0.0000000000"/>
    <numFmt numFmtId="172" formatCode="#,##0.0"/>
    <numFmt numFmtId="173" formatCode="_(* #,##0.0_);_(* \(#,##0.0\);_(* &quot;-&quot;??_);_(@_)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CE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sz val="10"/>
      <color indexed="36"/>
      <name val="Calibri"/>
      <family val="2"/>
    </font>
    <font>
      <b/>
      <sz val="10"/>
      <color indexed="36"/>
      <name val="Calibri"/>
      <family val="2"/>
    </font>
    <font>
      <i/>
      <sz val="10"/>
      <color indexed="36"/>
      <name val="Calibri"/>
      <family val="2"/>
    </font>
    <font>
      <b/>
      <i/>
      <sz val="10"/>
      <color indexed="36"/>
      <name val="Calibri"/>
      <family val="2"/>
    </font>
    <font>
      <sz val="10"/>
      <color indexed="9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Calibri"/>
      <family val="2"/>
    </font>
    <font>
      <u/>
      <sz val="10"/>
      <name val="Calibri"/>
      <family val="2"/>
    </font>
    <font>
      <u/>
      <sz val="10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57"/>
      <name val="Calibri"/>
      <family val="2"/>
    </font>
    <font>
      <b/>
      <i/>
      <sz val="10"/>
      <color indexed="57"/>
      <name val="Calibri"/>
      <family val="2"/>
    </font>
    <font>
      <sz val="10"/>
      <color indexed="57"/>
      <name val="Calibri"/>
      <family val="2"/>
    </font>
    <font>
      <b/>
      <sz val="11"/>
      <name val="Calibri"/>
      <family val="2"/>
    </font>
    <font>
      <i/>
      <sz val="10"/>
      <color indexed="8"/>
      <name val="Calibri"/>
      <family val="2"/>
    </font>
    <font>
      <b/>
      <sz val="36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Calibri"/>
      <family val="2"/>
    </font>
    <font>
      <b/>
      <u/>
      <sz val="12"/>
      <color indexed="16"/>
      <name val="Arial"/>
      <family val="2"/>
    </font>
    <font>
      <b/>
      <u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17"/>
      <name val="Calibri"/>
      <family val="2"/>
    </font>
    <font>
      <b/>
      <sz val="10"/>
      <color indexed="9"/>
      <name val="Calibri"/>
      <family val="2"/>
    </font>
    <font>
      <b/>
      <sz val="10"/>
      <color indexed="17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2"/>
      <color indexed="8"/>
      <name val="Calibri"/>
      <family val="2"/>
    </font>
    <font>
      <sz val="11"/>
      <color indexed="8"/>
      <name val="Times New Roman"/>
      <family val="1"/>
    </font>
    <font>
      <sz val="14"/>
      <color indexed="8"/>
      <name val="Calibri"/>
      <family val="2"/>
    </font>
    <font>
      <b/>
      <u/>
      <sz val="12"/>
      <color indexed="8"/>
      <name val="Calibri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48"/>
      <name val="Calibri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b/>
      <i/>
      <sz val="10"/>
      <color indexed="12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i/>
      <sz val="10"/>
      <color indexed="40"/>
      <name val="Calibri"/>
      <family val="2"/>
    </font>
    <font>
      <sz val="8"/>
      <name val="Arial"/>
      <family val="2"/>
    </font>
    <font>
      <sz val="10"/>
      <color theme="0"/>
      <name val="Calibri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medium">
        <color indexed="8"/>
      </left>
      <right/>
      <top style="medium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9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3" applyNumberFormat="0" applyAlignment="0" applyProtection="0"/>
    <xf numFmtId="165" fontId="2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2" applyNumberFormat="0" applyFill="0" applyAlignment="0" applyProtection="0"/>
    <xf numFmtId="43" fontId="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2" fillId="0" borderId="0"/>
    <xf numFmtId="0" fontId="97" fillId="0" borderId="0"/>
    <xf numFmtId="0" fontId="11" fillId="0" borderId="0"/>
    <xf numFmtId="0" fontId="110" fillId="0" borderId="0">
      <alignment vertical="top"/>
    </xf>
    <xf numFmtId="0" fontId="102" fillId="0" borderId="0"/>
    <xf numFmtId="0" fontId="11" fillId="0" borderId="0"/>
    <xf numFmtId="0" fontId="2" fillId="0" borderId="0"/>
    <xf numFmtId="0" fontId="7" fillId="0" borderId="0"/>
    <xf numFmtId="0" fontId="11" fillId="0" borderId="0"/>
    <xf numFmtId="0" fontId="6" fillId="0" borderId="0"/>
    <xf numFmtId="0" fontId="2" fillId="0" borderId="0"/>
    <xf numFmtId="0" fontId="102" fillId="0" borderId="0"/>
    <xf numFmtId="0" fontId="2" fillId="0" borderId="0"/>
    <xf numFmtId="0" fontId="11" fillId="0" borderId="0"/>
    <xf numFmtId="0" fontId="89" fillId="0" borderId="0" applyNumberFormat="0" applyFill="0" applyBorder="0" applyAlignment="0" applyProtection="0"/>
    <xf numFmtId="0" fontId="3" fillId="0" borderId="0"/>
    <xf numFmtId="0" fontId="2" fillId="23" borderId="7" applyNumberFormat="0" applyFont="0" applyAlignment="0" applyProtection="0"/>
    <xf numFmtId="0" fontId="24" fillId="20" borderId="8" applyNumberForma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841">
    <xf numFmtId="0" fontId="0" fillId="0" borderId="0" xfId="0"/>
    <xf numFmtId="0" fontId="8" fillId="0" borderId="0" xfId="0" applyFont="1"/>
    <xf numFmtId="167" fontId="2" fillId="0" borderId="0" xfId="37" applyNumberFormat="1"/>
    <xf numFmtId="167" fontId="2" fillId="0" borderId="0" xfId="37" applyNumberFormat="1" applyFont="1"/>
    <xf numFmtId="0" fontId="4" fillId="0" borderId="10" xfId="0" applyFont="1" applyBorder="1"/>
    <xf numFmtId="167" fontId="2" fillId="0" borderId="11" xfId="37" applyNumberFormat="1" applyBorder="1"/>
    <xf numFmtId="0" fontId="4" fillId="0" borderId="12" xfId="0" applyFont="1" applyBorder="1"/>
    <xf numFmtId="0" fontId="0" fillId="0" borderId="13" xfId="0" applyBorder="1"/>
    <xf numFmtId="0" fontId="0" fillId="0" borderId="14" xfId="0" applyBorder="1"/>
    <xf numFmtId="167" fontId="2" fillId="0" borderId="13" xfId="37" applyNumberFormat="1" applyBorder="1"/>
    <xf numFmtId="167" fontId="2" fillId="0" borderId="15" xfId="37" applyNumberFormat="1" applyBorder="1"/>
    <xf numFmtId="167" fontId="2" fillId="0" borderId="16" xfId="37" applyNumberFormat="1" applyBorder="1"/>
    <xf numFmtId="167" fontId="2" fillId="0" borderId="17" xfId="37" applyNumberFormat="1" applyBorder="1"/>
    <xf numFmtId="167" fontId="2" fillId="0" borderId="14" xfId="37" applyNumberFormat="1" applyBorder="1"/>
    <xf numFmtId="167" fontId="2" fillId="0" borderId="18" xfId="37" applyNumberFormat="1" applyBorder="1"/>
    <xf numFmtId="0" fontId="0" fillId="0" borderId="19" xfId="0" applyBorder="1"/>
    <xf numFmtId="0" fontId="0" fillId="0" borderId="20" xfId="0" applyBorder="1"/>
    <xf numFmtId="167" fontId="2" fillId="0" borderId="19" xfId="37" applyNumberFormat="1" applyBorder="1"/>
    <xf numFmtId="167" fontId="2" fillId="0" borderId="21" xfId="37" applyNumberFormat="1" applyBorder="1"/>
    <xf numFmtId="167" fontId="2" fillId="0" borderId="22" xfId="37" applyNumberFormat="1" applyBorder="1"/>
    <xf numFmtId="167" fontId="2" fillId="0" borderId="23" xfId="37" applyNumberFormat="1" applyBorder="1"/>
    <xf numFmtId="167" fontId="2" fillId="0" borderId="20" xfId="37" applyNumberFormat="1" applyBorder="1"/>
    <xf numFmtId="167" fontId="2" fillId="0" borderId="24" xfId="37" applyNumberFormat="1" applyBorder="1"/>
    <xf numFmtId="167" fontId="2" fillId="0" borderId="25" xfId="37" applyNumberFormat="1" applyBorder="1"/>
    <xf numFmtId="167" fontId="2" fillId="0" borderId="26" xfId="37" applyNumberFormat="1" applyBorder="1"/>
    <xf numFmtId="167" fontId="2" fillId="0" borderId="27" xfId="37" applyNumberFormat="1" applyBorder="1"/>
    <xf numFmtId="167" fontId="2" fillId="0" borderId="28" xfId="37" applyNumberFormat="1" applyBorder="1"/>
    <xf numFmtId="0" fontId="0" fillId="0" borderId="24" xfId="0" applyBorder="1"/>
    <xf numFmtId="0" fontId="0" fillId="0" borderId="29" xfId="0" applyBorder="1"/>
    <xf numFmtId="167" fontId="2" fillId="0" borderId="29" xfId="37" applyNumberFormat="1" applyBorder="1"/>
    <xf numFmtId="167" fontId="2" fillId="0" borderId="27" xfId="37" applyNumberFormat="1" applyFill="1" applyBorder="1"/>
    <xf numFmtId="167" fontId="2" fillId="0" borderId="26" xfId="37" applyNumberFormat="1" applyFill="1" applyBorder="1"/>
    <xf numFmtId="167" fontId="2" fillId="0" borderId="25" xfId="37" applyNumberFormat="1" applyFont="1" applyBorder="1"/>
    <xf numFmtId="0" fontId="0" fillId="0" borderId="30" xfId="0" applyBorder="1"/>
    <xf numFmtId="167" fontId="2" fillId="0" borderId="31" xfId="37" applyNumberFormat="1" applyBorder="1"/>
    <xf numFmtId="167" fontId="2" fillId="0" borderId="32" xfId="37" applyNumberFormat="1" applyBorder="1"/>
    <xf numFmtId="167" fontId="2" fillId="0" borderId="33" xfId="37" applyNumberFormat="1" applyBorder="1"/>
    <xf numFmtId="167" fontId="2" fillId="0" borderId="34" xfId="37" applyNumberFormat="1" applyBorder="1"/>
    <xf numFmtId="167" fontId="2" fillId="0" borderId="30" xfId="37" applyNumberFormat="1" applyBorder="1"/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7" fontId="5" fillId="0" borderId="36" xfId="37" applyNumberFormat="1" applyFont="1" applyBorder="1"/>
    <xf numFmtId="167" fontId="5" fillId="0" borderId="37" xfId="37" applyNumberFormat="1" applyFont="1" applyBorder="1"/>
    <xf numFmtId="167" fontId="5" fillId="0" borderId="38" xfId="37" applyNumberFormat="1" applyFont="1" applyBorder="1"/>
    <xf numFmtId="167" fontId="5" fillId="0" borderId="39" xfId="37" applyNumberFormat="1" applyFont="1" applyBorder="1"/>
    <xf numFmtId="167" fontId="5" fillId="0" borderId="35" xfId="37" applyNumberFormat="1" applyFont="1" applyBorder="1" applyAlignment="1">
      <alignment vertical="center" wrapText="1"/>
    </xf>
    <xf numFmtId="167" fontId="5" fillId="0" borderId="36" xfId="37" applyNumberFormat="1" applyFont="1" applyBorder="1" applyAlignment="1">
      <alignment vertical="center" wrapText="1"/>
    </xf>
    <xf numFmtId="167" fontId="5" fillId="0" borderId="37" xfId="37" applyNumberFormat="1" applyFont="1" applyBorder="1" applyAlignment="1">
      <alignment horizontal="center" vertical="center" wrapText="1"/>
    </xf>
    <xf numFmtId="167" fontId="5" fillId="0" borderId="40" xfId="37" applyNumberFormat="1" applyFont="1" applyBorder="1" applyAlignment="1">
      <alignment horizontal="center" vertical="center" wrapText="1"/>
    </xf>
    <xf numFmtId="167" fontId="5" fillId="0" borderId="38" xfId="37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167" fontId="2" fillId="0" borderId="41" xfId="37" applyNumberFormat="1" applyBorder="1"/>
    <xf numFmtId="0" fontId="9" fillId="0" borderId="0" xfId="0" applyFont="1"/>
    <xf numFmtId="0" fontId="10" fillId="0" borderId="0" xfId="0" applyFont="1"/>
    <xf numFmtId="166" fontId="32" fillId="0" borderId="0" xfId="28" applyNumberFormat="1" applyFont="1" applyFill="1" applyBorder="1"/>
    <xf numFmtId="0" fontId="32" fillId="0" borderId="0" xfId="53" applyFont="1"/>
    <xf numFmtId="0" fontId="32" fillId="0" borderId="0" xfId="53" applyFont="1" applyBorder="1"/>
    <xf numFmtId="166" fontId="32" fillId="0" borderId="0" xfId="28" applyNumberFormat="1" applyFont="1"/>
    <xf numFmtId="0" fontId="32" fillId="0" borderId="0" xfId="59" applyFont="1" applyBorder="1"/>
    <xf numFmtId="0" fontId="32" fillId="0" borderId="46" xfId="59" applyFont="1" applyBorder="1"/>
    <xf numFmtId="0" fontId="31" fillId="24" borderId="0" xfId="59" applyFont="1" applyFill="1" applyBorder="1"/>
    <xf numFmtId="0" fontId="31" fillId="0" borderId="0" xfId="59" applyFont="1" applyBorder="1"/>
    <xf numFmtId="3" fontId="31" fillId="24" borderId="46" xfId="59" applyNumberFormat="1" applyFont="1" applyFill="1" applyBorder="1"/>
    <xf numFmtId="0" fontId="32" fillId="0" borderId="0" xfId="59" applyFont="1" applyFill="1" applyBorder="1"/>
    <xf numFmtId="3" fontId="31" fillId="24" borderId="0" xfId="59" applyNumberFormat="1" applyFont="1" applyFill="1" applyBorder="1"/>
    <xf numFmtId="0" fontId="31" fillId="0" borderId="46" xfId="59" applyFont="1" applyBorder="1"/>
    <xf numFmtId="0" fontId="31" fillId="0" borderId="11" xfId="59" applyFont="1" applyBorder="1"/>
    <xf numFmtId="3" fontId="31" fillId="24" borderId="11" xfId="59" applyNumberFormat="1" applyFont="1" applyFill="1" applyBorder="1"/>
    <xf numFmtId="0" fontId="32" fillId="0" borderId="0" xfId="59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Border="1"/>
    <xf numFmtId="0" fontId="32" fillId="0" borderId="0" xfId="0" applyFont="1" applyFill="1" applyBorder="1"/>
    <xf numFmtId="166" fontId="32" fillId="0" borderId="25" xfId="28" applyNumberFormat="1" applyFont="1" applyFill="1" applyBorder="1"/>
    <xf numFmtId="166" fontId="32" fillId="0" borderId="0" xfId="28" applyNumberFormat="1" applyFont="1" applyBorder="1"/>
    <xf numFmtId="0" fontId="35" fillId="0" borderId="0" xfId="62" applyFont="1" applyFill="1"/>
    <xf numFmtId="0" fontId="36" fillId="0" borderId="21" xfId="62" applyFont="1" applyFill="1" applyBorder="1"/>
    <xf numFmtId="0" fontId="36" fillId="0" borderId="21" xfId="0" applyFont="1" applyFill="1" applyBorder="1"/>
    <xf numFmtId="167" fontId="36" fillId="0" borderId="21" xfId="41" applyNumberFormat="1" applyFont="1" applyFill="1" applyBorder="1"/>
    <xf numFmtId="167" fontId="36" fillId="0" borderId="47" xfId="41" applyNumberFormat="1" applyFont="1" applyFill="1" applyBorder="1"/>
    <xf numFmtId="0" fontId="36" fillId="0" borderId="0" xfId="62" applyFont="1" applyFill="1"/>
    <xf numFmtId="0" fontId="35" fillId="0" borderId="21" xfId="62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167" fontId="35" fillId="0" borderId="25" xfId="41" applyNumberFormat="1" applyFont="1" applyFill="1" applyBorder="1"/>
    <xf numFmtId="167" fontId="35" fillId="0" borderId="48" xfId="41" applyNumberFormat="1" applyFont="1" applyFill="1" applyBorder="1"/>
    <xf numFmtId="0" fontId="36" fillId="0" borderId="25" xfId="62" applyFont="1" applyFill="1" applyBorder="1" applyAlignment="1">
      <alignment horizontal="right"/>
    </xf>
    <xf numFmtId="0" fontId="35" fillId="0" borderId="25" xfId="0" applyFont="1" applyFill="1" applyBorder="1"/>
    <xf numFmtId="167" fontId="36" fillId="0" borderId="25" xfId="41" applyNumberFormat="1" applyFont="1" applyFill="1" applyBorder="1"/>
    <xf numFmtId="167" fontId="36" fillId="0" borderId="48" xfId="41" applyNumberFormat="1" applyFont="1" applyFill="1" applyBorder="1"/>
    <xf numFmtId="0" fontId="35" fillId="0" borderId="25" xfId="62" applyFont="1" applyFill="1" applyBorder="1"/>
    <xf numFmtId="0" fontId="36" fillId="0" borderId="25" xfId="62" applyFont="1" applyFill="1" applyBorder="1"/>
    <xf numFmtId="0" fontId="36" fillId="0" borderId="25" xfId="0" applyFont="1" applyFill="1" applyBorder="1"/>
    <xf numFmtId="167" fontId="37" fillId="0" borderId="25" xfId="41" applyNumberFormat="1" applyFont="1" applyFill="1" applyBorder="1"/>
    <xf numFmtId="167" fontId="37" fillId="0" borderId="48" xfId="41" applyNumberFormat="1" applyFont="1" applyFill="1" applyBorder="1"/>
    <xf numFmtId="165" fontId="35" fillId="0" borderId="0" xfId="28" applyFont="1" applyFill="1" applyBorder="1"/>
    <xf numFmtId="167" fontId="32" fillId="0" borderId="0" xfId="36" applyNumberFormat="1" applyFont="1" applyFill="1" applyBorder="1"/>
    <xf numFmtId="9" fontId="32" fillId="0" borderId="0" xfId="71" applyFont="1" applyBorder="1"/>
    <xf numFmtId="165" fontId="32" fillId="0" borderId="0" xfId="28" applyFont="1" applyFill="1" applyBorder="1"/>
    <xf numFmtId="0" fontId="31" fillId="0" borderId="0" xfId="0" applyFont="1" applyAlignment="1"/>
    <xf numFmtId="0" fontId="31" fillId="0" borderId="0" xfId="0" applyFont="1" applyAlignment="1">
      <alignment horizontal="left"/>
    </xf>
    <xf numFmtId="0" fontId="31" fillId="0" borderId="49" xfId="0" applyFont="1" applyBorder="1" applyAlignment="1"/>
    <xf numFmtId="0" fontId="40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/>
    </xf>
    <xf numFmtId="0" fontId="40" fillId="0" borderId="50" xfId="0" applyFont="1" applyBorder="1" applyAlignment="1">
      <alignment horizontal="center" wrapText="1"/>
    </xf>
    <xf numFmtId="0" fontId="40" fillId="0" borderId="51" xfId="0" applyFont="1" applyBorder="1" applyAlignment="1">
      <alignment horizontal="left" vertical="top" wrapText="1"/>
    </xf>
    <xf numFmtId="166" fontId="42" fillId="25" borderId="52" xfId="28" applyNumberFormat="1" applyFont="1" applyFill="1" applyBorder="1" applyAlignment="1">
      <alignment horizontal="right" vertical="top" wrapText="1"/>
    </xf>
    <xf numFmtId="166" fontId="42" fillId="25" borderId="53" xfId="28" applyNumberFormat="1" applyFont="1" applyFill="1" applyBorder="1" applyAlignment="1">
      <alignment horizontal="right" vertical="top" wrapText="1"/>
    </xf>
    <xf numFmtId="166" fontId="42" fillId="25" borderId="54" xfId="28" applyNumberFormat="1" applyFont="1" applyFill="1" applyBorder="1" applyAlignment="1">
      <alignment horizontal="right" vertical="top" wrapText="1"/>
    </xf>
    <xf numFmtId="166" fontId="42" fillId="25" borderId="55" xfId="28" applyNumberFormat="1" applyFont="1" applyFill="1" applyBorder="1" applyAlignment="1">
      <alignment horizontal="right" vertical="top" wrapText="1"/>
    </xf>
    <xf numFmtId="166" fontId="43" fillId="24" borderId="56" xfId="28" applyNumberFormat="1" applyFont="1" applyFill="1" applyBorder="1" applyAlignment="1">
      <alignment horizontal="right" vertical="top" wrapText="1"/>
    </xf>
    <xf numFmtId="166" fontId="42" fillId="26" borderId="57" xfId="28" applyNumberFormat="1" applyFont="1" applyFill="1" applyBorder="1" applyAlignment="1">
      <alignment horizontal="right" vertical="top" wrapText="1"/>
    </xf>
    <xf numFmtId="0" fontId="32" fillId="0" borderId="0" xfId="0" applyFont="1" applyFill="1"/>
    <xf numFmtId="0" fontId="40" fillId="0" borderId="0" xfId="0" applyFont="1" applyFill="1" applyBorder="1" applyAlignment="1">
      <alignment horizontal="left" vertical="top" wrapText="1"/>
    </xf>
    <xf numFmtId="166" fontId="43" fillId="0" borderId="58" xfId="28" applyNumberFormat="1" applyFont="1" applyFill="1" applyBorder="1" applyAlignment="1">
      <alignment horizontal="right" vertical="top" wrapText="1"/>
    </xf>
    <xf numFmtId="0" fontId="41" fillId="0" borderId="0" xfId="0" applyFont="1" applyAlignment="1">
      <alignment horizontal="left" vertical="top" wrapText="1"/>
    </xf>
    <xf numFmtId="166" fontId="40" fillId="0" borderId="0" xfId="28" applyNumberFormat="1" applyFont="1" applyBorder="1" applyAlignment="1">
      <alignment horizontal="right" wrapText="1"/>
    </xf>
    <xf numFmtId="0" fontId="44" fillId="0" borderId="0" xfId="0" applyFont="1" applyAlignment="1">
      <alignment horizontal="left" vertical="top" wrapText="1"/>
    </xf>
    <xf numFmtId="166" fontId="40" fillId="0" borderId="50" xfId="28" applyNumberFormat="1" applyFont="1" applyBorder="1" applyAlignment="1">
      <alignment horizontal="right" wrapText="1"/>
    </xf>
    <xf numFmtId="0" fontId="32" fillId="26" borderId="0" xfId="0" applyFont="1" applyFill="1"/>
    <xf numFmtId="166" fontId="42" fillId="25" borderId="56" xfId="28" applyNumberFormat="1" applyFont="1" applyFill="1" applyBorder="1" applyAlignment="1">
      <alignment horizontal="right" vertical="top" wrapText="1"/>
    </xf>
    <xf numFmtId="166" fontId="42" fillId="25" borderId="57" xfId="28" applyNumberFormat="1" applyFont="1" applyFill="1" applyBorder="1" applyAlignment="1">
      <alignment horizontal="right" vertical="top" wrapText="1"/>
    </xf>
    <xf numFmtId="0" fontId="43" fillId="0" borderId="59" xfId="0" applyFont="1" applyBorder="1" applyAlignment="1">
      <alignment horizontal="right" vertical="top" wrapText="1"/>
    </xf>
    <xf numFmtId="166" fontId="42" fillId="26" borderId="60" xfId="28" applyNumberFormat="1" applyFont="1" applyFill="1" applyBorder="1" applyAlignment="1">
      <alignment horizontal="right" vertical="top" wrapText="1"/>
    </xf>
    <xf numFmtId="0" fontId="43" fillId="0" borderId="51" xfId="0" applyFont="1" applyBorder="1" applyAlignment="1">
      <alignment horizontal="right" vertical="top" wrapText="1"/>
    </xf>
    <xf numFmtId="166" fontId="42" fillId="25" borderId="61" xfId="28" applyNumberFormat="1" applyFont="1" applyFill="1" applyBorder="1" applyAlignment="1">
      <alignment horizontal="right" vertical="top" wrapText="1"/>
    </xf>
    <xf numFmtId="0" fontId="43" fillId="0" borderId="51" xfId="0" applyFont="1" applyBorder="1" applyAlignment="1">
      <alignment horizontal="left" vertical="top" wrapText="1"/>
    </xf>
    <xf numFmtId="167" fontId="42" fillId="25" borderId="60" xfId="0" applyNumberFormat="1" applyFont="1" applyFill="1" applyBorder="1" applyAlignment="1">
      <alignment horizontal="left" vertical="top" wrapText="1"/>
    </xf>
    <xf numFmtId="0" fontId="42" fillId="0" borderId="62" xfId="0" applyFont="1" applyBorder="1" applyAlignment="1">
      <alignment horizontal="left" vertical="top" wrapText="1"/>
    </xf>
    <xf numFmtId="0" fontId="43" fillId="0" borderId="63" xfId="0" applyFont="1" applyBorder="1" applyAlignment="1">
      <alignment horizontal="left" vertical="top" wrapText="1"/>
    </xf>
    <xf numFmtId="167" fontId="42" fillId="25" borderId="61" xfId="0" applyNumberFormat="1" applyFont="1" applyFill="1" applyBorder="1" applyAlignment="1">
      <alignment horizontal="left" vertical="top" wrapText="1"/>
    </xf>
    <xf numFmtId="0" fontId="42" fillId="0" borderId="60" xfId="0" applyFont="1" applyBorder="1" applyAlignment="1">
      <alignment horizontal="right" vertical="top" wrapText="1"/>
    </xf>
    <xf numFmtId="0" fontId="43" fillId="0" borderId="64" xfId="0" applyFont="1" applyBorder="1" applyAlignment="1">
      <alignment horizontal="left" vertical="top" wrapText="1"/>
    </xf>
    <xf numFmtId="166" fontId="42" fillId="26" borderId="62" xfId="28" applyNumberFormat="1" applyFont="1" applyFill="1" applyBorder="1" applyAlignment="1">
      <alignment horizontal="right" vertical="top" wrapText="1"/>
    </xf>
    <xf numFmtId="0" fontId="43" fillId="0" borderId="65" xfId="0" applyFont="1" applyBorder="1" applyAlignment="1">
      <alignment horizontal="left" vertical="top" wrapText="1"/>
    </xf>
    <xf numFmtId="166" fontId="42" fillId="0" borderId="61" xfId="28" applyNumberFormat="1" applyFont="1" applyBorder="1" applyAlignment="1">
      <alignment horizontal="right" vertical="top" wrapText="1"/>
    </xf>
    <xf numFmtId="0" fontId="43" fillId="0" borderId="66" xfId="0" applyFont="1" applyBorder="1" applyAlignment="1">
      <alignment horizontal="left" vertical="top" wrapText="1"/>
    </xf>
    <xf numFmtId="0" fontId="43" fillId="0" borderId="59" xfId="0" applyFont="1" applyBorder="1" applyAlignment="1">
      <alignment horizontal="left" vertical="top" wrapText="1"/>
    </xf>
    <xf numFmtId="0" fontId="42" fillId="26" borderId="62" xfId="0" applyFont="1" applyFill="1" applyBorder="1" applyAlignment="1">
      <alignment horizontal="right" vertical="top" wrapText="1"/>
    </xf>
    <xf numFmtId="0" fontId="32" fillId="27" borderId="0" xfId="0" applyFont="1" applyFill="1"/>
    <xf numFmtId="0" fontId="32" fillId="28" borderId="0" xfId="0" applyFont="1" applyFill="1"/>
    <xf numFmtId="0" fontId="32" fillId="24" borderId="0" xfId="0" applyFont="1" applyFill="1"/>
    <xf numFmtId="3" fontId="32" fillId="0" borderId="0" xfId="0" applyNumberFormat="1" applyFont="1" applyBorder="1" applyAlignment="1">
      <alignment horizontal="right"/>
    </xf>
    <xf numFmtId="0" fontId="41" fillId="0" borderId="67" xfId="0" applyFont="1" applyBorder="1" applyAlignment="1">
      <alignment horizontal="center" vertical="top" wrapText="1"/>
    </xf>
    <xf numFmtId="0" fontId="41" fillId="0" borderId="68" xfId="0" applyFont="1" applyBorder="1" applyAlignment="1">
      <alignment horizontal="left" vertical="top" wrapText="1"/>
    </xf>
    <xf numFmtId="0" fontId="42" fillId="0" borderId="69" xfId="0" applyFont="1" applyBorder="1" applyAlignment="1">
      <alignment horizontal="left" vertical="top" wrapText="1"/>
    </xf>
    <xf numFmtId="3" fontId="42" fillId="0" borderId="70" xfId="0" applyNumberFormat="1" applyFont="1" applyBorder="1" applyAlignment="1">
      <alignment horizontal="right" vertical="top" wrapText="1"/>
    </xf>
    <xf numFmtId="0" fontId="42" fillId="0" borderId="71" xfId="0" applyFont="1" applyBorder="1" applyAlignment="1">
      <alignment horizontal="left" vertical="top" wrapText="1"/>
    </xf>
    <xf numFmtId="3" fontId="42" fillId="0" borderId="47" xfId="0" applyNumberFormat="1" applyFont="1" applyBorder="1" applyAlignment="1">
      <alignment horizontal="right" vertical="top" wrapText="1"/>
    </xf>
    <xf numFmtId="0" fontId="42" fillId="0" borderId="72" xfId="0" applyFont="1" applyBorder="1" applyAlignment="1">
      <alignment horizontal="left" vertical="top" wrapText="1"/>
    </xf>
    <xf numFmtId="3" fontId="42" fillId="0" borderId="73" xfId="0" applyNumberFormat="1" applyFont="1" applyBorder="1" applyAlignment="1">
      <alignment horizontal="right" vertical="top" wrapText="1"/>
    </xf>
    <xf numFmtId="0" fontId="42" fillId="0" borderId="74" xfId="0" applyFont="1" applyBorder="1" applyAlignment="1">
      <alignment horizontal="left" vertical="top" wrapText="1"/>
    </xf>
    <xf numFmtId="3" fontId="42" fillId="0" borderId="48" xfId="0" applyNumberFormat="1" applyFont="1" applyBorder="1" applyAlignment="1">
      <alignment horizontal="right" vertical="top" wrapText="1"/>
    </xf>
    <xf numFmtId="0" fontId="42" fillId="29" borderId="72" xfId="0" applyFont="1" applyFill="1" applyBorder="1" applyAlignment="1">
      <alignment horizontal="left" vertical="top" wrapText="1"/>
    </xf>
    <xf numFmtId="3" fontId="42" fillId="29" borderId="73" xfId="0" applyNumberFormat="1" applyFont="1" applyFill="1" applyBorder="1" applyAlignment="1">
      <alignment horizontal="right" vertical="top" wrapText="1"/>
    </xf>
    <xf numFmtId="0" fontId="42" fillId="0" borderId="68" xfId="0" applyFont="1" applyBorder="1" applyAlignment="1">
      <alignment horizontal="left" vertical="top" wrapText="1"/>
    </xf>
    <xf numFmtId="0" fontId="42" fillId="0" borderId="75" xfId="0" applyFont="1" applyBorder="1" applyAlignment="1">
      <alignment horizontal="left" vertical="top" wrapText="1"/>
    </xf>
    <xf numFmtId="0" fontId="42" fillId="29" borderId="76" xfId="0" applyFont="1" applyFill="1" applyBorder="1" applyAlignment="1">
      <alignment horizontal="left" vertical="top" wrapText="1"/>
    </xf>
    <xf numFmtId="3" fontId="42" fillId="29" borderId="77" xfId="0" applyNumberFormat="1" applyFont="1" applyFill="1" applyBorder="1" applyAlignment="1">
      <alignment horizontal="right" vertical="top" wrapText="1"/>
    </xf>
    <xf numFmtId="0" fontId="42" fillId="0" borderId="78" xfId="0" applyFont="1" applyBorder="1" applyAlignment="1">
      <alignment horizontal="left" vertical="top" wrapText="1"/>
    </xf>
    <xf numFmtId="3" fontId="42" fillId="0" borderId="79" xfId="0" applyNumberFormat="1" applyFont="1" applyBorder="1" applyAlignment="1">
      <alignment horizontal="right" vertical="top" wrapText="1"/>
    </xf>
    <xf numFmtId="0" fontId="41" fillId="0" borderId="0" xfId="0" applyFont="1" applyBorder="1" applyAlignment="1">
      <alignment horizontal="left" vertical="top" wrapText="1"/>
    </xf>
    <xf numFmtId="0" fontId="42" fillId="0" borderId="58" xfId="0" applyFont="1" applyBorder="1" applyAlignment="1">
      <alignment horizontal="left" vertical="top" wrapText="1"/>
    </xf>
    <xf numFmtId="3" fontId="42" fillId="0" borderId="58" xfId="0" applyNumberFormat="1" applyFont="1" applyBorder="1" applyAlignment="1">
      <alignment horizontal="right" vertical="top" wrapText="1"/>
    </xf>
    <xf numFmtId="0" fontId="43" fillId="0" borderId="58" xfId="0" applyFont="1" applyBorder="1" applyAlignment="1">
      <alignment horizontal="left" vertical="top" wrapText="1"/>
    </xf>
    <xf numFmtId="3" fontId="43" fillId="0" borderId="80" xfId="0" applyNumberFormat="1" applyFont="1" applyBorder="1" applyAlignment="1">
      <alignment horizontal="right" vertical="top" wrapText="1"/>
    </xf>
    <xf numFmtId="0" fontId="41" fillId="0" borderId="67" xfId="0" applyFont="1" applyBorder="1" applyAlignment="1">
      <alignment horizontal="left" vertical="top" wrapText="1"/>
    </xf>
    <xf numFmtId="0" fontId="42" fillId="0" borderId="81" xfId="0" applyFont="1" applyBorder="1" applyAlignment="1">
      <alignment horizontal="left" vertical="top" wrapText="1"/>
    </xf>
    <xf numFmtId="3" fontId="42" fillId="0" borderId="82" xfId="0" applyNumberFormat="1" applyFont="1" applyBorder="1" applyAlignment="1">
      <alignment horizontal="right" vertical="top" wrapText="1"/>
    </xf>
    <xf numFmtId="0" fontId="42" fillId="0" borderId="83" xfId="0" applyFont="1" applyBorder="1" applyAlignment="1">
      <alignment horizontal="left" vertical="top" wrapText="1"/>
    </xf>
    <xf numFmtId="0" fontId="43" fillId="24" borderId="72" xfId="0" applyFont="1" applyFill="1" applyBorder="1" applyAlignment="1">
      <alignment horizontal="left" vertical="top" wrapText="1"/>
    </xf>
    <xf numFmtId="3" fontId="43" fillId="24" borderId="73" xfId="0" applyNumberFormat="1" applyFont="1" applyFill="1" applyBorder="1" applyAlignment="1">
      <alignment horizontal="right" vertical="top" wrapText="1"/>
    </xf>
    <xf numFmtId="0" fontId="45" fillId="0" borderId="74" xfId="0" applyFont="1" applyBorder="1" applyAlignment="1">
      <alignment horizontal="left" vertical="top" wrapText="1"/>
    </xf>
    <xf numFmtId="0" fontId="41" fillId="0" borderId="75" xfId="0" applyFont="1" applyBorder="1" applyAlignment="1">
      <alignment horizontal="left" vertical="top" wrapText="1"/>
    </xf>
    <xf numFmtId="3" fontId="42" fillId="0" borderId="84" xfId="0" applyNumberFormat="1" applyFont="1" applyBorder="1" applyAlignment="1">
      <alignment horizontal="right" vertical="top" wrapText="1"/>
    </xf>
    <xf numFmtId="0" fontId="40" fillId="0" borderId="0" xfId="0" applyFont="1" applyBorder="1" applyAlignment="1">
      <alignment vertical="top" wrapText="1"/>
    </xf>
    <xf numFmtId="0" fontId="40" fillId="0" borderId="85" xfId="0" applyFont="1" applyBorder="1" applyAlignment="1">
      <alignment vertical="top" wrapText="1"/>
    </xf>
    <xf numFmtId="3" fontId="42" fillId="0" borderId="86" xfId="0" applyNumberFormat="1" applyFont="1" applyBorder="1" applyAlignment="1">
      <alignment horizontal="right" vertical="top" wrapText="1"/>
    </xf>
    <xf numFmtId="0" fontId="43" fillId="24" borderId="87" xfId="0" applyFont="1" applyFill="1" applyBorder="1" applyAlignment="1">
      <alignment horizontal="left" vertical="top" wrapText="1"/>
    </xf>
    <xf numFmtId="3" fontId="43" fillId="24" borderId="88" xfId="0" applyNumberFormat="1" applyFont="1" applyFill="1" applyBorder="1" applyAlignment="1">
      <alignment horizontal="right" vertical="top" wrapText="1"/>
    </xf>
    <xf numFmtId="0" fontId="42" fillId="0" borderId="89" xfId="0" applyFont="1" applyBorder="1" applyAlignment="1">
      <alignment horizontal="left" vertical="top" wrapText="1"/>
    </xf>
    <xf numFmtId="3" fontId="42" fillId="26" borderId="84" xfId="0" applyNumberFormat="1" applyFont="1" applyFill="1" applyBorder="1" applyAlignment="1">
      <alignment horizontal="right" vertical="top" wrapText="1"/>
    </xf>
    <xf numFmtId="0" fontId="46" fillId="0" borderId="0" xfId="53" applyFont="1" applyAlignment="1">
      <alignment horizontal="center" wrapText="1"/>
    </xf>
    <xf numFmtId="0" fontId="46" fillId="0" borderId="46" xfId="53" applyFont="1" applyBorder="1" applyAlignment="1">
      <alignment horizontal="center" wrapText="1"/>
    </xf>
    <xf numFmtId="0" fontId="47" fillId="0" borderId="0" xfId="53" applyFont="1" applyAlignment="1">
      <alignment horizontal="right" vertical="top" wrapText="1"/>
    </xf>
    <xf numFmtId="0" fontId="32" fillId="0" borderId="0" xfId="53" applyFont="1" applyAlignment="1">
      <alignment horizontal="justify" vertical="top" wrapText="1"/>
    </xf>
    <xf numFmtId="3" fontId="48" fillId="0" borderId="0" xfId="53" applyNumberFormat="1" applyFont="1" applyAlignment="1">
      <alignment horizontal="right" vertical="top" wrapText="1"/>
    </xf>
    <xf numFmtId="0" fontId="49" fillId="0" borderId="0" xfId="53" applyFont="1" applyAlignment="1">
      <alignment horizontal="right" vertical="top" wrapText="1"/>
    </xf>
    <xf numFmtId="3" fontId="50" fillId="0" borderId="90" xfId="53" applyNumberFormat="1" applyFont="1" applyBorder="1" applyAlignment="1">
      <alignment horizontal="right" vertical="top" wrapText="1"/>
    </xf>
    <xf numFmtId="0" fontId="48" fillId="0" borderId="0" xfId="53" applyFont="1" applyAlignment="1">
      <alignment horizontal="right" vertical="top" wrapText="1"/>
    </xf>
    <xf numFmtId="3" fontId="48" fillId="0" borderId="46" xfId="53" applyNumberFormat="1" applyFont="1" applyBorder="1" applyAlignment="1">
      <alignment horizontal="right" wrapText="1"/>
    </xf>
    <xf numFmtId="0" fontId="48" fillId="0" borderId="0" xfId="53" applyFont="1" applyAlignment="1">
      <alignment horizontal="right" wrapText="1"/>
    </xf>
    <xf numFmtId="0" fontId="49" fillId="0" borderId="0" xfId="53" applyFont="1" applyAlignment="1">
      <alignment horizontal="left" vertical="top" wrapText="1" indent="2"/>
    </xf>
    <xf numFmtId="3" fontId="50" fillId="0" borderId="90" xfId="53" applyNumberFormat="1" applyFont="1" applyBorder="1" applyAlignment="1">
      <alignment horizontal="right" wrapText="1"/>
    </xf>
    <xf numFmtId="0" fontId="50" fillId="0" borderId="0" xfId="53" applyFont="1" applyAlignment="1">
      <alignment horizontal="right" wrapText="1"/>
    </xf>
    <xf numFmtId="0" fontId="50" fillId="0" borderId="0" xfId="53" applyFont="1" applyAlignment="1">
      <alignment horizontal="right" vertical="top" wrapText="1"/>
    </xf>
    <xf numFmtId="0" fontId="31" fillId="0" borderId="0" xfId="53" applyFont="1" applyAlignment="1">
      <alignment horizontal="center" wrapText="1"/>
    </xf>
    <xf numFmtId="0" fontId="31" fillId="0" borderId="0" xfId="53" applyFont="1" applyAlignment="1">
      <alignment horizontal="center" vertical="top" wrapText="1"/>
    </xf>
    <xf numFmtId="3" fontId="48" fillId="0" borderId="0" xfId="53" applyNumberFormat="1" applyFont="1" applyAlignment="1">
      <alignment horizontal="right" wrapText="1"/>
    </xf>
    <xf numFmtId="0" fontId="31" fillId="0" borderId="0" xfId="53" applyFont="1" applyAlignment="1">
      <alignment horizontal="justify" vertical="top" wrapText="1"/>
    </xf>
    <xf numFmtId="0" fontId="32" fillId="0" borderId="0" xfId="53" applyFont="1" applyAlignment="1">
      <alignment horizontal="center" wrapText="1"/>
    </xf>
    <xf numFmtId="0" fontId="32" fillId="0" borderId="91" xfId="59" applyFont="1" applyBorder="1"/>
    <xf numFmtId="0" fontId="32" fillId="0" borderId="92" xfId="59" applyFont="1" applyBorder="1"/>
    <xf numFmtId="0" fontId="32" fillId="0" borderId="68" xfId="59" applyFont="1" applyBorder="1"/>
    <xf numFmtId="0" fontId="32" fillId="0" borderId="93" xfId="59" applyFont="1" applyBorder="1"/>
    <xf numFmtId="167" fontId="35" fillId="0" borderId="94" xfId="41" applyNumberFormat="1" applyFont="1" applyFill="1" applyBorder="1"/>
    <xf numFmtId="167" fontId="35" fillId="0" borderId="79" xfId="41" applyNumberFormat="1" applyFont="1" applyFill="1" applyBorder="1"/>
    <xf numFmtId="0" fontId="32" fillId="0" borderId="25" xfId="63" applyFont="1" applyFill="1" applyBorder="1"/>
    <xf numFmtId="9" fontId="31" fillId="0" borderId="21" xfId="71" applyFont="1" applyFill="1" applyBorder="1"/>
    <xf numFmtId="3" fontId="31" fillId="0" borderId="25" xfId="71" applyNumberFormat="1" applyFont="1" applyFill="1" applyBorder="1"/>
    <xf numFmtId="9" fontId="32" fillId="0" borderId="21" xfId="71" applyFont="1" applyFill="1" applyBorder="1"/>
    <xf numFmtId="9" fontId="31" fillId="0" borderId="25" xfId="71" applyFont="1" applyFill="1" applyBorder="1"/>
    <xf numFmtId="0" fontId="31" fillId="0" borderId="95" xfId="63" applyFont="1" applyFill="1" applyBorder="1" applyAlignment="1">
      <alignment horizontal="right"/>
    </xf>
    <xf numFmtId="0" fontId="31" fillId="0" borderId="96" xfId="63" applyFont="1" applyFill="1" applyBorder="1" applyAlignment="1">
      <alignment horizontal="right"/>
    </xf>
    <xf numFmtId="0" fontId="32" fillId="0" borderId="25" xfId="63" applyFont="1" applyFill="1" applyBorder="1" applyAlignment="1">
      <alignment horizontal="left"/>
    </xf>
    <xf numFmtId="166" fontId="35" fillId="0" borderId="25" xfId="28" applyNumberFormat="1" applyFont="1" applyFill="1" applyBorder="1"/>
    <xf numFmtId="167" fontId="35" fillId="0" borderId="25" xfId="36" applyNumberFormat="1" applyFont="1" applyFill="1" applyBorder="1"/>
    <xf numFmtId="167" fontId="32" fillId="0" borderId="0" xfId="0" applyNumberFormat="1" applyFont="1" applyFill="1"/>
    <xf numFmtId="167" fontId="32" fillId="0" borderId="25" xfId="36" applyNumberFormat="1" applyFont="1" applyFill="1" applyBorder="1"/>
    <xf numFmtId="0" fontId="32" fillId="0" borderId="0" xfId="59" applyFont="1" applyProtection="1"/>
    <xf numFmtId="0" fontId="32" fillId="0" borderId="0" xfId="59" applyFont="1"/>
    <xf numFmtId="3" fontId="32" fillId="0" borderId="0" xfId="59" applyNumberFormat="1" applyFont="1"/>
    <xf numFmtId="3" fontId="32" fillId="0" borderId="0" xfId="59" applyNumberFormat="1" applyFont="1" applyBorder="1"/>
    <xf numFmtId="0" fontId="51" fillId="0" borderId="0" xfId="59" applyFont="1" applyBorder="1" applyAlignment="1" applyProtection="1">
      <alignment horizontal="center" vertical="center" wrapText="1"/>
    </xf>
    <xf numFmtId="3" fontId="32" fillId="0" borderId="0" xfId="59" applyNumberFormat="1" applyFont="1" applyAlignment="1">
      <alignment horizontal="center"/>
    </xf>
    <xf numFmtId="3" fontId="33" fillId="0" borderId="0" xfId="60" applyNumberFormat="1" applyFont="1" applyBorder="1" applyAlignment="1">
      <alignment horizontal="right"/>
    </xf>
    <xf numFmtId="3" fontId="31" fillId="0" borderId="0" xfId="60" applyNumberFormat="1" applyFont="1" applyAlignment="1">
      <alignment horizontal="center" vertical="center"/>
    </xf>
    <xf numFmtId="3" fontId="31" fillId="0" borderId="0" xfId="60" applyNumberFormat="1" applyFont="1" applyBorder="1" applyAlignment="1">
      <alignment horizontal="center" vertical="center"/>
    </xf>
    <xf numFmtId="0" fontId="32" fillId="0" borderId="0" xfId="59" applyFont="1" applyAlignment="1">
      <alignment horizontal="center"/>
    </xf>
    <xf numFmtId="3" fontId="31" fillId="0" borderId="46" xfId="60" applyNumberFormat="1" applyFont="1" applyBorder="1" applyAlignment="1">
      <alignment horizontal="center" vertical="center"/>
    </xf>
    <xf numFmtId="3" fontId="33" fillId="0" borderId="0" xfId="60" applyNumberFormat="1" applyFont="1" applyAlignment="1">
      <alignment horizontal="right"/>
    </xf>
    <xf numFmtId="3" fontId="32" fillId="0" borderId="0" xfId="60" applyNumberFormat="1" applyFont="1" applyBorder="1" applyAlignment="1">
      <alignment horizontal="right" vertical="top"/>
    </xf>
    <xf numFmtId="3" fontId="32" fillId="0" borderId="0" xfId="60" applyNumberFormat="1" applyFont="1" applyBorder="1" applyAlignment="1">
      <alignment horizontal="right"/>
    </xf>
    <xf numFmtId="166" fontId="31" fillId="0" borderId="0" xfId="39" applyNumberFormat="1" applyFont="1" applyBorder="1" applyProtection="1"/>
    <xf numFmtId="3" fontId="31" fillId="0" borderId="0" xfId="60" applyNumberFormat="1" applyFont="1" applyAlignment="1"/>
    <xf numFmtId="3" fontId="31" fillId="0" borderId="0" xfId="60" applyNumberFormat="1" applyFont="1" applyBorder="1" applyAlignment="1"/>
    <xf numFmtId="3" fontId="41" fillId="0" borderId="0" xfId="60" applyNumberFormat="1" applyFont="1" applyAlignment="1">
      <alignment horizontal="right"/>
    </xf>
    <xf numFmtId="0" fontId="32" fillId="0" borderId="0" xfId="59" applyFont="1" applyBorder="1" applyProtection="1"/>
    <xf numFmtId="3" fontId="32" fillId="0" borderId="0" xfId="60" applyNumberFormat="1" applyFont="1" applyAlignment="1"/>
    <xf numFmtId="3" fontId="32" fillId="0" borderId="0" xfId="60" applyNumberFormat="1" applyFont="1" applyBorder="1" applyAlignment="1"/>
    <xf numFmtId="3" fontId="32" fillId="0" borderId="0" xfId="60" applyNumberFormat="1" applyFont="1" applyAlignment="1">
      <alignment horizontal="right" vertical="top"/>
    </xf>
    <xf numFmtId="3" fontId="32" fillId="0" borderId="0" xfId="60" applyNumberFormat="1" applyFont="1" applyAlignment="1">
      <alignment horizontal="right"/>
    </xf>
    <xf numFmtId="3" fontId="31" fillId="0" borderId="0" xfId="60" applyNumberFormat="1" applyFont="1" applyAlignment="1">
      <alignment horizontal="right"/>
    </xf>
    <xf numFmtId="3" fontId="32" fillId="0" borderId="0" xfId="28" applyNumberFormat="1" applyFont="1" applyAlignment="1">
      <alignment horizontal="right"/>
    </xf>
    <xf numFmtId="3" fontId="32" fillId="0" borderId="0" xfId="59" applyNumberFormat="1" applyFont="1" applyBorder="1" applyAlignment="1" applyProtection="1">
      <alignment horizontal="right"/>
    </xf>
    <xf numFmtId="3" fontId="31" fillId="0" borderId="0" xfId="60" applyNumberFormat="1" applyFont="1" applyBorder="1" applyAlignment="1">
      <alignment horizontal="center" vertical="top"/>
    </xf>
    <xf numFmtId="3" fontId="31" fillId="0" borderId="0" xfId="60" applyNumberFormat="1" applyFont="1" applyBorder="1" applyAlignment="1">
      <alignment horizontal="right"/>
    </xf>
    <xf numFmtId="3" fontId="32" fillId="0" borderId="46" xfId="59" applyNumberFormat="1" applyFont="1" applyBorder="1" applyProtection="1"/>
    <xf numFmtId="3" fontId="31" fillId="0" borderId="97" xfId="60" applyNumberFormat="1" applyFont="1" applyBorder="1" applyAlignment="1">
      <alignment horizontal="center" vertical="center"/>
    </xf>
    <xf numFmtId="0" fontId="32" fillId="0" borderId="0" xfId="59" applyFont="1" applyFill="1"/>
    <xf numFmtId="3" fontId="31" fillId="0" borderId="0" xfId="59" applyNumberFormat="1" applyFont="1" applyFill="1" applyBorder="1"/>
    <xf numFmtId="166" fontId="32" fillId="0" borderId="0" xfId="59" applyNumberFormat="1" applyFont="1" applyFill="1" applyBorder="1"/>
    <xf numFmtId="3" fontId="31" fillId="0" borderId="0" xfId="59" applyNumberFormat="1" applyFont="1" applyBorder="1"/>
    <xf numFmtId="0" fontId="32" fillId="0" borderId="98" xfId="59" applyFont="1" applyBorder="1"/>
    <xf numFmtId="0" fontId="32" fillId="0" borderId="99" xfId="59" applyFont="1" applyBorder="1"/>
    <xf numFmtId="0" fontId="32" fillId="0" borderId="100" xfId="59" applyFont="1" applyBorder="1"/>
    <xf numFmtId="0" fontId="32" fillId="0" borderId="101" xfId="59" applyFont="1" applyBorder="1"/>
    <xf numFmtId="0" fontId="32" fillId="0" borderId="102" xfId="59" applyFont="1" applyBorder="1"/>
    <xf numFmtId="0" fontId="53" fillId="0" borderId="103" xfId="0" applyFont="1" applyFill="1" applyBorder="1"/>
    <xf numFmtId="0" fontId="56" fillId="30" borderId="0" xfId="53" applyFont="1" applyFill="1" applyAlignment="1">
      <alignment horizontal="center"/>
    </xf>
    <xf numFmtId="0" fontId="56" fillId="0" borderId="0" xfId="53" applyFont="1" applyFill="1" applyAlignment="1">
      <alignment horizontal="center"/>
    </xf>
    <xf numFmtId="0" fontId="32" fillId="0" borderId="0" xfId="53" applyFont="1" applyFill="1"/>
    <xf numFmtId="3" fontId="50" fillId="0" borderId="97" xfId="53" applyNumberFormat="1" applyFont="1" applyBorder="1" applyAlignment="1">
      <alignment horizontal="right" wrapText="1"/>
    </xf>
    <xf numFmtId="0" fontId="47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 wrapText="1"/>
    </xf>
    <xf numFmtId="0" fontId="49" fillId="0" borderId="0" xfId="53" applyFont="1" applyAlignment="1">
      <alignment vertical="top" wrapText="1"/>
    </xf>
    <xf numFmtId="0" fontId="49" fillId="0" borderId="0" xfId="53" applyFont="1" applyAlignment="1">
      <alignment horizontal="left" vertical="top" wrapText="1"/>
    </xf>
    <xf numFmtId="0" fontId="57" fillId="0" borderId="0" xfId="53" applyFont="1" applyAlignment="1">
      <alignment horizontal="right" vertical="top" wrapText="1"/>
    </xf>
    <xf numFmtId="0" fontId="32" fillId="0" borderId="46" xfId="53" applyFont="1" applyBorder="1" applyAlignment="1">
      <alignment horizontal="right" wrapText="1"/>
    </xf>
    <xf numFmtId="0" fontId="31" fillId="0" borderId="0" xfId="0" applyFont="1" applyBorder="1" applyAlignment="1"/>
    <xf numFmtId="166" fontId="43" fillId="0" borderId="0" xfId="28" applyNumberFormat="1" applyFont="1" applyFill="1" applyBorder="1" applyAlignment="1">
      <alignment horizontal="right" vertical="top" wrapText="1"/>
    </xf>
    <xf numFmtId="0" fontId="31" fillId="0" borderId="0" xfId="0" applyFont="1" applyFill="1" applyAlignment="1"/>
    <xf numFmtId="0" fontId="31" fillId="0" borderId="0" xfId="0" applyFont="1" applyFill="1" applyAlignment="1">
      <alignment horizontal="left"/>
    </xf>
    <xf numFmtId="0" fontId="31" fillId="0" borderId="0" xfId="0" applyFont="1" applyFill="1" applyBorder="1" applyAlignment="1"/>
    <xf numFmtId="0" fontId="41" fillId="0" borderId="0" xfId="0" applyFont="1" applyFill="1" applyAlignment="1">
      <alignment horizontal="center" vertical="top" wrapText="1"/>
    </xf>
    <xf numFmtId="0" fontId="40" fillId="0" borderId="0" xfId="0" applyFont="1" applyFill="1" applyAlignment="1">
      <alignment horizontal="center" vertical="top" wrapText="1"/>
    </xf>
    <xf numFmtId="0" fontId="40" fillId="0" borderId="0" xfId="0" applyFont="1" applyFill="1" applyBorder="1" applyAlignment="1">
      <alignment horizontal="center" wrapText="1"/>
    </xf>
    <xf numFmtId="166" fontId="42" fillId="0" borderId="0" xfId="28" applyNumberFormat="1" applyFont="1" applyFill="1" applyBorder="1" applyAlignment="1">
      <alignment horizontal="right" vertical="top" wrapText="1"/>
    </xf>
    <xf numFmtId="166" fontId="40" fillId="0" borderId="0" xfId="28" applyNumberFormat="1" applyFont="1" applyFill="1" applyBorder="1" applyAlignment="1">
      <alignment horizontal="right" wrapText="1"/>
    </xf>
    <xf numFmtId="0" fontId="41" fillId="0" borderId="0" xfId="0" applyFont="1" applyFill="1" applyBorder="1" applyAlignment="1">
      <alignment horizontal="center" vertical="top" wrapText="1"/>
    </xf>
    <xf numFmtId="167" fontId="42" fillId="0" borderId="0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right" vertical="top" wrapText="1"/>
    </xf>
    <xf numFmtId="167" fontId="59" fillId="0" borderId="25" xfId="41" applyNumberFormat="1" applyFont="1" applyFill="1" applyBorder="1"/>
    <xf numFmtId="167" fontId="35" fillId="0" borderId="0" xfId="36" applyNumberFormat="1" applyFont="1" applyBorder="1"/>
    <xf numFmtId="3" fontId="32" fillId="0" borderId="0" xfId="53" applyNumberFormat="1" applyFont="1" applyAlignment="1">
      <alignment horizontal="right" vertical="top" wrapText="1"/>
    </xf>
    <xf numFmtId="0" fontId="32" fillId="0" borderId="0" xfId="53" applyFont="1" applyAlignment="1">
      <alignment horizontal="right" vertical="top" wrapText="1"/>
    </xf>
    <xf numFmtId="0" fontId="47" fillId="0" borderId="0" xfId="53" applyFont="1" applyBorder="1" applyAlignment="1">
      <alignment horizontal="right" vertical="top" wrapText="1"/>
    </xf>
    <xf numFmtId="0" fontId="60" fillId="0" borderId="0" xfId="53" applyFont="1" applyFill="1"/>
    <xf numFmtId="0" fontId="65" fillId="0" borderId="0" xfId="0" applyFont="1" applyBorder="1"/>
    <xf numFmtId="3" fontId="50" fillId="0" borderId="0" xfId="53" applyNumberFormat="1" applyFont="1" applyBorder="1" applyAlignment="1">
      <alignment horizontal="right" wrapText="1"/>
    </xf>
    <xf numFmtId="0" fontId="32" fillId="0" borderId="0" xfId="53" applyFont="1" applyFill="1" applyAlignment="1">
      <alignment horizontal="right"/>
    </xf>
    <xf numFmtId="0" fontId="64" fillId="0" borderId="0" xfId="53" applyFont="1" applyAlignment="1">
      <alignment horizontal="justify" vertical="top" wrapText="1"/>
    </xf>
    <xf numFmtId="0" fontId="66" fillId="0" borderId="0" xfId="53" applyFont="1" applyAlignment="1">
      <alignment horizontal="justify" vertical="top" wrapText="1"/>
    </xf>
    <xf numFmtId="3" fontId="47" fillId="0" borderId="0" xfId="53" applyNumberFormat="1" applyFont="1" applyAlignment="1">
      <alignment horizontal="right" vertical="top" wrapText="1"/>
    </xf>
    <xf numFmtId="0" fontId="49" fillId="0" borderId="0" xfId="53" applyFont="1" applyFill="1" applyAlignment="1">
      <alignment horizontal="left" vertical="top" wrapText="1"/>
    </xf>
    <xf numFmtId="0" fontId="46" fillId="0" borderId="0" xfId="53" applyFont="1" applyFill="1" applyAlignment="1">
      <alignment horizontal="center" wrapText="1"/>
    </xf>
    <xf numFmtId="0" fontId="31" fillId="0" borderId="0" xfId="53" applyFont="1" applyBorder="1" applyAlignment="1">
      <alignment horizontal="center" wrapText="1"/>
    </xf>
    <xf numFmtId="0" fontId="61" fillId="0" borderId="0" xfId="53" applyFont="1" applyAlignment="1">
      <alignment horizontal="justify" vertical="top" wrapText="1"/>
    </xf>
    <xf numFmtId="0" fontId="61" fillId="0" borderId="0" xfId="62" applyFont="1" applyFill="1" applyBorder="1" applyAlignment="1">
      <alignment horizontal="left"/>
    </xf>
    <xf numFmtId="0" fontId="32" fillId="0" borderId="0" xfId="53" applyFont="1" applyBorder="1" applyAlignment="1">
      <alignment horizontal="right"/>
    </xf>
    <xf numFmtId="3" fontId="49" fillId="0" borderId="0" xfId="53" applyNumberFormat="1" applyFont="1" applyBorder="1" applyAlignment="1">
      <alignment horizontal="right" vertical="top" wrapText="1"/>
    </xf>
    <xf numFmtId="0" fontId="32" fillId="0" borderId="0" xfId="53" applyFont="1" applyBorder="1" applyAlignment="1">
      <alignment horizontal="right" vertical="top" wrapText="1"/>
    </xf>
    <xf numFmtId="167" fontId="32" fillId="0" borderId="0" xfId="36" applyNumberFormat="1" applyFont="1" applyBorder="1"/>
    <xf numFmtId="0" fontId="41" fillId="0" borderId="0" xfId="53" applyFont="1" applyAlignment="1">
      <alignment horizontal="right" vertical="top" wrapText="1"/>
    </xf>
    <xf numFmtId="3" fontId="41" fillId="0" borderId="97" xfId="53" applyNumberFormat="1" applyFont="1" applyBorder="1" applyAlignment="1">
      <alignment horizontal="right" vertical="top" wrapText="1"/>
    </xf>
    <xf numFmtId="3" fontId="35" fillId="0" borderId="0" xfId="53" applyNumberFormat="1" applyFont="1" applyAlignment="1">
      <alignment horizontal="right" vertical="top" wrapText="1"/>
    </xf>
    <xf numFmtId="0" fontId="35" fillId="0" borderId="0" xfId="53" applyFont="1" applyAlignment="1">
      <alignment horizontal="justify" vertical="top" wrapText="1"/>
    </xf>
    <xf numFmtId="0" fontId="48" fillId="0" borderId="0" xfId="53" applyFont="1" applyBorder="1" applyAlignment="1">
      <alignment horizontal="right" vertical="top" wrapText="1"/>
    </xf>
    <xf numFmtId="0" fontId="46" fillId="0" borderId="0" xfId="53" applyFont="1" applyBorder="1" applyAlignment="1">
      <alignment horizontal="center" wrapText="1"/>
    </xf>
    <xf numFmtId="3" fontId="50" fillId="0" borderId="0" xfId="53" applyNumberFormat="1" applyFont="1" applyBorder="1" applyAlignment="1">
      <alignment horizontal="right" vertical="top" wrapText="1"/>
    </xf>
    <xf numFmtId="3" fontId="50" fillId="0" borderId="97" xfId="53" applyNumberFormat="1" applyFont="1" applyBorder="1" applyAlignment="1">
      <alignment horizontal="right" vertical="top" wrapText="1"/>
    </xf>
    <xf numFmtId="0" fontId="32" fillId="0" borderId="0" xfId="0" applyFont="1" applyBorder="1" applyAlignment="1">
      <alignment horizontal="left"/>
    </xf>
    <xf numFmtId="0" fontId="61" fillId="0" borderId="0" xfId="53" applyFont="1" applyFill="1" applyAlignment="1">
      <alignment horizontal="right"/>
    </xf>
    <xf numFmtId="0" fontId="68" fillId="0" borderId="0" xfId="53" applyFont="1" applyAlignment="1"/>
    <xf numFmtId="0" fontId="36" fillId="0" borderId="99" xfId="62" applyFont="1" applyFill="1" applyBorder="1" applyAlignment="1">
      <alignment horizontal="center"/>
    </xf>
    <xf numFmtId="0" fontId="36" fillId="0" borderId="25" xfId="62" applyFont="1" applyFill="1" applyBorder="1" applyAlignment="1">
      <alignment horizontal="center"/>
    </xf>
    <xf numFmtId="3" fontId="35" fillId="0" borderId="0" xfId="53" applyNumberFormat="1" applyFont="1" applyAlignment="1">
      <alignment horizontal="right" wrapText="1"/>
    </xf>
    <xf numFmtId="3" fontId="32" fillId="0" borderId="0" xfId="53" applyNumberFormat="1" applyFont="1" applyAlignment="1">
      <alignment horizontal="right" wrapText="1"/>
    </xf>
    <xf numFmtId="0" fontId="32" fillId="0" borderId="0" xfId="53" applyFont="1" applyAlignment="1">
      <alignment horizontal="right"/>
    </xf>
    <xf numFmtId="3" fontId="32" fillId="0" borderId="0" xfId="53" applyNumberFormat="1" applyFont="1" applyFill="1" applyAlignment="1">
      <alignment horizontal="right" wrapText="1"/>
    </xf>
    <xf numFmtId="0" fontId="32" fillId="0" borderId="0" xfId="53" applyFont="1" applyFill="1" applyAlignment="1">
      <alignment horizontal="right" vertical="top" wrapText="1"/>
    </xf>
    <xf numFmtId="0" fontId="32" fillId="0" borderId="0" xfId="53" applyFont="1" applyFill="1" applyAlignment="1">
      <alignment horizontal="right" wrapText="1"/>
    </xf>
    <xf numFmtId="0" fontId="32" fillId="0" borderId="0" xfId="53" applyFont="1" applyAlignment="1">
      <alignment horizontal="right" wrapText="1"/>
    </xf>
    <xf numFmtId="0" fontId="69" fillId="0" borderId="21" xfId="0" applyFont="1" applyFill="1" applyBorder="1" applyAlignment="1">
      <alignment horizontal="center"/>
    </xf>
    <xf numFmtId="0" fontId="70" fillId="0" borderId="25" xfId="0" applyFont="1" applyFill="1" applyBorder="1" applyAlignment="1">
      <alignment horizontal="center"/>
    </xf>
    <xf numFmtId="167" fontId="71" fillId="0" borderId="25" xfId="36" applyNumberFormat="1" applyFont="1" applyFill="1" applyBorder="1" applyAlignment="1">
      <alignment horizontal="center"/>
    </xf>
    <xf numFmtId="167" fontId="71" fillId="0" borderId="94" xfId="36" applyNumberFormat="1" applyFont="1" applyFill="1" applyBorder="1" applyAlignment="1">
      <alignment horizontal="center"/>
    </xf>
    <xf numFmtId="0" fontId="71" fillId="0" borderId="11" xfId="0" applyFont="1" applyFill="1" applyBorder="1" applyAlignment="1">
      <alignment horizontal="center"/>
    </xf>
    <xf numFmtId="0" fontId="71" fillId="0" borderId="103" xfId="0" applyFont="1" applyFill="1" applyBorder="1" applyAlignment="1">
      <alignment horizontal="center"/>
    </xf>
    <xf numFmtId="0" fontId="69" fillId="0" borderId="25" xfId="0" applyFont="1" applyFill="1" applyBorder="1" applyAlignment="1">
      <alignment horizontal="center"/>
    </xf>
    <xf numFmtId="0" fontId="70" fillId="0" borderId="103" xfId="0" applyFont="1" applyFill="1" applyBorder="1" applyAlignment="1">
      <alignment horizontal="center"/>
    </xf>
    <xf numFmtId="0" fontId="71" fillId="0" borderId="25" xfId="0" applyFont="1" applyFill="1" applyBorder="1" applyAlignment="1">
      <alignment horizontal="center"/>
    </xf>
    <xf numFmtId="0" fontId="70" fillId="0" borderId="21" xfId="0" applyFont="1" applyFill="1" applyBorder="1" applyAlignment="1">
      <alignment horizontal="center"/>
    </xf>
    <xf numFmtId="0" fontId="70" fillId="0" borderId="94" xfId="0" applyFont="1" applyFill="1" applyBorder="1" applyAlignment="1">
      <alignment horizontal="center"/>
    </xf>
    <xf numFmtId="0" fontId="69" fillId="0" borderId="103" xfId="0" applyFont="1" applyFill="1" applyBorder="1" applyAlignment="1">
      <alignment horizontal="center"/>
    </xf>
    <xf numFmtId="0" fontId="56" fillId="26" borderId="0" xfId="53" applyFont="1" applyFill="1" applyAlignment="1">
      <alignment horizontal="center"/>
    </xf>
    <xf numFmtId="0" fontId="32" fillId="26" borderId="0" xfId="53" applyFont="1" applyFill="1"/>
    <xf numFmtId="0" fontId="47" fillId="26" borderId="0" xfId="53" applyFont="1" applyFill="1" applyAlignment="1">
      <alignment horizontal="left" vertical="top" wrapText="1"/>
    </xf>
    <xf numFmtId="0" fontId="32" fillId="26" borderId="0" xfId="53" applyFont="1" applyFill="1" applyAlignment="1">
      <alignment horizontal="left" vertical="top" wrapText="1"/>
    </xf>
    <xf numFmtId="0" fontId="32" fillId="26" borderId="0" xfId="53" applyFont="1" applyFill="1" applyAlignment="1">
      <alignment horizontal="justify" vertical="top" wrapText="1"/>
    </xf>
    <xf numFmtId="0" fontId="49" fillId="26" borderId="0" xfId="53" applyFont="1" applyFill="1" applyAlignment="1">
      <alignment vertical="top" wrapText="1"/>
    </xf>
    <xf numFmtId="3" fontId="61" fillId="0" borderId="25" xfId="71" applyNumberFormat="1" applyFont="1" applyFill="1" applyBorder="1"/>
    <xf numFmtId="167" fontId="32" fillId="0" borderId="94" xfId="36" applyNumberFormat="1" applyFont="1" applyFill="1" applyBorder="1"/>
    <xf numFmtId="0" fontId="47" fillId="26" borderId="0" xfId="53" applyFont="1" applyFill="1" applyAlignment="1">
      <alignment horizontal="right" vertical="top" wrapText="1"/>
    </xf>
    <xf numFmtId="0" fontId="49" fillId="26" borderId="0" xfId="53" applyFont="1" applyFill="1" applyAlignment="1">
      <alignment horizontal="left" vertical="top" wrapText="1" indent="2"/>
    </xf>
    <xf numFmtId="0" fontId="67" fillId="26" borderId="0" xfId="53" applyFont="1" applyFill="1" applyAlignment="1">
      <alignment vertical="top"/>
    </xf>
    <xf numFmtId="0" fontId="67" fillId="26" borderId="0" xfId="53" applyFont="1" applyFill="1" applyAlignment="1">
      <alignment horizontal="left" vertical="top" wrapText="1"/>
    </xf>
    <xf numFmtId="0" fontId="32" fillId="26" borderId="0" xfId="53" applyFont="1" applyFill="1" applyAlignment="1">
      <alignment horizontal="left" vertical="top"/>
    </xf>
    <xf numFmtId="0" fontId="40" fillId="0" borderId="0" xfId="53" applyFont="1" applyAlignment="1">
      <alignment horizontal="left" vertical="top" wrapText="1"/>
    </xf>
    <xf numFmtId="0" fontId="44" fillId="0" borderId="0" xfId="53" applyFont="1" applyAlignment="1">
      <alignment horizontal="center" wrapText="1"/>
    </xf>
    <xf numFmtId="0" fontId="44" fillId="0" borderId="46" xfId="53" applyFont="1" applyBorder="1" applyAlignment="1">
      <alignment horizontal="center" wrapText="1"/>
    </xf>
    <xf numFmtId="0" fontId="43" fillId="0" borderId="0" xfId="53" applyFont="1" applyAlignment="1">
      <alignment horizontal="right" vertical="top" wrapText="1"/>
    </xf>
    <xf numFmtId="3" fontId="42" fillId="0" borderId="0" xfId="53" applyNumberFormat="1" applyFont="1" applyAlignment="1">
      <alignment horizontal="right" vertical="top" wrapText="1"/>
    </xf>
    <xf numFmtId="0" fontId="42" fillId="0" borderId="0" xfId="53" applyFont="1" applyAlignment="1">
      <alignment horizontal="right" vertical="top" wrapText="1"/>
    </xf>
    <xf numFmtId="0" fontId="40" fillId="0" borderId="0" xfId="53" applyFont="1" applyAlignment="1">
      <alignment horizontal="left" vertical="top" wrapText="1" indent="2"/>
    </xf>
    <xf numFmtId="3" fontId="41" fillId="0" borderId="97" xfId="53" applyNumberFormat="1" applyFont="1" applyBorder="1" applyAlignment="1">
      <alignment horizontal="right" wrapText="1"/>
    </xf>
    <xf numFmtId="0" fontId="41" fillId="0" borderId="0" xfId="53" applyFont="1" applyAlignment="1">
      <alignment horizontal="right" wrapText="1"/>
    </xf>
    <xf numFmtId="3" fontId="41" fillId="0" borderId="90" xfId="53" applyNumberFormat="1" applyFont="1" applyBorder="1" applyAlignment="1">
      <alignment horizontal="right" vertical="top" wrapText="1"/>
    </xf>
    <xf numFmtId="0" fontId="29" fillId="0" borderId="0" xfId="53" applyFont="1" applyAlignment="1">
      <alignment horizontal="center" vertical="top" wrapText="1"/>
    </xf>
    <xf numFmtId="0" fontId="29" fillId="0" borderId="0" xfId="53" applyFont="1" applyAlignment="1">
      <alignment horizontal="justify" vertical="top" wrapText="1"/>
    </xf>
    <xf numFmtId="0" fontId="44" fillId="0" borderId="0" xfId="53" applyFont="1" applyAlignment="1">
      <alignment horizontal="right" vertical="top" wrapText="1"/>
    </xf>
    <xf numFmtId="0" fontId="40" fillId="0" borderId="0" xfId="53" applyFont="1" applyAlignment="1">
      <alignment horizontal="center" vertical="top" wrapText="1"/>
    </xf>
    <xf numFmtId="0" fontId="32" fillId="0" borderId="0" xfId="53" applyFont="1" applyAlignment="1">
      <alignment horizontal="center" vertical="top" wrapText="1"/>
    </xf>
    <xf numFmtId="3" fontId="41" fillId="0" borderId="104" xfId="53" applyNumberFormat="1" applyFont="1" applyBorder="1" applyAlignment="1">
      <alignment horizontal="right" wrapText="1"/>
    </xf>
    <xf numFmtId="0" fontId="32" fillId="0" borderId="0" xfId="53" applyFont="1" applyFill="1" applyAlignment="1">
      <alignment horizontal="right" vertical="top"/>
    </xf>
    <xf numFmtId="0" fontId="32" fillId="0" borderId="91" xfId="59" applyFont="1" applyBorder="1" applyAlignment="1">
      <alignment wrapText="1"/>
    </xf>
    <xf numFmtId="0" fontId="32" fillId="0" borderId="92" xfId="59" applyFont="1" applyBorder="1" applyAlignment="1">
      <alignment wrapText="1"/>
    </xf>
    <xf numFmtId="0" fontId="32" fillId="0" borderId="68" xfId="59" applyFont="1" applyBorder="1" applyAlignment="1">
      <alignment wrapText="1"/>
    </xf>
    <xf numFmtId="0" fontId="32" fillId="0" borderId="93" xfId="59" applyFont="1" applyBorder="1" applyAlignment="1">
      <alignment wrapText="1"/>
    </xf>
    <xf numFmtId="0" fontId="11" fillId="0" borderId="0" xfId="58"/>
    <xf numFmtId="0" fontId="11" fillId="0" borderId="0" xfId="58" applyBorder="1"/>
    <xf numFmtId="0" fontId="73" fillId="0" borderId="0" xfId="58" applyFont="1" applyBorder="1"/>
    <xf numFmtId="0" fontId="11" fillId="0" borderId="105" xfId="58" applyBorder="1"/>
    <xf numFmtId="0" fontId="11" fillId="0" borderId="106" xfId="58" applyBorder="1"/>
    <xf numFmtId="0" fontId="76" fillId="0" borderId="105" xfId="58" applyFont="1" applyBorder="1" applyAlignment="1">
      <alignment horizontal="center"/>
    </xf>
    <xf numFmtId="0" fontId="73" fillId="0" borderId="106" xfId="58" applyFont="1" applyBorder="1" applyAlignment="1">
      <alignment vertical="center" wrapText="1"/>
    </xf>
    <xf numFmtId="0" fontId="73" fillId="0" borderId="106" xfId="58" applyFont="1" applyBorder="1"/>
    <xf numFmtId="0" fontId="11" fillId="0" borderId="107" xfId="58" applyBorder="1"/>
    <xf numFmtId="0" fontId="11" fillId="0" borderId="46" xfId="58" applyBorder="1"/>
    <xf numFmtId="0" fontId="11" fillId="0" borderId="108" xfId="58" applyBorder="1"/>
    <xf numFmtId="0" fontId="77" fillId="0" borderId="0" xfId="0" applyFont="1"/>
    <xf numFmtId="0" fontId="78" fillId="0" borderId="0" xfId="0" applyFont="1"/>
    <xf numFmtId="0" fontId="79" fillId="0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center"/>
    </xf>
    <xf numFmtId="0" fontId="79" fillId="0" borderId="0" xfId="0" applyFont="1"/>
    <xf numFmtId="0" fontId="43" fillId="26" borderId="0" xfId="53" applyFont="1" applyFill="1" applyAlignment="1">
      <alignment horizontal="right" vertical="top" wrapText="1"/>
    </xf>
    <xf numFmtId="0" fontId="40" fillId="26" borderId="0" xfId="53" applyFont="1" applyFill="1" applyAlignment="1">
      <alignment horizontal="left" vertical="top" wrapText="1" indent="2"/>
    </xf>
    <xf numFmtId="0" fontId="49" fillId="0" borderId="0" xfId="53" applyFont="1" applyFill="1" applyAlignment="1">
      <alignment vertical="top" wrapText="1"/>
    </xf>
    <xf numFmtId="0" fontId="46" fillId="0" borderId="46" xfId="53" applyFont="1" applyFill="1" applyBorder="1" applyAlignment="1">
      <alignment horizontal="center" wrapText="1"/>
    </xf>
    <xf numFmtId="0" fontId="47" fillId="0" borderId="0" xfId="53" applyFont="1" applyFill="1" applyAlignment="1">
      <alignment horizontal="right" vertical="top" wrapText="1"/>
    </xf>
    <xf numFmtId="0" fontId="32" fillId="0" borderId="0" xfId="53" applyFont="1" applyFill="1" applyAlignment="1">
      <alignment horizontal="justify" vertical="top" wrapText="1"/>
    </xf>
    <xf numFmtId="3" fontId="32" fillId="0" borderId="0" xfId="53" applyNumberFormat="1" applyFont="1" applyFill="1" applyAlignment="1">
      <alignment horizontal="right" vertical="top" wrapText="1"/>
    </xf>
    <xf numFmtId="3" fontId="48" fillId="0" borderId="0" xfId="53" applyNumberFormat="1" applyFont="1" applyFill="1" applyAlignment="1">
      <alignment horizontal="right" vertical="top" wrapText="1"/>
    </xf>
    <xf numFmtId="0" fontId="48" fillId="0" borderId="0" xfId="53" applyFont="1" applyFill="1" applyAlignment="1">
      <alignment horizontal="right" vertical="top" wrapText="1"/>
    </xf>
    <xf numFmtId="0" fontId="49" fillId="0" borderId="0" xfId="53" applyFont="1" applyFill="1" applyAlignment="1">
      <alignment horizontal="left" vertical="top" wrapText="1" indent="2"/>
    </xf>
    <xf numFmtId="3" fontId="50" fillId="0" borderId="97" xfId="53" applyNumberFormat="1" applyFont="1" applyFill="1" applyBorder="1" applyAlignment="1">
      <alignment horizontal="right" wrapText="1"/>
    </xf>
    <xf numFmtId="0" fontId="50" fillId="0" borderId="0" xfId="53" applyFont="1" applyFill="1" applyAlignment="1">
      <alignment horizontal="right" wrapText="1"/>
    </xf>
    <xf numFmtId="3" fontId="50" fillId="0" borderId="0" xfId="53" applyNumberFormat="1" applyFont="1" applyFill="1" applyBorder="1" applyAlignment="1">
      <alignment horizontal="right" wrapText="1"/>
    </xf>
    <xf numFmtId="0" fontId="32" fillId="0" borderId="0" xfId="53" applyFont="1" applyFill="1" applyBorder="1" applyAlignment="1">
      <alignment horizontal="right" vertical="top" wrapText="1"/>
    </xf>
    <xf numFmtId="3" fontId="32" fillId="0" borderId="0" xfId="53" applyNumberFormat="1" applyFont="1" applyFill="1" applyBorder="1" applyAlignment="1">
      <alignment horizontal="right" vertical="top" wrapText="1"/>
    </xf>
    <xf numFmtId="0" fontId="46" fillId="0" borderId="0" xfId="53" applyFont="1" applyFill="1" applyBorder="1" applyAlignment="1">
      <alignment horizontal="center" wrapText="1"/>
    </xf>
    <xf numFmtId="0" fontId="67" fillId="0" borderId="0" xfId="53" applyFont="1" applyFill="1" applyAlignment="1">
      <alignment horizontal="left" vertical="top" wrapText="1"/>
    </xf>
    <xf numFmtId="3" fontId="67" fillId="0" borderId="0" xfId="53" applyNumberFormat="1" applyFont="1" applyFill="1" applyBorder="1" applyAlignment="1">
      <alignment wrapText="1"/>
    </xf>
    <xf numFmtId="3" fontId="73" fillId="0" borderId="0" xfId="53" applyNumberFormat="1" applyFont="1" applyFill="1" applyAlignment="1">
      <alignment wrapText="1"/>
    </xf>
    <xf numFmtId="3" fontId="80" fillId="0" borderId="0" xfId="53" applyNumberFormat="1" applyFont="1" applyFill="1" applyAlignment="1">
      <alignment vertical="top" wrapText="1"/>
    </xf>
    <xf numFmtId="3" fontId="41" fillId="0" borderId="0" xfId="53" applyNumberFormat="1" applyFont="1" applyAlignment="1">
      <alignment horizontal="right" vertical="top" wrapText="1"/>
    </xf>
    <xf numFmtId="0" fontId="32" fillId="0" borderId="0" xfId="53" applyFont="1" applyBorder="1" applyAlignment="1">
      <alignment horizontal="left"/>
    </xf>
    <xf numFmtId="0" fontId="60" fillId="0" borderId="0" xfId="53" applyFont="1" applyBorder="1" applyAlignment="1">
      <alignment horizontal="left"/>
    </xf>
    <xf numFmtId="3" fontId="32" fillId="0" borderId="0" xfId="71" applyNumberFormat="1" applyFont="1" applyBorder="1"/>
    <xf numFmtId="3" fontId="32" fillId="0" borderId="0" xfId="53" applyNumberFormat="1" applyFont="1" applyBorder="1"/>
    <xf numFmtId="3" fontId="32" fillId="0" borderId="104" xfId="53" applyNumberFormat="1" applyFont="1" applyBorder="1"/>
    <xf numFmtId="3" fontId="32" fillId="0" borderId="0" xfId="53" applyNumberFormat="1" applyFont="1"/>
    <xf numFmtId="3" fontId="32" fillId="0" borderId="97" xfId="53" applyNumberFormat="1" applyFont="1" applyBorder="1"/>
    <xf numFmtId="9" fontId="32" fillId="0" borderId="0" xfId="71" applyNumberFormat="1" applyFont="1"/>
    <xf numFmtId="9" fontId="32" fillId="0" borderId="0" xfId="53" applyNumberFormat="1" applyFont="1"/>
    <xf numFmtId="3" fontId="0" fillId="0" borderId="0" xfId="0" applyNumberFormat="1"/>
    <xf numFmtId="3" fontId="0" fillId="0" borderId="0" xfId="0" applyNumberFormat="1" applyAlignment="1">
      <alignment vertical="center"/>
    </xf>
    <xf numFmtId="3" fontId="5" fillId="0" borderId="0" xfId="0" applyNumberFormat="1" applyFont="1"/>
    <xf numFmtId="3" fontId="79" fillId="0" borderId="0" xfId="0" applyNumberFormat="1" applyFont="1"/>
    <xf numFmtId="3" fontId="32" fillId="0" borderId="0" xfId="59" applyNumberFormat="1" applyFont="1" applyFill="1" applyBorder="1"/>
    <xf numFmtId="0" fontId="32" fillId="0" borderId="0" xfId="59" applyFont="1" applyFill="1" applyAlignment="1">
      <alignment horizontal="center"/>
    </xf>
    <xf numFmtId="0" fontId="32" fillId="0" borderId="0" xfId="59" applyFont="1" applyFill="1" applyBorder="1" applyAlignment="1">
      <alignment horizontal="center"/>
    </xf>
    <xf numFmtId="0" fontId="31" fillId="0" borderId="0" xfId="59" applyFont="1" applyFill="1" applyBorder="1" applyAlignment="1">
      <alignment horizontal="center" vertical="center"/>
    </xf>
    <xf numFmtId="0" fontId="31" fillId="0" borderId="0" xfId="59" applyFont="1" applyFill="1" applyBorder="1"/>
    <xf numFmtId="167" fontId="36" fillId="0" borderId="94" xfId="41" applyNumberFormat="1" applyFont="1" applyFill="1" applyBorder="1"/>
    <xf numFmtId="167" fontId="30" fillId="0" borderId="21" xfId="41" applyNumberFormat="1" applyFont="1" applyFill="1" applyBorder="1"/>
    <xf numFmtId="0" fontId="29" fillId="0" borderId="100" xfId="59" applyFont="1" applyBorder="1" applyAlignment="1">
      <alignment wrapText="1"/>
    </xf>
    <xf numFmtId="0" fontId="29" fillId="0" borderId="102" xfId="59" applyFont="1" applyBorder="1" applyAlignment="1">
      <alignment wrapText="1"/>
    </xf>
    <xf numFmtId="0" fontId="29" fillId="0" borderId="109" xfId="59" applyFont="1" applyBorder="1"/>
    <xf numFmtId="0" fontId="29" fillId="0" borderId="110" xfId="59" applyFont="1" applyBorder="1"/>
    <xf numFmtId="0" fontId="29" fillId="0" borderId="98" xfId="59" applyFont="1" applyBorder="1"/>
    <xf numFmtId="0" fontId="29" fillId="0" borderId="99" xfId="59" applyFont="1" applyBorder="1"/>
    <xf numFmtId="0" fontId="29" fillId="0" borderId="111" xfId="59" applyFont="1" applyBorder="1"/>
    <xf numFmtId="0" fontId="29" fillId="0" borderId="112" xfId="59" applyFont="1" applyBorder="1"/>
    <xf numFmtId="166" fontId="32" fillId="24" borderId="113" xfId="28" applyNumberFormat="1" applyFont="1" applyFill="1" applyBorder="1"/>
    <xf numFmtId="166" fontId="32" fillId="24" borderId="103" xfId="28" applyNumberFormat="1" applyFont="1" applyFill="1" applyBorder="1"/>
    <xf numFmtId="166" fontId="32" fillId="0" borderId="114" xfId="28" applyNumberFormat="1" applyFont="1" applyBorder="1"/>
    <xf numFmtId="166" fontId="32" fillId="0" borderId="21" xfId="28" applyNumberFormat="1" applyFont="1" applyBorder="1"/>
    <xf numFmtId="166" fontId="32" fillId="0" borderId="115" xfId="28" applyNumberFormat="1" applyFont="1" applyBorder="1"/>
    <xf numFmtId="166" fontId="32" fillId="0" borderId="94" xfId="28" applyNumberFormat="1" applyFont="1" applyBorder="1"/>
    <xf numFmtId="166" fontId="32" fillId="0" borderId="98" xfId="28" applyNumberFormat="1" applyFont="1" applyBorder="1"/>
    <xf numFmtId="166" fontId="32" fillId="0" borderId="99" xfId="28" applyNumberFormat="1" applyFont="1" applyBorder="1"/>
    <xf numFmtId="166" fontId="32" fillId="0" borderId="116" xfId="28" applyNumberFormat="1" applyFont="1" applyBorder="1"/>
    <xf numFmtId="166" fontId="32" fillId="0" borderId="25" xfId="28" applyNumberFormat="1" applyFont="1" applyBorder="1"/>
    <xf numFmtId="166" fontId="32" fillId="0" borderId="109" xfId="28" applyNumberFormat="1" applyFont="1" applyBorder="1"/>
    <xf numFmtId="166" fontId="32" fillId="0" borderId="110" xfId="28" applyNumberFormat="1" applyFont="1" applyBorder="1"/>
    <xf numFmtId="166" fontId="32" fillId="0" borderId="116" xfId="28" applyNumberFormat="1" applyFont="1" applyFill="1" applyBorder="1"/>
    <xf numFmtId="0" fontId="29" fillId="0" borderId="67" xfId="59" applyFont="1" applyBorder="1"/>
    <xf numFmtId="0" fontId="29" fillId="0" borderId="0" xfId="59" applyFont="1" applyBorder="1"/>
    <xf numFmtId="0" fontId="29" fillId="0" borderId="0" xfId="59" applyFont="1"/>
    <xf numFmtId="0" fontId="29" fillId="0" borderId="0" xfId="59" applyFont="1" applyFill="1"/>
    <xf numFmtId="0" fontId="29" fillId="0" borderId="68" xfId="59" applyFont="1" applyBorder="1"/>
    <xf numFmtId="0" fontId="29" fillId="0" borderId="75" xfId="59" applyFont="1" applyBorder="1"/>
    <xf numFmtId="3" fontId="81" fillId="30" borderId="0" xfId="59" applyNumberFormat="1" applyFont="1" applyFill="1"/>
    <xf numFmtId="0" fontId="32" fillId="0" borderId="0" xfId="53" applyFont="1" applyAlignment="1">
      <alignment horizontal="center"/>
    </xf>
    <xf numFmtId="3" fontId="81" fillId="30" borderId="0" xfId="0" applyNumberFormat="1" applyFont="1" applyFill="1" applyBorder="1" applyAlignment="1">
      <alignment horizontal="right"/>
    </xf>
    <xf numFmtId="0" fontId="32" fillId="30" borderId="0" xfId="0" applyFont="1" applyFill="1" applyBorder="1"/>
    <xf numFmtId="167" fontId="42" fillId="0" borderId="60" xfId="0" applyNumberFormat="1" applyFont="1" applyBorder="1" applyAlignment="1">
      <alignment horizontal="right" vertical="top" wrapText="1"/>
    </xf>
    <xf numFmtId="167" fontId="42" fillId="0" borderId="61" xfId="0" applyNumberFormat="1" applyFont="1" applyBorder="1" applyAlignment="1">
      <alignment horizontal="right" vertical="top" wrapText="1"/>
    </xf>
    <xf numFmtId="3" fontId="32" fillId="0" borderId="0" xfId="36" applyNumberFormat="1" applyFont="1" applyBorder="1"/>
    <xf numFmtId="0" fontId="29" fillId="0" borderId="46" xfId="59" applyFont="1" applyBorder="1"/>
    <xf numFmtId="166" fontId="32" fillId="0" borderId="46" xfId="28" applyNumberFormat="1" applyFont="1" applyBorder="1"/>
    <xf numFmtId="166" fontId="29" fillId="24" borderId="0" xfId="28" applyNumberFormat="1" applyFont="1" applyFill="1"/>
    <xf numFmtId="166" fontId="29" fillId="0" borderId="0" xfId="28" applyNumberFormat="1" applyFont="1"/>
    <xf numFmtId="166" fontId="29" fillId="0" borderId="46" xfId="28" applyNumberFormat="1" applyFont="1" applyBorder="1"/>
    <xf numFmtId="0" fontId="32" fillId="0" borderId="0" xfId="62" applyFont="1" applyFill="1" applyAlignment="1">
      <alignment horizontal="center"/>
    </xf>
    <xf numFmtId="0" fontId="85" fillId="0" borderId="0" xfId="62" applyFont="1" applyFill="1" applyAlignment="1">
      <alignment horizontal="center"/>
    </xf>
    <xf numFmtId="0" fontId="86" fillId="30" borderId="0" xfId="59" applyFont="1" applyFill="1"/>
    <xf numFmtId="166" fontId="86" fillId="30" borderId="0" xfId="28" applyNumberFormat="1" applyFont="1" applyFill="1"/>
    <xf numFmtId="0" fontId="40" fillId="0" borderId="106" xfId="58" applyFont="1" applyBorder="1"/>
    <xf numFmtId="166" fontId="32" fillId="0" borderId="0" xfId="0" applyNumberFormat="1" applyFont="1" applyFill="1"/>
    <xf numFmtId="167" fontId="37" fillId="0" borderId="25" xfId="36" applyNumberFormat="1" applyFont="1" applyFill="1" applyBorder="1"/>
    <xf numFmtId="0" fontId="29" fillId="0" borderId="0" xfId="0" applyFont="1" applyBorder="1" applyAlignment="1"/>
    <xf numFmtId="0" fontId="40" fillId="0" borderId="0" xfId="53" applyFont="1" applyBorder="1" applyAlignment="1">
      <alignment horizontal="left" vertical="center"/>
    </xf>
    <xf numFmtId="0" fontId="32" fillId="0" borderId="0" xfId="53" applyNumberFormat="1" applyFont="1" applyFill="1" applyBorder="1" applyAlignment="1" applyProtection="1">
      <alignment horizontal="center"/>
    </xf>
    <xf numFmtId="3" fontId="32" fillId="0" borderId="0" xfId="53" applyNumberFormat="1" applyFont="1" applyFill="1" applyBorder="1" applyAlignment="1" applyProtection="1">
      <alignment horizontal="right"/>
    </xf>
    <xf numFmtId="0" fontId="43" fillId="0" borderId="0" xfId="53" applyFont="1" applyBorder="1" applyAlignment="1">
      <alignment vertical="center"/>
    </xf>
    <xf numFmtId="3" fontId="44" fillId="0" borderId="0" xfId="53" applyNumberFormat="1" applyFont="1" applyBorder="1" applyAlignment="1">
      <alignment horizontal="right" vertical="center"/>
    </xf>
    <xf numFmtId="0" fontId="40" fillId="0" borderId="0" xfId="53" applyFont="1" applyFill="1" applyBorder="1" applyAlignment="1">
      <alignment horizontal="center" vertical="center"/>
    </xf>
    <xf numFmtId="3" fontId="40" fillId="0" borderId="0" xfId="53" applyNumberFormat="1" applyFont="1" applyFill="1" applyBorder="1" applyAlignment="1">
      <alignment horizontal="right" vertical="center" wrapText="1"/>
    </xf>
    <xf numFmtId="3" fontId="40" fillId="0" borderId="46" xfId="53" applyNumberFormat="1" applyFont="1" applyFill="1" applyBorder="1" applyAlignment="1">
      <alignment horizontal="right" vertical="center" wrapText="1"/>
    </xf>
    <xf numFmtId="0" fontId="40" fillId="0" borderId="0" xfId="53" applyFont="1" applyFill="1" applyBorder="1" applyAlignment="1">
      <alignment horizontal="left" vertical="center"/>
    </xf>
    <xf numFmtId="0" fontId="43" fillId="0" borderId="0" xfId="53" applyFont="1" applyFill="1" applyBorder="1" applyAlignment="1">
      <alignment horizontal="left" vertical="center"/>
    </xf>
    <xf numFmtId="0" fontId="43" fillId="0" borderId="0" xfId="53" applyFont="1" applyFill="1" applyBorder="1" applyAlignment="1">
      <alignment horizontal="center" vertical="center"/>
    </xf>
    <xf numFmtId="3" fontId="43" fillId="0" borderId="0" xfId="53" applyNumberFormat="1" applyFont="1" applyFill="1" applyBorder="1" applyAlignment="1">
      <alignment horizontal="right" vertical="center" wrapText="1"/>
    </xf>
    <xf numFmtId="3" fontId="40" fillId="0" borderId="104" xfId="53" applyNumberFormat="1" applyFont="1" applyFill="1" applyBorder="1" applyAlignment="1">
      <alignment horizontal="right" vertical="center" wrapText="1"/>
    </xf>
    <xf numFmtId="3" fontId="43" fillId="0" borderId="0" xfId="53" applyNumberFormat="1" applyFont="1" applyFill="1" applyBorder="1" applyAlignment="1" applyProtection="1">
      <alignment horizontal="right"/>
    </xf>
    <xf numFmtId="3" fontId="29" fillId="0" borderId="0" xfId="53" applyNumberFormat="1" applyFont="1"/>
    <xf numFmtId="0" fontId="29" fillId="0" borderId="0" xfId="53" applyFont="1"/>
    <xf numFmtId="3" fontId="40" fillId="0" borderId="0" xfId="53" applyNumberFormat="1" applyFont="1" applyFill="1" applyBorder="1" applyAlignment="1" applyProtection="1">
      <alignment horizontal="right"/>
    </xf>
    <xf numFmtId="3" fontId="40" fillId="0" borderId="104" xfId="53" applyNumberFormat="1" applyFont="1" applyFill="1" applyBorder="1" applyAlignment="1" applyProtection="1">
      <alignment horizontal="right"/>
    </xf>
    <xf numFmtId="3" fontId="43" fillId="25" borderId="0" xfId="53" applyNumberFormat="1" applyFont="1" applyFill="1" applyBorder="1" applyAlignment="1" applyProtection="1">
      <alignment horizontal="right"/>
    </xf>
    <xf numFmtId="3" fontId="40" fillId="0" borderId="0" xfId="53" applyNumberFormat="1" applyFont="1" applyBorder="1" applyAlignment="1">
      <alignment horizontal="right" vertical="center"/>
    </xf>
    <xf numFmtId="0" fontId="43" fillId="0" borderId="0" xfId="53" applyFont="1" applyFill="1" applyBorder="1" applyAlignment="1">
      <alignment horizontal="right" vertical="center"/>
    </xf>
    <xf numFmtId="3" fontId="35" fillId="0" borderId="0" xfId="53" applyNumberFormat="1" applyFont="1"/>
    <xf numFmtId="0" fontId="43" fillId="0" borderId="0" xfId="53" applyFont="1" applyBorder="1" applyAlignment="1">
      <alignment vertical="center" wrapText="1"/>
    </xf>
    <xf numFmtId="0" fontId="32" fillId="0" borderId="0" xfId="53" applyFont="1" applyFill="1" applyAlignment="1">
      <alignment horizontal="right" vertical="center"/>
    </xf>
    <xf numFmtId="0" fontId="33" fillId="0" borderId="0" xfId="53" applyFont="1" applyAlignment="1">
      <alignment horizontal="left" vertical="top"/>
    </xf>
    <xf numFmtId="3" fontId="41" fillId="0" borderId="0" xfId="53" applyNumberFormat="1" applyFont="1" applyBorder="1" applyAlignment="1">
      <alignment horizontal="right" vertical="top" wrapText="1"/>
    </xf>
    <xf numFmtId="0" fontId="43" fillId="0" borderId="0" xfId="53" applyFont="1" applyFill="1" applyAlignment="1">
      <alignment horizontal="right" vertical="top" wrapText="1"/>
    </xf>
    <xf numFmtId="3" fontId="43" fillId="0" borderId="0" xfId="53" applyNumberFormat="1" applyFont="1" applyFill="1" applyAlignment="1">
      <alignment horizontal="right" vertical="top" wrapText="1"/>
    </xf>
    <xf numFmtId="3" fontId="32" fillId="0" borderId="0" xfId="53" applyNumberFormat="1" applyFont="1" applyFill="1" applyAlignment="1">
      <alignment horizontal="center" wrapText="1"/>
    </xf>
    <xf numFmtId="166" fontId="32" fillId="0" borderId="0" xfId="28" applyNumberFormat="1" applyFont="1" applyFill="1"/>
    <xf numFmtId="0" fontId="29" fillId="24" borderId="99" xfId="59" applyFont="1" applyFill="1" applyBorder="1"/>
    <xf numFmtId="166" fontId="29" fillId="24" borderId="103" xfId="28" applyNumberFormat="1" applyFont="1" applyFill="1" applyBorder="1"/>
    <xf numFmtId="166" fontId="29" fillId="24" borderId="21" xfId="28" applyNumberFormat="1" applyFont="1" applyFill="1" applyBorder="1"/>
    <xf numFmtId="166" fontId="29" fillId="24" borderId="94" xfId="28" applyNumberFormat="1" applyFont="1" applyFill="1" applyBorder="1"/>
    <xf numFmtId="166" fontId="29" fillId="24" borderId="99" xfId="28" applyNumberFormat="1" applyFont="1" applyFill="1" applyBorder="1"/>
    <xf numFmtId="166" fontId="29" fillId="24" borderId="25" xfId="28" applyNumberFormat="1" applyFont="1" applyFill="1" applyBorder="1"/>
    <xf numFmtId="166" fontId="29" fillId="24" borderId="110" xfId="28" applyNumberFormat="1" applyFont="1" applyFill="1" applyBorder="1"/>
    <xf numFmtId="166" fontId="29" fillId="24" borderId="117" xfId="28" applyNumberFormat="1" applyFont="1" applyFill="1" applyBorder="1"/>
    <xf numFmtId="166" fontId="29" fillId="24" borderId="118" xfId="28" applyNumberFormat="1" applyFont="1" applyFill="1" applyBorder="1"/>
    <xf numFmtId="3" fontId="32" fillId="0" borderId="0" xfId="71" applyNumberFormat="1" applyFont="1" applyFill="1" applyBorder="1"/>
    <xf numFmtId="3" fontId="32" fillId="0" borderId="0" xfId="53" applyNumberFormat="1" applyFont="1" applyFill="1" applyBorder="1"/>
    <xf numFmtId="0" fontId="29" fillId="24" borderId="0" xfId="59" applyFont="1" applyFill="1" applyBorder="1"/>
    <xf numFmtId="0" fontId="29" fillId="0" borderId="0" xfId="59" applyFont="1" applyBorder="1" applyAlignment="1">
      <alignment wrapText="1"/>
    </xf>
    <xf numFmtId="3" fontId="29" fillId="24" borderId="0" xfId="59" applyNumberFormat="1" applyFont="1" applyFill="1" applyBorder="1"/>
    <xf numFmtId="0" fontId="32" fillId="0" borderId="0" xfId="59" applyFont="1" applyBorder="1" applyAlignment="1">
      <alignment wrapText="1"/>
    </xf>
    <xf numFmtId="166" fontId="32" fillId="0" borderId="0" xfId="59" applyNumberFormat="1" applyFont="1" applyBorder="1"/>
    <xf numFmtId="0" fontId="29" fillId="0" borderId="49" xfId="0" applyFont="1" applyBorder="1" applyAlignment="1"/>
    <xf numFmtId="0" fontId="11" fillId="0" borderId="105" xfId="58" applyFill="1" applyBorder="1"/>
    <xf numFmtId="166" fontId="32" fillId="0" borderId="119" xfId="28" applyNumberFormat="1" applyFont="1" applyFill="1" applyBorder="1"/>
    <xf numFmtId="166" fontId="31" fillId="0" borderId="119" xfId="28" applyNumberFormat="1" applyFont="1" applyFill="1" applyBorder="1"/>
    <xf numFmtId="166" fontId="29" fillId="0" borderId="119" xfId="28" applyNumberFormat="1" applyFont="1" applyFill="1" applyBorder="1"/>
    <xf numFmtId="166" fontId="33" fillId="0" borderId="119" xfId="28" applyNumberFormat="1" applyFont="1" applyFill="1" applyBorder="1"/>
    <xf numFmtId="167" fontId="35" fillId="0" borderId="94" xfId="36" applyNumberFormat="1" applyFont="1" applyFill="1" applyBorder="1"/>
    <xf numFmtId="167" fontId="37" fillId="0" borderId="21" xfId="36" applyNumberFormat="1" applyFont="1" applyFill="1" applyBorder="1"/>
    <xf numFmtId="167" fontId="35" fillId="0" borderId="120" xfId="36" applyNumberFormat="1" applyFont="1" applyFill="1" applyBorder="1"/>
    <xf numFmtId="167" fontId="36" fillId="0" borderId="103" xfId="41" applyNumberFormat="1" applyFont="1" applyFill="1" applyBorder="1"/>
    <xf numFmtId="167" fontId="30" fillId="0" borderId="121" xfId="36" applyNumberFormat="1" applyFont="1" applyFill="1" applyBorder="1"/>
    <xf numFmtId="167" fontId="30" fillId="0" borderId="25" xfId="36" applyNumberFormat="1" applyFont="1" applyFill="1" applyBorder="1"/>
    <xf numFmtId="0" fontId="29" fillId="0" borderId="113" xfId="0" applyFont="1" applyFill="1" applyBorder="1"/>
    <xf numFmtId="0" fontId="29" fillId="0" borderId="12" xfId="0" applyFont="1" applyFill="1" applyBorder="1"/>
    <xf numFmtId="0" fontId="29" fillId="0" borderId="103" xfId="0" applyFont="1" applyFill="1" applyBorder="1" applyAlignment="1">
      <alignment horizontal="right"/>
    </xf>
    <xf numFmtId="0" fontId="29" fillId="0" borderId="103" xfId="0" applyFont="1" applyFill="1" applyBorder="1"/>
    <xf numFmtId="166" fontId="29" fillId="0" borderId="122" xfId="28" applyNumberFormat="1" applyFont="1" applyFill="1" applyBorder="1"/>
    <xf numFmtId="170" fontId="35" fillId="0" borderId="0" xfId="28" applyNumberFormat="1" applyFont="1" applyFill="1" applyBorder="1"/>
    <xf numFmtId="0" fontId="32" fillId="0" borderId="0" xfId="62" applyFont="1" applyFill="1" applyBorder="1" applyAlignment="1">
      <alignment horizontal="left"/>
    </xf>
    <xf numFmtId="0" fontId="61" fillId="0" borderId="0" xfId="53" applyFont="1" applyFill="1" applyAlignment="1">
      <alignment horizontal="justify" vertical="top" wrapText="1"/>
    </xf>
    <xf numFmtId="0" fontId="52" fillId="0" borderId="94" xfId="0" applyFont="1" applyFill="1" applyBorder="1" applyAlignment="1">
      <alignment horizontal="left" wrapText="1"/>
    </xf>
    <xf numFmtId="0" fontId="29" fillId="0" borderId="0" xfId="0" applyFont="1" applyFill="1"/>
    <xf numFmtId="0" fontId="52" fillId="0" borderId="0" xfId="0" applyFont="1" applyFill="1"/>
    <xf numFmtId="0" fontId="32" fillId="0" borderId="0" xfId="0" applyFont="1" applyFill="1" applyAlignment="1">
      <alignment horizontal="center"/>
    </xf>
    <xf numFmtId="0" fontId="30" fillId="0" borderId="123" xfId="0" applyFont="1" applyFill="1" applyBorder="1" applyAlignment="1">
      <alignment horizontal="center" vertical="center" wrapText="1"/>
    </xf>
    <xf numFmtId="0" fontId="30" fillId="0" borderId="124" xfId="0" applyFont="1" applyFill="1" applyBorder="1" applyAlignment="1">
      <alignment horizontal="center" vertical="center" wrapText="1"/>
    </xf>
    <xf numFmtId="0" fontId="30" fillId="0" borderId="125" xfId="0" applyFont="1" applyFill="1" applyBorder="1" applyAlignment="1">
      <alignment horizontal="center" vertical="center" wrapText="1"/>
    </xf>
    <xf numFmtId="166" fontId="35" fillId="0" borderId="0" xfId="28" applyNumberFormat="1" applyFont="1" applyFill="1"/>
    <xf numFmtId="0" fontId="35" fillId="0" borderId="0" xfId="0" applyFont="1" applyFill="1" applyBorder="1"/>
    <xf numFmtId="0" fontId="35" fillId="0" borderId="0" xfId="0" applyFont="1" applyFill="1"/>
    <xf numFmtId="0" fontId="30" fillId="0" borderId="126" xfId="0" applyFont="1" applyFill="1" applyBorder="1" applyAlignment="1">
      <alignment horizontal="center" vertical="center" wrapText="1"/>
    </xf>
    <xf numFmtId="0" fontId="30" fillId="0" borderId="112" xfId="0" applyFont="1" applyFill="1" applyBorder="1" applyAlignment="1">
      <alignment horizontal="center" vertical="center" wrapText="1"/>
    </xf>
    <xf numFmtId="0" fontId="30" fillId="0" borderId="118" xfId="0" applyNumberFormat="1" applyFont="1" applyFill="1" applyBorder="1" applyAlignment="1">
      <alignment horizontal="center"/>
    </xf>
    <xf numFmtId="0" fontId="30" fillId="0" borderId="118" xfId="0" applyFont="1" applyFill="1" applyBorder="1" applyAlignment="1">
      <alignment horizontal="center" vertical="center" wrapText="1"/>
    </xf>
    <xf numFmtId="0" fontId="30" fillId="0" borderId="116" xfId="0" applyFont="1" applyFill="1" applyBorder="1"/>
    <xf numFmtId="0" fontId="30" fillId="0" borderId="28" xfId="0" applyFont="1" applyFill="1" applyBorder="1"/>
    <xf numFmtId="0" fontId="37" fillId="0" borderId="25" xfId="0" applyFont="1" applyFill="1" applyBorder="1"/>
    <xf numFmtId="0" fontId="37" fillId="0" borderId="25" xfId="0" applyFont="1" applyFill="1" applyBorder="1" applyAlignment="1">
      <alignment horizontal="center"/>
    </xf>
    <xf numFmtId="0" fontId="30" fillId="0" borderId="25" xfId="0" applyFont="1" applyFill="1" applyBorder="1"/>
    <xf numFmtId="0" fontId="30" fillId="0" borderId="21" xfId="0" applyFont="1" applyFill="1" applyBorder="1"/>
    <xf numFmtId="0" fontId="37" fillId="0" borderId="21" xfId="0" applyFont="1" applyFill="1" applyBorder="1"/>
    <xf numFmtId="0" fontId="35" fillId="0" borderId="116" xfId="0" applyFont="1" applyFill="1" applyBorder="1"/>
    <xf numFmtId="0" fontId="35" fillId="0" borderId="28" xfId="0" applyFont="1" applyFill="1" applyBorder="1"/>
    <xf numFmtId="0" fontId="35" fillId="0" borderId="25" xfId="0" applyFont="1" applyFill="1" applyBorder="1" applyAlignment="1">
      <alignment horizontal="center"/>
    </xf>
    <xf numFmtId="0" fontId="35" fillId="0" borderId="115" xfId="0" applyFont="1" applyFill="1" applyBorder="1"/>
    <xf numFmtId="0" fontId="35" fillId="0" borderId="127" xfId="0" applyFont="1" applyFill="1" applyBorder="1"/>
    <xf numFmtId="0" fontId="35" fillId="0" borderId="94" xfId="0" applyFont="1" applyFill="1" applyBorder="1"/>
    <xf numFmtId="0" fontId="35" fillId="0" borderId="94" xfId="0" applyFont="1" applyFill="1" applyBorder="1" applyAlignment="1">
      <alignment horizontal="center"/>
    </xf>
    <xf numFmtId="166" fontId="35" fillId="0" borderId="0" xfId="0" applyNumberFormat="1" applyFont="1" applyFill="1" applyBorder="1"/>
    <xf numFmtId="0" fontId="30" fillId="0" borderId="114" xfId="0" applyFont="1" applyFill="1" applyBorder="1"/>
    <xf numFmtId="0" fontId="30" fillId="0" borderId="23" xfId="0" applyFont="1" applyFill="1" applyBorder="1"/>
    <xf numFmtId="0" fontId="37" fillId="0" borderId="21" xfId="0" applyFont="1" applyFill="1" applyBorder="1" applyAlignment="1">
      <alignment horizontal="center"/>
    </xf>
    <xf numFmtId="9" fontId="35" fillId="0" borderId="0" xfId="71" applyFont="1" applyFill="1" applyBorder="1"/>
    <xf numFmtId="167" fontId="35" fillId="0" borderId="0" xfId="0" applyNumberFormat="1" applyFont="1" applyFill="1" applyBorder="1"/>
    <xf numFmtId="166" fontId="30" fillId="0" borderId="25" xfId="28" applyNumberFormat="1" applyFont="1" applyFill="1" applyBorder="1"/>
    <xf numFmtId="166" fontId="35" fillId="0" borderId="0" xfId="28" applyNumberFormat="1" applyFont="1" applyFill="1" applyBorder="1"/>
    <xf numFmtId="0" fontId="30" fillId="0" borderId="25" xfId="0" applyFont="1" applyFill="1" applyBorder="1" applyAlignment="1">
      <alignment horizontal="center"/>
    </xf>
    <xf numFmtId="166" fontId="30" fillId="0" borderId="0" xfId="28" applyNumberFormat="1" applyFont="1" applyFill="1" applyBorder="1"/>
    <xf numFmtId="0" fontId="35" fillId="0" borderId="99" xfId="0" applyFont="1" applyFill="1" applyBorder="1"/>
    <xf numFmtId="0" fontId="35" fillId="0" borderId="128" xfId="0" applyFont="1" applyFill="1" applyBorder="1"/>
    <xf numFmtId="0" fontId="35" fillId="0" borderId="129" xfId="0" applyFont="1" applyFill="1" applyBorder="1"/>
    <xf numFmtId="0" fontId="35" fillId="0" borderId="120" xfId="0" applyFont="1" applyFill="1" applyBorder="1"/>
    <xf numFmtId="0" fontId="35" fillId="0" borderId="120" xfId="0" applyFont="1" applyFill="1" applyBorder="1" applyAlignment="1">
      <alignment horizontal="center"/>
    </xf>
    <xf numFmtId="0" fontId="30" fillId="0" borderId="130" xfId="0" applyFont="1" applyFill="1" applyBorder="1"/>
    <xf numFmtId="0" fontId="30" fillId="0" borderId="131" xfId="0" applyFont="1" applyFill="1" applyBorder="1"/>
    <xf numFmtId="0" fontId="30" fillId="0" borderId="132" xfId="0" applyFont="1" applyFill="1" applyBorder="1"/>
    <xf numFmtId="0" fontId="30" fillId="0" borderId="132" xfId="0" applyFont="1" applyFill="1" applyBorder="1" applyAlignment="1">
      <alignment horizontal="center"/>
    </xf>
    <xf numFmtId="167" fontId="30" fillId="0" borderId="132" xfId="36" applyNumberFormat="1" applyFont="1" applyFill="1" applyBorder="1"/>
    <xf numFmtId="0" fontId="35" fillId="0" borderId="132" xfId="0" applyFont="1" applyFill="1" applyBorder="1"/>
    <xf numFmtId="166" fontId="30" fillId="0" borderId="132" xfId="28" applyNumberFormat="1" applyFont="1" applyFill="1" applyBorder="1"/>
    <xf numFmtId="167" fontId="32" fillId="0" borderId="0" xfId="36" applyNumberFormat="1" applyFont="1" applyFill="1"/>
    <xf numFmtId="170" fontId="32" fillId="0" borderId="0" xfId="28" applyNumberFormat="1" applyFont="1" applyFill="1" applyBorder="1"/>
    <xf numFmtId="0" fontId="29" fillId="0" borderId="118" xfId="0" applyNumberFormat="1" applyFont="1" applyFill="1" applyBorder="1" applyAlignment="1">
      <alignment horizontal="center"/>
    </xf>
    <xf numFmtId="0" fontId="29" fillId="0" borderId="119" xfId="0" applyNumberFormat="1" applyFont="1" applyFill="1" applyBorder="1" applyAlignment="1">
      <alignment horizontal="center"/>
    </xf>
    <xf numFmtId="0" fontId="29" fillId="0" borderId="114" xfId="0" applyFont="1" applyFill="1" applyBorder="1" applyAlignment="1">
      <alignment horizontal="right"/>
    </xf>
    <xf numFmtId="0" fontId="29" fillId="0" borderId="23" xfId="0" applyFont="1" applyFill="1" applyBorder="1" applyAlignment="1">
      <alignment horizontal="right"/>
    </xf>
    <xf numFmtId="0" fontId="29" fillId="0" borderId="21" xfId="0" applyFont="1" applyFill="1" applyBorder="1"/>
    <xf numFmtId="0" fontId="34" fillId="0" borderId="21" xfId="0" applyFont="1" applyFill="1" applyBorder="1"/>
    <xf numFmtId="0" fontId="29" fillId="0" borderId="116" xfId="0" applyFont="1" applyFill="1" applyBorder="1" applyAlignment="1">
      <alignment horizontal="right"/>
    </xf>
    <xf numFmtId="0" fontId="29" fillId="0" borderId="28" xfId="0" applyFont="1" applyFill="1" applyBorder="1" applyAlignment="1">
      <alignment horizontal="right"/>
    </xf>
    <xf numFmtId="0" fontId="29" fillId="0" borderId="25" xfId="0" applyFont="1" applyFill="1" applyBorder="1"/>
    <xf numFmtId="0" fontId="34" fillId="0" borderId="25" xfId="0" applyFont="1" applyFill="1" applyBorder="1"/>
    <xf numFmtId="0" fontId="32" fillId="0" borderId="116" xfId="0" applyFont="1" applyFill="1" applyBorder="1" applyAlignment="1">
      <alignment horizontal="right"/>
    </xf>
    <xf numFmtId="0" fontId="32" fillId="0" borderId="28" xfId="0" applyFont="1" applyFill="1" applyBorder="1" applyAlignment="1">
      <alignment horizontal="right"/>
    </xf>
    <xf numFmtId="0" fontId="32" fillId="0" borderId="25" xfId="0" applyFont="1" applyFill="1" applyBorder="1"/>
    <xf numFmtId="0" fontId="32" fillId="0" borderId="115" xfId="0" applyFont="1" applyFill="1" applyBorder="1" applyAlignment="1">
      <alignment horizontal="right"/>
    </xf>
    <xf numFmtId="0" fontId="32" fillId="0" borderId="127" xfId="0" applyFont="1" applyFill="1" applyBorder="1" applyAlignment="1">
      <alignment horizontal="right"/>
    </xf>
    <xf numFmtId="0" fontId="32" fillId="0" borderId="94" xfId="0" applyFont="1" applyFill="1" applyBorder="1"/>
    <xf numFmtId="0" fontId="32" fillId="0" borderId="113" xfId="0" applyFont="1" applyFill="1" applyBorder="1" applyAlignment="1">
      <alignment horizontal="right"/>
    </xf>
    <xf numFmtId="0" fontId="32" fillId="0" borderId="12" xfId="0" applyFont="1" applyFill="1" applyBorder="1" applyAlignment="1">
      <alignment horizontal="right"/>
    </xf>
    <xf numFmtId="0" fontId="29" fillId="0" borderId="11" xfId="0" applyFont="1" applyFill="1" applyBorder="1" applyAlignment="1">
      <alignment horizontal="right"/>
    </xf>
    <xf numFmtId="0" fontId="53" fillId="0" borderId="11" xfId="0" applyFont="1" applyFill="1" applyBorder="1" applyAlignment="1">
      <alignment horizontal="right"/>
    </xf>
    <xf numFmtId="166" fontId="32" fillId="0" borderId="0" xfId="0" applyNumberFormat="1" applyFont="1" applyFill="1" applyBorder="1"/>
    <xf numFmtId="0" fontId="32" fillId="0" borderId="114" xfId="0" applyFont="1" applyFill="1" applyBorder="1" applyAlignment="1">
      <alignment horizontal="right"/>
    </xf>
    <xf numFmtId="0" fontId="32" fillId="0" borderId="23" xfId="0" applyFont="1" applyFill="1" applyBorder="1" applyAlignment="1">
      <alignment horizontal="right"/>
    </xf>
    <xf numFmtId="0" fontId="32" fillId="0" borderId="21" xfId="0" applyFont="1" applyFill="1" applyBorder="1"/>
    <xf numFmtId="9" fontId="32" fillId="0" borderId="0" xfId="71" applyFont="1" applyFill="1" applyBorder="1"/>
    <xf numFmtId="167" fontId="32" fillId="0" borderId="0" xfId="0" applyNumberFormat="1" applyFont="1" applyFill="1" applyBorder="1"/>
    <xf numFmtId="0" fontId="53" fillId="0" borderId="103" xfId="0" applyFont="1" applyFill="1" applyBorder="1" applyAlignment="1">
      <alignment horizontal="right"/>
    </xf>
    <xf numFmtId="43" fontId="32" fillId="0" borderId="0" xfId="0" applyNumberFormat="1" applyFont="1" applyFill="1" applyBorder="1"/>
    <xf numFmtId="0" fontId="53" fillId="0" borderId="21" xfId="0" applyFont="1" applyFill="1" applyBorder="1"/>
    <xf numFmtId="0" fontId="52" fillId="0" borderId="25" xfId="0" applyFont="1" applyFill="1" applyBorder="1" applyAlignment="1">
      <alignment wrapText="1"/>
    </xf>
    <xf numFmtId="0" fontId="29" fillId="0" borderId="94" xfId="0" applyFont="1" applyFill="1" applyBorder="1"/>
    <xf numFmtId="0" fontId="52" fillId="0" borderId="94" xfId="0" applyFont="1" applyFill="1" applyBorder="1"/>
    <xf numFmtId="166" fontId="29" fillId="0" borderId="0" xfId="28" applyNumberFormat="1" applyFont="1" applyFill="1" applyBorder="1"/>
    <xf numFmtId="0" fontId="34" fillId="0" borderId="103" xfId="0" applyFont="1" applyFill="1" applyBorder="1"/>
    <xf numFmtId="0" fontId="55" fillId="0" borderId="103" xfId="0" applyFont="1" applyFill="1" applyBorder="1"/>
    <xf numFmtId="0" fontId="29" fillId="0" borderId="114" xfId="0" applyFont="1" applyFill="1" applyBorder="1"/>
    <xf numFmtId="0" fontId="52" fillId="0" borderId="25" xfId="0" applyFont="1" applyFill="1" applyBorder="1"/>
    <xf numFmtId="0" fontId="29" fillId="0" borderId="113" xfId="0" applyFont="1" applyFill="1" applyBorder="1" applyAlignment="1">
      <alignment horizontal="right"/>
    </xf>
    <xf numFmtId="0" fontId="29" fillId="0" borderId="12" xfId="0" applyFont="1" applyFill="1" applyBorder="1" applyAlignment="1">
      <alignment horizontal="right"/>
    </xf>
    <xf numFmtId="0" fontId="34" fillId="0" borderId="103" xfId="0" applyFont="1" applyFill="1" applyBorder="1" applyAlignment="1">
      <alignment horizontal="right"/>
    </xf>
    <xf numFmtId="0" fontId="55" fillId="0" borderId="103" xfId="0" applyFont="1" applyFill="1" applyBorder="1" applyAlignment="1">
      <alignment horizontal="right"/>
    </xf>
    <xf numFmtId="0" fontId="29" fillId="0" borderId="23" xfId="0" applyFont="1" applyFill="1" applyBorder="1" applyAlignment="1">
      <alignment horizontal="center"/>
    </xf>
    <xf numFmtId="0" fontId="52" fillId="0" borderId="21" xfId="0" applyFont="1" applyFill="1" applyBorder="1" applyAlignment="1">
      <alignment wrapText="1"/>
    </xf>
    <xf numFmtId="0" fontId="55" fillId="0" borderId="25" xfId="0" applyFont="1" applyFill="1" applyBorder="1"/>
    <xf numFmtId="0" fontId="34" fillId="0" borderId="94" xfId="0" applyFont="1" applyFill="1" applyBorder="1"/>
    <xf numFmtId="0" fontId="55" fillId="0" borderId="94" xfId="0" applyFont="1" applyFill="1" applyBorder="1"/>
    <xf numFmtId="0" fontId="55" fillId="0" borderId="21" xfId="0" applyFont="1" applyFill="1" applyBorder="1"/>
    <xf numFmtId="0" fontId="29" fillId="0" borderId="115" xfId="0" applyFont="1" applyFill="1" applyBorder="1" applyAlignment="1">
      <alignment horizontal="right"/>
    </xf>
    <xf numFmtId="0" fontId="29" fillId="0" borderId="127" xfId="0" applyFont="1" applyFill="1" applyBorder="1" applyAlignment="1">
      <alignment horizontal="right"/>
    </xf>
    <xf numFmtId="0" fontId="32" fillId="0" borderId="116" xfId="0" applyFont="1" applyFill="1" applyBorder="1"/>
    <xf numFmtId="0" fontId="29" fillId="0" borderId="130" xfId="0" applyFont="1" applyFill="1" applyBorder="1"/>
    <xf numFmtId="0" fontId="29" fillId="0" borderId="131" xfId="0" applyFont="1" applyFill="1" applyBorder="1"/>
    <xf numFmtId="0" fontId="29" fillId="0" borderId="132" xfId="0" applyFont="1" applyFill="1" applyBorder="1"/>
    <xf numFmtId="0" fontId="53" fillId="0" borderId="132" xfId="0" applyFont="1" applyFill="1" applyBorder="1"/>
    <xf numFmtId="0" fontId="29" fillId="0" borderId="132" xfId="0" applyFont="1" applyFill="1" applyBorder="1" applyAlignment="1">
      <alignment horizontal="center"/>
    </xf>
    <xf numFmtId="0" fontId="36" fillId="0" borderId="0" xfId="62" applyFont="1" applyFill="1" applyAlignment="1">
      <alignment horizontal="right"/>
    </xf>
    <xf numFmtId="167" fontId="35" fillId="0" borderId="0" xfId="62" applyNumberFormat="1" applyFont="1" applyFill="1"/>
    <xf numFmtId="0" fontId="35" fillId="0" borderId="0" xfId="62" applyFont="1" applyFill="1" applyAlignment="1">
      <alignment horizontal="center"/>
    </xf>
    <xf numFmtId="0" fontId="36" fillId="0" borderId="124" xfId="62" applyFont="1" applyFill="1" applyBorder="1" applyAlignment="1">
      <alignment horizontal="center" vertical="center" wrapText="1"/>
    </xf>
    <xf numFmtId="0" fontId="36" fillId="0" borderId="125" xfId="62" applyFont="1" applyFill="1" applyBorder="1" applyAlignment="1">
      <alignment horizontal="center" vertical="center" wrapText="1"/>
    </xf>
    <xf numFmtId="0" fontId="36" fillId="0" borderId="125" xfId="62" applyFont="1" applyFill="1" applyBorder="1" applyAlignment="1">
      <alignment horizontal="center"/>
    </xf>
    <xf numFmtId="0" fontId="36" fillId="0" borderId="112" xfId="62" applyFont="1" applyFill="1" applyBorder="1" applyAlignment="1">
      <alignment horizontal="center" vertical="center" wrapText="1"/>
    </xf>
    <xf numFmtId="0" fontId="36" fillId="0" borderId="118" xfId="0" applyNumberFormat="1" applyFont="1" applyFill="1" applyBorder="1" applyAlignment="1">
      <alignment horizontal="center"/>
    </xf>
    <xf numFmtId="15" fontId="36" fillId="0" borderId="118" xfId="0" applyNumberFormat="1" applyFont="1" applyFill="1" applyBorder="1" applyAlignment="1">
      <alignment horizontal="center"/>
    </xf>
    <xf numFmtId="0" fontId="37" fillId="0" borderId="125" xfId="62" applyFont="1" applyFill="1" applyBorder="1" applyAlignment="1">
      <alignment horizontal="right"/>
    </xf>
    <xf numFmtId="0" fontId="36" fillId="0" borderId="125" xfId="62" applyFont="1" applyFill="1" applyBorder="1" applyAlignment="1">
      <alignment horizontal="left"/>
    </xf>
    <xf numFmtId="0" fontId="37" fillId="0" borderId="125" xfId="62" applyFont="1" applyFill="1" applyBorder="1"/>
    <xf numFmtId="0" fontId="37" fillId="0" borderId="125" xfId="0" applyFont="1" applyFill="1" applyBorder="1"/>
    <xf numFmtId="167" fontId="36" fillId="0" borderId="125" xfId="41" applyNumberFormat="1" applyFont="1" applyFill="1" applyBorder="1"/>
    <xf numFmtId="167" fontId="37" fillId="0" borderId="125" xfId="41" applyNumberFormat="1" applyFont="1" applyFill="1" applyBorder="1"/>
    <xf numFmtId="167" fontId="36" fillId="0" borderId="135" xfId="41" applyNumberFormat="1" applyFont="1" applyFill="1" applyBorder="1"/>
    <xf numFmtId="0" fontId="37" fillId="0" borderId="21" xfId="62" applyFont="1" applyFill="1" applyBorder="1" applyAlignment="1">
      <alignment horizontal="right"/>
    </xf>
    <xf numFmtId="0" fontId="36" fillId="0" borderId="21" xfId="62" applyFont="1" applyFill="1" applyBorder="1" applyAlignment="1">
      <alignment horizontal="left"/>
    </xf>
    <xf numFmtId="0" fontId="37" fillId="0" borderId="21" xfId="62" applyFont="1" applyFill="1" applyBorder="1"/>
    <xf numFmtId="0" fontId="36" fillId="0" borderId="25" xfId="62" applyFont="1" applyFill="1" applyBorder="1" applyAlignment="1">
      <alignment horizontal="left"/>
    </xf>
    <xf numFmtId="0" fontId="30" fillId="0" borderId="25" xfId="62" applyFont="1" applyFill="1" applyBorder="1"/>
    <xf numFmtId="0" fontId="36" fillId="0" borderId="94" xfId="62" applyFont="1" applyFill="1" applyBorder="1" applyAlignment="1">
      <alignment horizontal="right"/>
    </xf>
    <xf numFmtId="0" fontId="36" fillId="0" borderId="94" xfId="62" applyFont="1" applyFill="1" applyBorder="1" applyAlignment="1">
      <alignment horizontal="left"/>
    </xf>
    <xf numFmtId="0" fontId="30" fillId="0" borderId="94" xfId="62" applyFont="1" applyFill="1" applyBorder="1"/>
    <xf numFmtId="0" fontId="35" fillId="0" borderId="25" xfId="62" applyFont="1" applyFill="1" applyBorder="1" applyAlignment="1">
      <alignment horizontal="center"/>
    </xf>
    <xf numFmtId="0" fontId="36" fillId="0" borderId="25" xfId="0" applyFont="1" applyFill="1" applyBorder="1" applyAlignment="1">
      <alignment horizontal="right"/>
    </xf>
    <xf numFmtId="0" fontId="37" fillId="0" borderId="25" xfId="62" applyFont="1" applyFill="1" applyBorder="1"/>
    <xf numFmtId="0" fontId="36" fillId="0" borderId="21" xfId="62" applyFont="1" applyFill="1" applyBorder="1" applyAlignment="1">
      <alignment horizontal="right"/>
    </xf>
    <xf numFmtId="0" fontId="30" fillId="0" borderId="21" xfId="62" applyFont="1" applyFill="1" applyBorder="1"/>
    <xf numFmtId="0" fontId="35" fillId="0" borderId="21" xfId="0" applyFont="1" applyFill="1" applyBorder="1"/>
    <xf numFmtId="0" fontId="37" fillId="0" borderId="25" xfId="62" applyFont="1" applyFill="1" applyBorder="1" applyAlignment="1">
      <alignment horizontal="right"/>
    </xf>
    <xf numFmtId="167" fontId="38" fillId="0" borderId="25" xfId="41" applyNumberFormat="1" applyFont="1" applyFill="1" applyBorder="1"/>
    <xf numFmtId="167" fontId="38" fillId="0" borderId="48" xfId="41" applyNumberFormat="1" applyFont="1" applyFill="1" applyBorder="1"/>
    <xf numFmtId="0" fontId="35" fillId="0" borderId="94" xfId="62" applyFont="1" applyFill="1" applyBorder="1"/>
    <xf numFmtId="0" fontId="35" fillId="0" borderId="94" xfId="62" applyFont="1" applyFill="1" applyBorder="1" applyAlignment="1">
      <alignment horizontal="center"/>
    </xf>
    <xf numFmtId="0" fontId="36" fillId="0" borderId="103" xfId="62" applyFont="1" applyFill="1" applyBorder="1" applyAlignment="1">
      <alignment horizontal="right"/>
    </xf>
    <xf numFmtId="0" fontId="36" fillId="0" borderId="103" xfId="62" applyFont="1" applyFill="1" applyBorder="1" applyAlignment="1">
      <alignment horizontal="left"/>
    </xf>
    <xf numFmtId="0" fontId="36" fillId="0" borderId="103" xfId="62" applyFont="1" applyFill="1" applyBorder="1" applyAlignment="1">
      <alignment horizontal="center"/>
    </xf>
    <xf numFmtId="0" fontId="36" fillId="0" borderId="103" xfId="0" applyFont="1" applyFill="1" applyBorder="1" applyAlignment="1">
      <alignment horizontal="right"/>
    </xf>
    <xf numFmtId="0" fontId="35" fillId="0" borderId="103" xfId="62" applyFont="1" applyFill="1" applyBorder="1" applyAlignment="1">
      <alignment horizontal="center"/>
    </xf>
    <xf numFmtId="167" fontId="36" fillId="0" borderId="136" xfId="41" applyNumberFormat="1" applyFont="1" applyFill="1" applyBorder="1"/>
    <xf numFmtId="167" fontId="35" fillId="0" borderId="21" xfId="62" applyNumberFormat="1" applyFont="1" applyFill="1" applyBorder="1"/>
    <xf numFmtId="167" fontId="35" fillId="0" borderId="21" xfId="41" applyNumberFormat="1" applyFont="1" applyFill="1" applyBorder="1"/>
    <xf numFmtId="0" fontId="35" fillId="0" borderId="21" xfId="62" applyFont="1" applyFill="1" applyBorder="1" applyAlignment="1">
      <alignment horizontal="center"/>
    </xf>
    <xf numFmtId="0" fontId="35" fillId="0" borderId="21" xfId="62" applyFont="1" applyFill="1" applyBorder="1"/>
    <xf numFmtId="167" fontId="35" fillId="0" borderId="47" xfId="41" applyNumberFormat="1" applyFont="1" applyFill="1" applyBorder="1"/>
    <xf numFmtId="0" fontId="36" fillId="0" borderId="94" xfId="62" applyFont="1" applyFill="1" applyBorder="1" applyAlignment="1">
      <alignment horizontal="center"/>
    </xf>
    <xf numFmtId="168" fontId="35" fillId="0" borderId="25" xfId="71" applyNumberFormat="1" applyFont="1" applyFill="1" applyBorder="1"/>
    <xf numFmtId="167" fontId="36" fillId="0" borderId="29" xfId="41" applyNumberFormat="1" applyFont="1" applyFill="1" applyBorder="1"/>
    <xf numFmtId="0" fontId="37" fillId="0" borderId="25" xfId="62" applyFont="1" applyFill="1" applyBorder="1" applyAlignment="1">
      <alignment horizontal="center"/>
    </xf>
    <xf numFmtId="0" fontId="35" fillId="0" borderId="137" xfId="62" applyFont="1" applyFill="1" applyBorder="1"/>
    <xf numFmtId="0" fontId="35" fillId="0" borderId="25" xfId="62" applyFont="1" applyFill="1" applyBorder="1" applyAlignment="1">
      <alignment horizontal="left"/>
    </xf>
    <xf numFmtId="0" fontId="35" fillId="0" borderId="25" xfId="0" applyFont="1" applyFill="1" applyBorder="1" applyAlignment="1"/>
    <xf numFmtId="0" fontId="36" fillId="0" borderId="120" xfId="62" applyFont="1" applyFill="1" applyBorder="1" applyAlignment="1">
      <alignment horizontal="right"/>
    </xf>
    <xf numFmtId="0" fontId="36" fillId="0" borderId="120" xfId="62" applyFont="1" applyFill="1" applyBorder="1"/>
    <xf numFmtId="0" fontId="35" fillId="0" borderId="120" xfId="62" applyFont="1" applyFill="1" applyBorder="1"/>
    <xf numFmtId="167" fontId="35" fillId="0" borderId="120" xfId="41" applyNumberFormat="1" applyFont="1" applyFill="1" applyBorder="1"/>
    <xf numFmtId="167" fontId="36" fillId="0" borderId="120" xfId="41" applyNumberFormat="1" applyFont="1" applyFill="1" applyBorder="1"/>
    <xf numFmtId="0" fontId="35" fillId="0" borderId="120" xfId="62" applyFont="1" applyFill="1" applyBorder="1" applyAlignment="1">
      <alignment horizontal="center"/>
    </xf>
    <xf numFmtId="167" fontId="35" fillId="0" borderId="84" xfId="41" applyNumberFormat="1" applyFont="1" applyFill="1" applyBorder="1"/>
    <xf numFmtId="0" fontId="36" fillId="0" borderId="132" xfId="62" applyFont="1" applyFill="1" applyBorder="1" applyAlignment="1">
      <alignment horizontal="right"/>
    </xf>
    <xf numFmtId="0" fontId="36" fillId="0" borderId="132" xfId="0" applyFont="1" applyFill="1" applyBorder="1" applyAlignment="1">
      <alignment horizontal="right"/>
    </xf>
    <xf numFmtId="167" fontId="36" fillId="0" borderId="132" xfId="41" applyNumberFormat="1" applyFont="1" applyFill="1" applyBorder="1"/>
    <xf numFmtId="0" fontId="35" fillId="0" borderId="132" xfId="62" applyFont="1" applyFill="1" applyBorder="1" applyAlignment="1">
      <alignment horizontal="center"/>
    </xf>
    <xf numFmtId="0" fontId="36" fillId="0" borderId="132" xfId="0" applyFont="1" applyFill="1" applyBorder="1"/>
    <xf numFmtId="167" fontId="36" fillId="0" borderId="138" xfId="41" applyNumberFormat="1" applyFont="1" applyFill="1" applyBorder="1"/>
    <xf numFmtId="0" fontId="31" fillId="0" borderId="0" xfId="62" applyFont="1" applyFill="1" applyAlignment="1">
      <alignment horizontal="right"/>
    </xf>
    <xf numFmtId="0" fontId="31" fillId="0" borderId="0" xfId="62" applyFont="1" applyFill="1"/>
    <xf numFmtId="0" fontId="32" fillId="0" borderId="0" xfId="62" applyFont="1" applyFill="1"/>
    <xf numFmtId="0" fontId="31" fillId="0" borderId="139" xfId="63" applyFont="1" applyFill="1" applyBorder="1" applyAlignment="1">
      <alignment horizontal="right"/>
    </xf>
    <xf numFmtId="0" fontId="31" fillId="0" borderId="140" xfId="63" applyFont="1" applyFill="1" applyBorder="1"/>
    <xf numFmtId="0" fontId="31" fillId="0" borderId="125" xfId="63" applyFont="1" applyFill="1" applyBorder="1"/>
    <xf numFmtId="9" fontId="31" fillId="0" borderId="125" xfId="71" applyFont="1" applyFill="1" applyBorder="1"/>
    <xf numFmtId="167" fontId="31" fillId="0" borderId="125" xfId="71" applyNumberFormat="1" applyFont="1" applyFill="1" applyBorder="1"/>
    <xf numFmtId="0" fontId="32" fillId="0" borderId="141" xfId="0" applyFont="1" applyFill="1" applyBorder="1"/>
    <xf numFmtId="0" fontId="32" fillId="0" borderId="0" xfId="0" applyFont="1" applyFill="1" applyBorder="1" applyAlignment="1">
      <alignment horizontal="center"/>
    </xf>
    <xf numFmtId="165" fontId="32" fillId="0" borderId="0" xfId="28" applyFont="1" applyFill="1"/>
    <xf numFmtId="0" fontId="31" fillId="0" borderId="142" xfId="63" applyFont="1" applyFill="1" applyBorder="1" applyAlignment="1">
      <alignment horizontal="right"/>
    </xf>
    <xf numFmtId="0" fontId="31" fillId="0" borderId="27" xfId="63" applyFont="1" applyFill="1" applyBorder="1"/>
    <xf numFmtId="0" fontId="31" fillId="0" borderId="96" xfId="63" applyFont="1" applyFill="1" applyBorder="1"/>
    <xf numFmtId="0" fontId="33" fillId="0" borderId="95" xfId="63" applyFont="1" applyFill="1" applyBorder="1" applyAlignment="1">
      <alignment horizontal="right"/>
    </xf>
    <xf numFmtId="0" fontId="33" fillId="0" borderId="96" xfId="63" applyFont="1" applyFill="1" applyBorder="1"/>
    <xf numFmtId="9" fontId="33" fillId="0" borderId="25" xfId="71" applyFont="1" applyFill="1" applyBorder="1"/>
    <xf numFmtId="0" fontId="33" fillId="0" borderId="143" xfId="63" applyFont="1" applyFill="1" applyBorder="1" applyAlignment="1">
      <alignment horizontal="right"/>
    </xf>
    <xf numFmtId="0" fontId="33" fillId="0" borderId="144" xfId="63" applyFont="1" applyFill="1" applyBorder="1"/>
    <xf numFmtId="0" fontId="32" fillId="0" borderId="94" xfId="63" applyFont="1" applyFill="1" applyBorder="1"/>
    <xf numFmtId="9" fontId="33" fillId="0" borderId="94" xfId="71" applyFont="1" applyFill="1" applyBorder="1"/>
    <xf numFmtId="0" fontId="32" fillId="0" borderId="143" xfId="63" applyFont="1" applyFill="1" applyBorder="1" applyAlignment="1">
      <alignment horizontal="right"/>
    </xf>
    <xf numFmtId="0" fontId="32" fillId="0" borderId="144" xfId="63" applyFont="1" applyFill="1" applyBorder="1"/>
    <xf numFmtId="9" fontId="32" fillId="0" borderId="94" xfId="71" applyFont="1" applyFill="1" applyBorder="1"/>
    <xf numFmtId="3" fontId="32" fillId="0" borderId="94" xfId="71" applyNumberFormat="1" applyFont="1" applyFill="1" applyBorder="1"/>
    <xf numFmtId="0" fontId="31" fillId="0" borderId="134" xfId="63" applyFont="1" applyFill="1" applyBorder="1" applyAlignment="1">
      <alignment horizontal="right"/>
    </xf>
    <xf numFmtId="0" fontId="31" fillId="0" borderId="11" xfId="63" applyFont="1" applyFill="1" applyBorder="1" applyAlignment="1">
      <alignment horizontal="right"/>
    </xf>
    <xf numFmtId="0" fontId="31" fillId="0" borderId="103" xfId="63" applyFont="1" applyFill="1" applyBorder="1" applyAlignment="1">
      <alignment horizontal="right"/>
    </xf>
    <xf numFmtId="168" fontId="31" fillId="0" borderId="103" xfId="71" applyNumberFormat="1" applyFont="1" applyFill="1" applyBorder="1"/>
    <xf numFmtId="3" fontId="31" fillId="0" borderId="103" xfId="71" applyNumberFormat="1" applyFont="1" applyFill="1" applyBorder="1"/>
    <xf numFmtId="0" fontId="32" fillId="0" borderId="21" xfId="63" applyFont="1" applyFill="1" applyBorder="1"/>
    <xf numFmtId="0" fontId="31" fillId="0" borderId="143" xfId="63" applyFont="1" applyFill="1" applyBorder="1" applyAlignment="1">
      <alignment horizontal="right"/>
    </xf>
    <xf numFmtId="0" fontId="31" fillId="0" borderId="144" xfId="63" applyFont="1" applyFill="1" applyBorder="1"/>
    <xf numFmtId="9" fontId="31" fillId="0" borderId="94" xfId="71" applyFont="1" applyFill="1" applyBorder="1"/>
    <xf numFmtId="0" fontId="31" fillId="0" borderId="145" xfId="63" applyFont="1" applyFill="1" applyBorder="1" applyAlignment="1">
      <alignment horizontal="right"/>
    </xf>
    <xf numFmtId="0" fontId="31" fillId="0" borderId="122" xfId="63" applyFont="1" applyFill="1" applyBorder="1" applyAlignment="1">
      <alignment horizontal="right"/>
    </xf>
    <xf numFmtId="0" fontId="31" fillId="0" borderId="118" xfId="63" applyFont="1" applyFill="1" applyBorder="1" applyAlignment="1">
      <alignment horizontal="right"/>
    </xf>
    <xf numFmtId="168" fontId="31" fillId="0" borderId="118" xfId="71" applyNumberFormat="1" applyFont="1" applyFill="1" applyBorder="1"/>
    <xf numFmtId="3" fontId="31" fillId="0" borderId="118" xfId="28" applyNumberFormat="1" applyFont="1" applyFill="1" applyBorder="1"/>
    <xf numFmtId="167" fontId="31" fillId="0" borderId="0" xfId="62" applyNumberFormat="1" applyFont="1" applyFill="1"/>
    <xf numFmtId="167" fontId="32" fillId="0" borderId="0" xfId="62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vertical="top" wrapText="1"/>
    </xf>
    <xf numFmtId="169" fontId="31" fillId="0" borderId="0" xfId="0" applyNumberFormat="1" applyFont="1" applyFill="1" applyAlignment="1">
      <alignment horizontal="right" wrapText="1"/>
    </xf>
    <xf numFmtId="0" fontId="32" fillId="0" borderId="0" xfId="0" applyFont="1" applyFill="1" applyAlignment="1">
      <alignment vertical="top" wrapText="1"/>
    </xf>
    <xf numFmtId="165" fontId="43" fillId="0" borderId="0" xfId="28" applyFont="1" applyFill="1" applyAlignment="1">
      <alignment horizontal="right" wrapText="1"/>
    </xf>
    <xf numFmtId="0" fontId="32" fillId="0" borderId="0" xfId="0" applyFont="1" applyFill="1" applyAlignment="1">
      <alignment horizontal="left" vertical="top" wrapText="1" indent="1"/>
    </xf>
    <xf numFmtId="169" fontId="40" fillId="0" borderId="122" xfId="0" applyNumberFormat="1" applyFont="1" applyFill="1" applyBorder="1" applyAlignment="1">
      <alignment horizontal="right" wrapText="1"/>
    </xf>
    <xf numFmtId="167" fontId="31" fillId="0" borderId="122" xfId="62" applyNumberFormat="1" applyFont="1" applyFill="1" applyBorder="1"/>
    <xf numFmtId="43" fontId="39" fillId="0" borderId="104" xfId="62" applyNumberFormat="1" applyFont="1" applyFill="1" applyBorder="1"/>
    <xf numFmtId="43" fontId="39" fillId="0" borderId="49" xfId="62" applyNumberFormat="1" applyFont="1" applyFill="1" applyBorder="1"/>
    <xf numFmtId="0" fontId="31" fillId="0" borderId="0" xfId="62" applyFont="1" applyFill="1" applyBorder="1" applyAlignment="1">
      <alignment horizontal="right"/>
    </xf>
    <xf numFmtId="0" fontId="31" fillId="0" borderId="0" xfId="62" applyFont="1" applyFill="1" applyBorder="1"/>
    <xf numFmtId="0" fontId="32" fillId="0" borderId="0" xfId="62" applyFont="1" applyFill="1" applyBorder="1"/>
    <xf numFmtId="0" fontId="31" fillId="0" borderId="0" xfId="62" applyFont="1" applyFill="1" applyBorder="1" applyAlignment="1"/>
    <xf numFmtId="9" fontId="32" fillId="0" borderId="0" xfId="71" applyFont="1" applyFill="1"/>
    <xf numFmtId="0" fontId="69" fillId="0" borderId="0" xfId="62" applyFont="1" applyFill="1" applyAlignment="1">
      <alignment horizontal="center"/>
    </xf>
    <xf numFmtId="0" fontId="71" fillId="0" borderId="0" xfId="62" applyFont="1" applyFill="1" applyAlignment="1">
      <alignment horizontal="center"/>
    </xf>
    <xf numFmtId="166" fontId="32" fillId="0" borderId="0" xfId="62" applyNumberFormat="1" applyFont="1" applyFill="1"/>
    <xf numFmtId="167" fontId="31" fillId="0" borderId="146" xfId="41" applyNumberFormat="1" applyFont="1" applyFill="1" applyBorder="1"/>
    <xf numFmtId="167" fontId="81" fillId="0" borderId="0" xfId="62" applyNumberFormat="1" applyFont="1" applyFill="1"/>
    <xf numFmtId="0" fontId="86" fillId="0" borderId="0" xfId="62" applyFont="1" applyFill="1"/>
    <xf numFmtId="166" fontId="86" fillId="0" borderId="0" xfId="28" applyNumberFormat="1" applyFont="1" applyFill="1"/>
    <xf numFmtId="0" fontId="31" fillId="0" borderId="147" xfId="62" applyFont="1" applyFill="1" applyBorder="1" applyAlignment="1"/>
    <xf numFmtId="0" fontId="31" fillId="0" borderId="148" xfId="62" applyFont="1" applyFill="1" applyBorder="1" applyAlignment="1"/>
    <xf numFmtId="167" fontId="30" fillId="0" borderId="21" xfId="36" applyNumberFormat="1" applyFont="1" applyFill="1" applyBorder="1"/>
    <xf numFmtId="167" fontId="32" fillId="0" borderId="0" xfId="0" applyNumberFormat="1" applyFont="1" applyFill="1" applyAlignment="1">
      <alignment horizontal="center"/>
    </xf>
    <xf numFmtId="0" fontId="32" fillId="0" borderId="46" xfId="53" applyFont="1" applyBorder="1"/>
    <xf numFmtId="0" fontId="49" fillId="0" borderId="0" xfId="53" applyFont="1" applyBorder="1" applyAlignment="1">
      <alignment horizontal="left" vertical="top" wrapText="1"/>
    </xf>
    <xf numFmtId="0" fontId="32" fillId="0" borderId="0" xfId="53" applyFont="1" applyBorder="1" applyAlignment="1">
      <alignment horizontal="justify" vertical="top" wrapText="1"/>
    </xf>
    <xf numFmtId="3" fontId="35" fillId="0" borderId="0" xfId="53" applyNumberFormat="1" applyFont="1" applyBorder="1" applyAlignment="1">
      <alignment horizontal="right" wrapText="1"/>
    </xf>
    <xf numFmtId="0" fontId="35" fillId="0" borderId="0" xfId="53" applyFont="1" applyBorder="1" applyAlignment="1">
      <alignment horizontal="justify" vertical="top" wrapText="1"/>
    </xf>
    <xf numFmtId="0" fontId="49" fillId="0" borderId="0" xfId="53" applyFont="1" applyBorder="1" applyAlignment="1">
      <alignment horizontal="left" vertical="top" wrapText="1" indent="2"/>
    </xf>
    <xf numFmtId="0" fontId="57" fillId="0" borderId="0" xfId="53" applyFont="1" applyBorder="1" applyAlignment="1">
      <alignment horizontal="right" vertical="top" wrapText="1"/>
    </xf>
    <xf numFmtId="0" fontId="31" fillId="0" borderId="0" xfId="53" applyFont="1" applyBorder="1" applyAlignment="1">
      <alignment horizontal="justify" vertical="top" wrapText="1"/>
    </xf>
    <xf numFmtId="0" fontId="32" fillId="0" borderId="0" xfId="53" applyFont="1" applyBorder="1" applyAlignment="1">
      <alignment horizontal="center" wrapText="1"/>
    </xf>
    <xf numFmtId="0" fontId="43" fillId="0" borderId="0" xfId="53" applyFont="1" applyBorder="1" applyAlignment="1">
      <alignment horizontal="right" vertical="top" wrapText="1"/>
    </xf>
    <xf numFmtId="0" fontId="40" fillId="0" borderId="0" xfId="53" applyFont="1" applyBorder="1" applyAlignment="1">
      <alignment horizontal="center" vertical="top" wrapText="1"/>
    </xf>
    <xf numFmtId="0" fontId="32" fillId="0" borderId="0" xfId="53" applyFont="1" applyBorder="1" applyAlignment="1">
      <alignment horizontal="center" vertical="top" wrapText="1"/>
    </xf>
    <xf numFmtId="0" fontId="29" fillId="0" borderId="0" xfId="53" applyFont="1" applyBorder="1" applyAlignment="1">
      <alignment horizontal="center" vertical="top" wrapText="1"/>
    </xf>
    <xf numFmtId="0" fontId="40" fillId="0" borderId="0" xfId="53" applyFont="1" applyBorder="1" applyAlignment="1">
      <alignment horizontal="left" vertical="top" wrapText="1" indent="2"/>
    </xf>
    <xf numFmtId="0" fontId="29" fillId="0" borderId="0" xfId="53" applyFont="1" applyBorder="1" applyAlignment="1">
      <alignment horizontal="justify" vertical="top" wrapText="1"/>
    </xf>
    <xf numFmtId="166" fontId="49" fillId="0" borderId="0" xfId="28" applyNumberFormat="1" applyFont="1" applyAlignment="1">
      <alignment horizontal="left" vertical="top" wrapText="1"/>
    </xf>
    <xf numFmtId="166" fontId="47" fillId="0" borderId="0" xfId="28" applyNumberFormat="1" applyFont="1" applyAlignment="1">
      <alignment horizontal="right" vertical="top" wrapText="1"/>
    </xf>
    <xf numFmtId="166" fontId="32" fillId="0" borderId="0" xfId="28" applyNumberFormat="1" applyFont="1" applyAlignment="1">
      <alignment horizontal="justify" vertical="top" wrapText="1"/>
    </xf>
    <xf numFmtId="166" fontId="35" fillId="0" borderId="0" xfId="28" applyNumberFormat="1" applyFont="1" applyAlignment="1">
      <alignment horizontal="right" wrapText="1"/>
    </xf>
    <xf numFmtId="166" fontId="35" fillId="0" borderId="0" xfId="28" applyNumberFormat="1" applyFont="1" applyAlignment="1">
      <alignment horizontal="justify" vertical="top" wrapText="1"/>
    </xf>
    <xf numFmtId="166" fontId="50" fillId="0" borderId="90" xfId="28" applyNumberFormat="1" applyFont="1" applyBorder="1" applyAlignment="1">
      <alignment horizontal="right" vertical="top" wrapText="1"/>
    </xf>
    <xf numFmtId="166" fontId="49" fillId="0" borderId="0" xfId="28" applyNumberFormat="1" applyFont="1" applyAlignment="1">
      <alignment horizontal="left" vertical="top" wrapText="1" indent="2"/>
    </xf>
    <xf numFmtId="166" fontId="32" fillId="0" borderId="0" xfId="28" applyNumberFormat="1" applyFont="1" applyAlignment="1">
      <alignment horizontal="right" vertical="top" wrapText="1"/>
    </xf>
    <xf numFmtId="166" fontId="31" fillId="0" borderId="0" xfId="28" applyNumberFormat="1" applyFont="1" applyAlignment="1">
      <alignment horizontal="justify" vertical="top" wrapText="1"/>
    </xf>
    <xf numFmtId="166" fontId="50" fillId="0" borderId="97" xfId="28" applyNumberFormat="1" applyFont="1" applyBorder="1" applyAlignment="1">
      <alignment horizontal="right" wrapText="1"/>
    </xf>
    <xf numFmtId="166" fontId="32" fillId="0" borderId="0" xfId="28" applyNumberFormat="1" applyFont="1" applyAlignment="1">
      <alignment horizontal="center" wrapText="1"/>
    </xf>
    <xf numFmtId="166" fontId="43" fillId="0" borderId="0" xfId="28" applyNumberFormat="1" applyFont="1" applyAlignment="1">
      <alignment horizontal="right" vertical="top" wrapText="1"/>
    </xf>
    <xf numFmtId="166" fontId="32" fillId="0" borderId="0" xfId="28" applyNumberFormat="1" applyFont="1" applyAlignment="1">
      <alignment horizontal="center" vertical="top" wrapText="1"/>
    </xf>
    <xf numFmtId="166" fontId="29" fillId="0" borderId="0" xfId="28" applyNumberFormat="1" applyFont="1" applyAlignment="1">
      <alignment horizontal="center" vertical="top" wrapText="1"/>
    </xf>
    <xf numFmtId="166" fontId="40" fillId="0" borderId="0" xfId="28" applyNumberFormat="1" applyFont="1" applyAlignment="1">
      <alignment horizontal="left" vertical="top" wrapText="1" indent="2"/>
    </xf>
    <xf numFmtId="166" fontId="41" fillId="0" borderId="104" xfId="28" applyNumberFormat="1" applyFont="1" applyBorder="1" applyAlignment="1">
      <alignment horizontal="right" wrapText="1"/>
    </xf>
    <xf numFmtId="166" fontId="32" fillId="0" borderId="97" xfId="28" applyNumberFormat="1" applyFont="1" applyBorder="1"/>
    <xf numFmtId="3" fontId="48" fillId="0" borderId="0" xfId="53" applyNumberFormat="1" applyFont="1" applyBorder="1" applyAlignment="1">
      <alignment horizontal="right" wrapText="1"/>
    </xf>
    <xf numFmtId="166" fontId="50" fillId="0" borderId="90" xfId="28" applyNumberFormat="1" applyFont="1" applyBorder="1" applyAlignment="1">
      <alignment horizontal="right" wrapText="1"/>
    </xf>
    <xf numFmtId="166" fontId="57" fillId="0" borderId="46" xfId="28" applyNumberFormat="1" applyFont="1" applyBorder="1" applyAlignment="1">
      <alignment horizontal="right" vertical="top" wrapText="1"/>
    </xf>
    <xf numFmtId="166" fontId="32" fillId="0" borderId="46" xfId="28" applyNumberFormat="1" applyFont="1" applyBorder="1" applyAlignment="1">
      <alignment horizontal="justify" vertical="top" wrapText="1"/>
    </xf>
    <xf numFmtId="167" fontId="29" fillId="0" borderId="149" xfId="36" applyNumberFormat="1" applyFont="1" applyFill="1" applyBorder="1"/>
    <xf numFmtId="167" fontId="34" fillId="0" borderId="23" xfId="36" applyNumberFormat="1" applyFont="1" applyFill="1" applyBorder="1"/>
    <xf numFmtId="167" fontId="32" fillId="0" borderId="28" xfId="0" applyNumberFormat="1" applyFont="1" applyFill="1" applyBorder="1"/>
    <xf numFmtId="167" fontId="34" fillId="0" borderId="28" xfId="36" applyNumberFormat="1" applyFont="1" applyFill="1" applyBorder="1"/>
    <xf numFmtId="167" fontId="29" fillId="0" borderId="28" xfId="36" applyNumberFormat="1" applyFont="1" applyFill="1" applyBorder="1"/>
    <xf numFmtId="167" fontId="29" fillId="0" borderId="150" xfId="0" applyNumberFormat="1" applyFont="1" applyFill="1" applyBorder="1"/>
    <xf numFmtId="0" fontId="83" fillId="0" borderId="0" xfId="0" applyFont="1" applyAlignment="1">
      <alignment horizontal="left" vertical="center"/>
    </xf>
    <xf numFmtId="0" fontId="4" fillId="0" borderId="0" xfId="0" applyFont="1"/>
    <xf numFmtId="0" fontId="2" fillId="0" borderId="110" xfId="0" applyFont="1" applyBorder="1" applyAlignment="1">
      <alignment horizontal="center"/>
    </xf>
    <xf numFmtId="14" fontId="2" fillId="0" borderId="133" xfId="0" applyNumberFormat="1" applyFont="1" applyBorder="1" applyAlignment="1">
      <alignment horizontal="center"/>
    </xf>
    <xf numFmtId="0" fontId="0" fillId="0" borderId="0" xfId="0" applyBorder="1"/>
    <xf numFmtId="0" fontId="0" fillId="0" borderId="103" xfId="0" applyBorder="1" applyAlignment="1">
      <alignment horizontal="center"/>
    </xf>
    <xf numFmtId="0" fontId="7" fillId="0" borderId="103" xfId="0" applyFont="1" applyBorder="1"/>
    <xf numFmtId="3" fontId="93" fillId="0" borderId="103" xfId="34" applyNumberFormat="1" applyBorder="1"/>
    <xf numFmtId="0" fontId="7" fillId="0" borderId="0" xfId="0" applyFont="1"/>
    <xf numFmtId="3" fontId="7" fillId="0" borderId="0" xfId="0" applyNumberFormat="1" applyFont="1" applyBorder="1"/>
    <xf numFmtId="3" fontId="0" fillId="0" borderId="0" xfId="0" applyNumberFormat="1" applyBorder="1"/>
    <xf numFmtId="0" fontId="2" fillId="0" borderId="103" xfId="0" applyFont="1" applyBorder="1"/>
    <xf numFmtId="0" fontId="0" fillId="0" borderId="103" xfId="0" applyBorder="1"/>
    <xf numFmtId="0" fontId="0" fillId="0" borderId="110" xfId="0" applyBorder="1" applyAlignment="1">
      <alignment horizontal="center"/>
    </xf>
    <xf numFmtId="0" fontId="0" fillId="0" borderId="110" xfId="0" applyBorder="1"/>
    <xf numFmtId="3" fontId="93" fillId="0" borderId="110" xfId="34" applyNumberFormat="1" applyBorder="1"/>
    <xf numFmtId="0" fontId="2" fillId="0" borderId="130" xfId="0" applyFont="1" applyBorder="1" applyAlignment="1">
      <alignment vertical="center"/>
    </xf>
    <xf numFmtId="0" fontId="95" fillId="0" borderId="132" xfId="0" applyFont="1" applyBorder="1" applyAlignment="1">
      <alignment vertical="center"/>
    </xf>
    <xf numFmtId="0" fontId="95" fillId="0" borderId="132" xfId="0" applyFont="1" applyBorder="1" applyAlignment="1">
      <alignment horizontal="center" vertical="center"/>
    </xf>
    <xf numFmtId="3" fontId="95" fillId="0" borderId="132" xfId="34" applyNumberFormat="1" applyFont="1" applyBorder="1" applyAlignment="1">
      <alignment vertical="center"/>
    </xf>
    <xf numFmtId="3" fontId="95" fillId="0" borderId="138" xfId="34" applyNumberFormat="1" applyFont="1" applyBorder="1" applyAlignment="1">
      <alignment vertical="center"/>
    </xf>
    <xf numFmtId="1" fontId="0" fillId="0" borderId="0" xfId="0" applyNumberFormat="1"/>
    <xf numFmtId="164" fontId="93" fillId="0" borderId="0" xfId="35"/>
    <xf numFmtId="0" fontId="5" fillId="0" borderId="0" xfId="0" applyFont="1" applyBorder="1"/>
    <xf numFmtId="3" fontId="93" fillId="0" borderId="0" xfId="34" applyNumberFormat="1" applyFill="1" applyBorder="1"/>
    <xf numFmtId="0" fontId="75" fillId="0" borderId="0" xfId="61" applyFont="1"/>
    <xf numFmtId="0" fontId="98" fillId="0" borderId="46" xfId="61" applyFont="1" applyBorder="1"/>
    <xf numFmtId="0" fontId="98" fillId="0" borderId="0" xfId="61" applyFont="1"/>
    <xf numFmtId="0" fontId="98" fillId="0" borderId="11" xfId="61" applyFont="1" applyBorder="1"/>
    <xf numFmtId="0" fontId="11" fillId="0" borderId="0" xfId="61"/>
    <xf numFmtId="0" fontId="26" fillId="0" borderId="0" xfId="61" applyFont="1"/>
    <xf numFmtId="0" fontId="26" fillId="24" borderId="103" xfId="61" applyFont="1" applyFill="1" applyBorder="1" applyAlignment="1">
      <alignment horizontal="center" vertical="center"/>
    </xf>
    <xf numFmtId="0" fontId="26" fillId="24" borderId="103" xfId="61" applyFont="1" applyFill="1" applyBorder="1" applyAlignment="1">
      <alignment horizontal="center" vertical="center" wrapText="1"/>
    </xf>
    <xf numFmtId="0" fontId="11" fillId="0" borderId="151" xfId="61" applyBorder="1" applyAlignment="1">
      <alignment horizontal="center" vertical="center"/>
    </xf>
    <xf numFmtId="0" fontId="11" fillId="0" borderId="151" xfId="61" applyBorder="1" applyAlignment="1">
      <alignment horizontal="left" vertical="center"/>
    </xf>
    <xf numFmtId="49" fontId="99" fillId="0" borderId="151" xfId="61" applyNumberFormat="1" applyFont="1" applyBorder="1" applyAlignment="1">
      <alignment horizontal="right" vertical="center"/>
    </xf>
    <xf numFmtId="43" fontId="11" fillId="0" borderId="151" xfId="38" applyFont="1" applyBorder="1" applyAlignment="1">
      <alignment horizontal="center" vertical="center"/>
    </xf>
    <xf numFmtId="0" fontId="11" fillId="0" borderId="25" xfId="61" applyBorder="1" applyAlignment="1">
      <alignment horizontal="center" vertical="center"/>
    </xf>
    <xf numFmtId="0" fontId="11" fillId="0" borderId="25" xfId="61" applyBorder="1" applyAlignment="1">
      <alignment horizontal="right" vertical="center"/>
    </xf>
    <xf numFmtId="43" fontId="11" fillId="0" borderId="25" xfId="38" applyFont="1" applyBorder="1" applyAlignment="1">
      <alignment horizontal="center" vertical="center"/>
    </xf>
    <xf numFmtId="43" fontId="11" fillId="0" borderId="25" xfId="38" applyFont="1" applyFill="1" applyBorder="1" applyAlignment="1">
      <alignment horizontal="center" vertical="center"/>
    </xf>
    <xf numFmtId="49" fontId="11" fillId="0" borderId="25" xfId="61" applyNumberFormat="1" applyBorder="1" applyAlignment="1">
      <alignment horizontal="right"/>
    </xf>
    <xf numFmtId="0" fontId="11" fillId="0" borderId="25" xfId="61" applyBorder="1"/>
    <xf numFmtId="43" fontId="11" fillId="0" borderId="25" xfId="38" applyFont="1" applyBorder="1"/>
    <xf numFmtId="0" fontId="11" fillId="0" borderId="103" xfId="61" applyBorder="1"/>
    <xf numFmtId="0" fontId="26" fillId="0" borderId="103" xfId="61" applyFont="1" applyBorder="1" applyAlignment="1">
      <alignment horizontal="center"/>
    </xf>
    <xf numFmtId="43" fontId="26" fillId="0" borderId="103" xfId="38" applyFont="1" applyBorder="1"/>
    <xf numFmtId="43" fontId="11" fillId="0" borderId="0" xfId="61" applyNumberFormat="1"/>
    <xf numFmtId="0" fontId="11" fillId="0" borderId="0" xfId="61" applyAlignment="1">
      <alignment horizontal="center"/>
    </xf>
    <xf numFmtId="0" fontId="11" fillId="0" borderId="0" xfId="61" applyFont="1"/>
    <xf numFmtId="0" fontId="100" fillId="0" borderId="0" xfId="61" applyFont="1"/>
    <xf numFmtId="0" fontId="11" fillId="0" borderId="46" xfId="61" applyFont="1" applyBorder="1"/>
    <xf numFmtId="0" fontId="26" fillId="24" borderId="110" xfId="61" applyFont="1" applyFill="1" applyBorder="1" applyAlignment="1">
      <alignment horizontal="center" vertical="center"/>
    </xf>
    <xf numFmtId="0" fontId="26" fillId="24" borderId="152" xfId="61" applyFont="1" applyFill="1" applyBorder="1" applyAlignment="1">
      <alignment vertical="center"/>
    </xf>
    <xf numFmtId="0" fontId="26" fillId="24" borderId="133" xfId="61" applyFont="1" applyFill="1" applyBorder="1" applyAlignment="1">
      <alignment horizontal="center" vertical="center"/>
    </xf>
    <xf numFmtId="0" fontId="26" fillId="24" borderId="107" xfId="61" applyFont="1" applyFill="1" applyBorder="1" applyAlignment="1">
      <alignment horizontal="center" vertical="center"/>
    </xf>
    <xf numFmtId="0" fontId="43" fillId="0" borderId="21" xfId="61" applyFont="1" applyBorder="1" applyAlignment="1">
      <alignment horizontal="center"/>
    </xf>
    <xf numFmtId="0" fontId="43" fillId="0" borderId="21" xfId="61" applyFont="1" applyBorder="1"/>
    <xf numFmtId="167" fontId="43" fillId="0" borderId="21" xfId="38" applyNumberFormat="1" applyFont="1" applyBorder="1"/>
    <xf numFmtId="167" fontId="43" fillId="0" borderId="25" xfId="38" applyNumberFormat="1" applyFont="1" applyBorder="1"/>
    <xf numFmtId="0" fontId="43" fillId="0" borderId="25" xfId="61" applyFont="1" applyBorder="1" applyAlignment="1">
      <alignment horizontal="center"/>
    </xf>
    <xf numFmtId="0" fontId="43" fillId="0" borderId="25" xfId="61" applyFont="1" applyBorder="1"/>
    <xf numFmtId="0" fontId="75" fillId="24" borderId="103" xfId="61" applyFont="1" applyFill="1" applyBorder="1" applyAlignment="1">
      <alignment horizontal="center"/>
    </xf>
    <xf numFmtId="0" fontId="11" fillId="0" borderId="104" xfId="61" applyFont="1" applyBorder="1"/>
    <xf numFmtId="0" fontId="101" fillId="0" borderId="0" xfId="61" applyFont="1"/>
    <xf numFmtId="0" fontId="43" fillId="0" borderId="151" xfId="61" applyFont="1" applyBorder="1" applyAlignment="1">
      <alignment horizontal="center"/>
    </xf>
    <xf numFmtId="0" fontId="43" fillId="0" borderId="21" xfId="61" applyFont="1" applyFill="1" applyBorder="1" applyAlignment="1">
      <alignment horizontal="center"/>
    </xf>
    <xf numFmtId="0" fontId="75" fillId="0" borderId="103" xfId="61" applyFont="1" applyBorder="1" applyAlignment="1">
      <alignment horizontal="center"/>
    </xf>
    <xf numFmtId="0" fontId="75" fillId="0" borderId="103" xfId="61" applyFont="1" applyBorder="1"/>
    <xf numFmtId="167" fontId="75" fillId="0" borderId="103" xfId="38" applyNumberFormat="1" applyFont="1" applyBorder="1"/>
    <xf numFmtId="167" fontId="11" fillId="0" borderId="0" xfId="61" applyNumberFormat="1" applyFont="1"/>
    <xf numFmtId="0" fontId="95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2" fontId="103" fillId="0" borderId="0" xfId="57" applyNumberFormat="1" applyFont="1" applyBorder="1" applyAlignment="1">
      <alignment wrapText="1"/>
    </xf>
    <xf numFmtId="2" fontId="104" fillId="0" borderId="105" xfId="57" applyNumberFormat="1" applyFont="1" applyBorder="1" applyAlignment="1">
      <alignment horizontal="center" wrapText="1"/>
    </xf>
    <xf numFmtId="0" fontId="5" fillId="0" borderId="153" xfId="57" applyFont="1" applyBorder="1" applyAlignment="1">
      <alignment horizontal="center"/>
    </xf>
    <xf numFmtId="0" fontId="5" fillId="0" borderId="125" xfId="57" applyFont="1" applyBorder="1" applyAlignment="1">
      <alignment horizontal="left" wrapText="1"/>
    </xf>
    <xf numFmtId="0" fontId="2" fillId="0" borderId="109" xfId="57" applyFont="1" applyBorder="1" applyAlignment="1">
      <alignment horizontal="center"/>
    </xf>
    <xf numFmtId="0" fontId="2" fillId="0" borderId="12" xfId="57" applyFont="1" applyBorder="1" applyAlignment="1">
      <alignment horizontal="left" wrapText="1"/>
    </xf>
    <xf numFmtId="0" fontId="2" fillId="0" borderId="98" xfId="57" applyFont="1" applyBorder="1" applyAlignment="1">
      <alignment horizontal="center"/>
    </xf>
    <xf numFmtId="0" fontId="95" fillId="0" borderId="12" xfId="57" applyFont="1" applyBorder="1" applyAlignment="1">
      <alignment horizontal="left" wrapText="1"/>
    </xf>
    <xf numFmtId="0" fontId="5" fillId="0" borderId="113" xfId="57" applyFont="1" applyBorder="1" applyAlignment="1">
      <alignment horizontal="center"/>
    </xf>
    <xf numFmtId="0" fontId="5" fillId="0" borderId="12" xfId="57" applyFont="1" applyBorder="1" applyAlignment="1">
      <alignment horizontal="left" wrapText="1"/>
    </xf>
    <xf numFmtId="0" fontId="2" fillId="0" borderId="154" xfId="57" applyFont="1" applyBorder="1" applyAlignment="1">
      <alignment horizontal="center"/>
    </xf>
    <xf numFmtId="0" fontId="5" fillId="0" borderId="113" xfId="57" applyFont="1" applyBorder="1" applyAlignment="1">
      <alignment horizontal="center" vertical="center"/>
    </xf>
    <xf numFmtId="0" fontId="5" fillId="0" borderId="98" xfId="57" applyFont="1" applyBorder="1" applyAlignment="1">
      <alignment horizontal="center" vertical="center"/>
    </xf>
    <xf numFmtId="0" fontId="2" fillId="0" borderId="12" xfId="57" applyFont="1" applyBorder="1" applyAlignment="1">
      <alignment horizontal="center" wrapText="1"/>
    </xf>
    <xf numFmtId="0" fontId="5" fillId="0" borderId="109" xfId="57" applyFont="1" applyBorder="1" applyAlignment="1">
      <alignment horizontal="center"/>
    </xf>
    <xf numFmtId="0" fontId="4" fillId="0" borderId="103" xfId="57" applyFont="1" applyBorder="1" applyAlignment="1">
      <alignment horizontal="left" wrapText="1"/>
    </xf>
    <xf numFmtId="0" fontId="5" fillId="0" borderId="103" xfId="0" applyFont="1" applyBorder="1"/>
    <xf numFmtId="0" fontId="5" fillId="0" borderId="98" xfId="57" applyFont="1" applyBorder="1" applyAlignment="1">
      <alignment horizontal="center"/>
    </xf>
    <xf numFmtId="0" fontId="5" fillId="0" borderId="103" xfId="57" applyFont="1" applyBorder="1" applyAlignment="1">
      <alignment horizontal="left" wrapText="1"/>
    </xf>
    <xf numFmtId="0" fontId="5" fillId="0" borderId="154" xfId="57" applyFont="1" applyBorder="1" applyAlignment="1">
      <alignment horizontal="center"/>
    </xf>
    <xf numFmtId="0" fontId="5" fillId="0" borderId="117" xfId="57" applyFont="1" applyBorder="1" applyAlignment="1">
      <alignment horizontal="center"/>
    </xf>
    <xf numFmtId="0" fontId="5" fillId="0" borderId="118" xfId="57" applyFont="1" applyBorder="1" applyAlignment="1">
      <alignment horizontal="left" wrapText="1"/>
    </xf>
    <xf numFmtId="0" fontId="5" fillId="0" borderId="0" xfId="57" applyFont="1" applyBorder="1" applyAlignment="1">
      <alignment horizontal="center"/>
    </xf>
    <xf numFmtId="0" fontId="5" fillId="0" borderId="0" xfId="57" applyFont="1" applyBorder="1" applyAlignment="1">
      <alignment horizontal="left" wrapText="1"/>
    </xf>
    <xf numFmtId="0" fontId="5" fillId="0" borderId="0" xfId="57" applyFont="1" applyBorder="1" applyAlignment="1">
      <alignment horizontal="left"/>
    </xf>
    <xf numFmtId="0" fontId="7" fillId="0" borderId="110" xfId="57" applyFont="1" applyBorder="1"/>
    <xf numFmtId="2" fontId="104" fillId="0" borderId="110" xfId="57" applyNumberFormat="1" applyFont="1" applyBorder="1" applyAlignment="1">
      <alignment horizontal="center" wrapText="1"/>
    </xf>
    <xf numFmtId="0" fontId="105" fillId="0" borderId="110" xfId="57" applyFont="1" applyBorder="1" applyAlignment="1">
      <alignment horizontal="center" vertical="center" wrapText="1"/>
    </xf>
    <xf numFmtId="0" fontId="105" fillId="0" borderId="155" xfId="57" applyFont="1" applyFill="1" applyBorder="1" applyAlignment="1">
      <alignment horizontal="center"/>
    </xf>
    <xf numFmtId="0" fontId="105" fillId="0" borderId="125" xfId="57" applyFont="1" applyFill="1" applyBorder="1" applyAlignment="1">
      <alignment horizontal="left" wrapText="1"/>
    </xf>
    <xf numFmtId="0" fontId="105" fillId="0" borderId="125" xfId="57" applyFont="1" applyFill="1" applyBorder="1" applyAlignment="1">
      <alignment horizontal="left"/>
    </xf>
    <xf numFmtId="0" fontId="7" fillId="0" borderId="113" xfId="57" applyFont="1" applyFill="1" applyBorder="1" applyAlignment="1">
      <alignment horizontal="left"/>
    </xf>
    <xf numFmtId="0" fontId="7" fillId="0" borderId="103" xfId="64" applyFont="1" applyFill="1" applyBorder="1" applyAlignment="1">
      <alignment horizontal="left" wrapText="1"/>
    </xf>
    <xf numFmtId="0" fontId="105" fillId="0" borderId="103" xfId="57" applyFont="1" applyFill="1" applyBorder="1" applyAlignment="1">
      <alignment horizontal="left"/>
    </xf>
    <xf numFmtId="0" fontId="7" fillId="0" borderId="103" xfId="57" applyFont="1" applyFill="1" applyBorder="1" applyAlignment="1">
      <alignment horizontal="left" wrapText="1"/>
    </xf>
    <xf numFmtId="0" fontId="105" fillId="0" borderId="113" xfId="57" applyFont="1" applyFill="1" applyBorder="1" applyAlignment="1">
      <alignment horizontal="center"/>
    </xf>
    <xf numFmtId="0" fontId="105" fillId="0" borderId="103" xfId="57" applyFont="1" applyFill="1" applyBorder="1" applyAlignment="1">
      <alignment horizontal="left" wrapText="1"/>
    </xf>
    <xf numFmtId="0" fontId="7" fillId="0" borderId="113" xfId="57" applyFont="1" applyFill="1" applyBorder="1" applyAlignment="1">
      <alignment horizontal="center"/>
    </xf>
    <xf numFmtId="0" fontId="7" fillId="0" borderId="103" xfId="57" applyFont="1" applyFill="1" applyBorder="1" applyAlignment="1">
      <alignment horizontal="left"/>
    </xf>
    <xf numFmtId="0" fontId="7" fillId="0" borderId="141" xfId="0" applyFont="1" applyFill="1" applyBorder="1"/>
    <xf numFmtId="0" fontId="105" fillId="0" borderId="0" xfId="0" applyFont="1" applyFill="1" applyBorder="1"/>
    <xf numFmtId="0" fontId="7" fillId="0" borderId="0" xfId="0" applyFont="1" applyFill="1" applyBorder="1"/>
    <xf numFmtId="0" fontId="105" fillId="0" borderId="133" xfId="57" applyFont="1" applyFill="1" applyBorder="1" applyAlignment="1">
      <alignment horizontal="center" vertical="center" wrapText="1"/>
    </xf>
    <xf numFmtId="0" fontId="105" fillId="0" borderId="113" xfId="57" applyFont="1" applyFill="1" applyBorder="1"/>
    <xf numFmtId="0" fontId="7" fillId="0" borderId="113" xfId="0" applyFont="1" applyFill="1" applyBorder="1"/>
    <xf numFmtId="0" fontId="7" fillId="0" borderId="113" xfId="57" applyFont="1" applyFill="1" applyBorder="1"/>
    <xf numFmtId="0" fontId="7" fillId="0" borderId="117" xfId="57" applyFont="1" applyFill="1" applyBorder="1"/>
    <xf numFmtId="0" fontId="105" fillId="0" borderId="118" xfId="57" applyFont="1" applyFill="1" applyBorder="1" applyAlignment="1">
      <alignment horizontal="left"/>
    </xf>
    <xf numFmtId="0" fontId="7" fillId="0" borderId="118" xfId="57" applyFont="1" applyFill="1" applyBorder="1" applyAlignment="1">
      <alignment horizontal="left"/>
    </xf>
    <xf numFmtId="0" fontId="105" fillId="0" borderId="0" xfId="57" applyFont="1" applyBorder="1" applyAlignment="1">
      <alignment horizontal="left"/>
    </xf>
    <xf numFmtId="0" fontId="84" fillId="0" borderId="0" xfId="57" applyFont="1" applyBorder="1" applyAlignment="1">
      <alignment horizontal="left"/>
    </xf>
    <xf numFmtId="0" fontId="2" fillId="0" borderId="0" xfId="57" applyFont="1"/>
    <xf numFmtId="0" fontId="0" fillId="0" borderId="133" xfId="0" applyBorder="1"/>
    <xf numFmtId="0" fontId="2" fillId="0" borderId="99" xfId="0" applyFont="1" applyFill="1" applyBorder="1"/>
    <xf numFmtId="0" fontId="0" fillId="0" borderId="103" xfId="0" applyFill="1" applyBorder="1"/>
    <xf numFmtId="3" fontId="5" fillId="0" borderId="103" xfId="0" applyNumberFormat="1" applyFont="1" applyBorder="1"/>
    <xf numFmtId="0" fontId="5" fillId="0" borderId="110" xfId="0" applyFont="1" applyBorder="1"/>
    <xf numFmtId="0" fontId="0" fillId="0" borderId="10" xfId="0" applyBorder="1"/>
    <xf numFmtId="0" fontId="0" fillId="0" borderId="12" xfId="0" applyBorder="1"/>
    <xf numFmtId="0" fontId="2" fillId="0" borderId="110" xfId="0" applyFont="1" applyBorder="1"/>
    <xf numFmtId="0" fontId="5" fillId="0" borderId="10" xfId="0" applyFont="1" applyBorder="1"/>
    <xf numFmtId="0" fontId="5" fillId="0" borderId="12" xfId="0" applyFont="1" applyBorder="1"/>
    <xf numFmtId="3" fontId="43" fillId="0" borderId="46" xfId="53" applyNumberFormat="1" applyFont="1" applyFill="1" applyBorder="1" applyAlignment="1">
      <alignment horizontal="right" vertical="center" wrapText="1"/>
    </xf>
    <xf numFmtId="9" fontId="32" fillId="0" borderId="0" xfId="28" applyNumberFormat="1" applyFont="1"/>
    <xf numFmtId="167" fontId="93" fillId="0" borderId="103" xfId="40" applyNumberFormat="1" applyBorder="1"/>
    <xf numFmtId="167" fontId="0" fillId="0" borderId="103" xfId="0" applyNumberFormat="1" applyBorder="1"/>
    <xf numFmtId="167" fontId="5" fillId="0" borderId="103" xfId="0" applyNumberFormat="1" applyFont="1" applyBorder="1"/>
    <xf numFmtId="3" fontId="32" fillId="0" borderId="104" xfId="53" applyNumberFormat="1" applyFont="1" applyFill="1" applyBorder="1" applyAlignment="1" applyProtection="1">
      <alignment horizontal="right"/>
    </xf>
    <xf numFmtId="3" fontId="32" fillId="0" borderId="0" xfId="53" applyNumberFormat="1" applyFont="1" applyFill="1" applyBorder="1" applyAlignment="1">
      <alignment horizontal="right" vertical="center" wrapText="1"/>
    </xf>
    <xf numFmtId="0" fontId="32" fillId="31" borderId="0" xfId="53" applyFont="1" applyFill="1"/>
    <xf numFmtId="0" fontId="68" fillId="31" borderId="0" xfId="53" applyFont="1" applyFill="1" applyAlignment="1">
      <alignment horizontal="center"/>
    </xf>
    <xf numFmtId="0" fontId="107" fillId="31" borderId="0" xfId="53" applyFont="1" applyFill="1" applyAlignment="1">
      <alignment horizontal="center"/>
    </xf>
    <xf numFmtId="0" fontId="108" fillId="31" borderId="0" xfId="53" applyFont="1" applyFill="1"/>
    <xf numFmtId="0" fontId="107" fillId="31" borderId="0" xfId="53" applyFont="1" applyFill="1" applyAlignment="1"/>
    <xf numFmtId="166" fontId="41" fillId="0" borderId="90" xfId="28" applyNumberFormat="1" applyFont="1" applyBorder="1" applyAlignment="1">
      <alignment horizontal="right" vertical="top" wrapText="1"/>
    </xf>
    <xf numFmtId="0" fontId="29" fillId="0" borderId="0" xfId="53" applyFont="1" applyFill="1"/>
    <xf numFmtId="166" fontId="46" fillId="0" borderId="0" xfId="28" applyNumberFormat="1" applyFont="1" applyBorder="1" applyAlignment="1">
      <alignment horizontal="right" wrapText="1"/>
    </xf>
    <xf numFmtId="166" fontId="32" fillId="0" borderId="0" xfId="28" applyNumberFormat="1" applyFont="1" applyFill="1" applyAlignment="1">
      <alignment horizontal="right" vertical="top" wrapText="1"/>
    </xf>
    <xf numFmtId="0" fontId="107" fillId="0" borderId="0" xfId="53" applyFont="1" applyFill="1" applyAlignment="1">
      <alignment horizontal="center"/>
    </xf>
    <xf numFmtId="0" fontId="68" fillId="0" borderId="0" xfId="53" applyFont="1" applyFill="1" applyAlignment="1">
      <alignment horizontal="center"/>
    </xf>
    <xf numFmtId="0" fontId="56" fillId="30" borderId="0" xfId="53" applyFont="1" applyFill="1"/>
    <xf numFmtId="3" fontId="46" fillId="0" borderId="0" xfId="53" applyNumberFormat="1" applyFont="1" applyBorder="1" applyAlignment="1">
      <alignment horizontal="right" wrapText="1"/>
    </xf>
    <xf numFmtId="0" fontId="2" fillId="0" borderId="0" xfId="0" applyFont="1" applyFill="1"/>
    <xf numFmtId="0" fontId="5" fillId="0" borderId="0" xfId="0" applyFont="1" applyFill="1"/>
    <xf numFmtId="0" fontId="5" fillId="0" borderId="0" xfId="57" applyFont="1" applyFill="1" applyBorder="1" applyAlignment="1">
      <alignment horizontal="left"/>
    </xf>
    <xf numFmtId="0" fontId="105" fillId="0" borderId="110" xfId="57" applyFont="1" applyFill="1" applyBorder="1" applyAlignment="1">
      <alignment horizontal="center" vertical="center" wrapText="1"/>
    </xf>
    <xf numFmtId="0" fontId="105" fillId="0" borderId="0" xfId="57" applyFont="1" applyFill="1" applyBorder="1" applyAlignment="1">
      <alignment horizontal="left"/>
    </xf>
    <xf numFmtId="0" fontId="84" fillId="0" borderId="0" xfId="57" applyFont="1" applyFill="1" applyBorder="1" applyAlignment="1">
      <alignment horizontal="left"/>
    </xf>
    <xf numFmtId="0" fontId="0" fillId="0" borderId="0" xfId="0" applyFill="1"/>
    <xf numFmtId="3" fontId="32" fillId="0" borderId="0" xfId="59" applyNumberFormat="1" applyFont="1" applyFill="1"/>
    <xf numFmtId="166" fontId="35" fillId="28" borderId="0" xfId="28" applyNumberFormat="1" applyFont="1" applyFill="1"/>
    <xf numFmtId="0" fontId="56" fillId="0" borderId="0" xfId="53" applyFont="1" applyFill="1" applyBorder="1" applyAlignment="1">
      <alignment horizontal="center" vertical="center"/>
    </xf>
    <xf numFmtId="3" fontId="56" fillId="0" borderId="0" xfId="53" applyNumberFormat="1" applyFont="1" applyFill="1" applyBorder="1" applyAlignment="1">
      <alignment horizontal="right" vertical="center" wrapText="1"/>
    </xf>
    <xf numFmtId="0" fontId="81" fillId="0" borderId="0" xfId="53" applyFont="1" applyFill="1" applyBorder="1" applyAlignment="1">
      <alignment horizontal="left" vertical="center"/>
    </xf>
    <xf numFmtId="0" fontId="56" fillId="0" borderId="0" xfId="53" applyFont="1" applyFill="1" applyBorder="1" applyAlignment="1">
      <alignment horizontal="right" vertical="center"/>
    </xf>
    <xf numFmtId="0" fontId="56" fillId="0" borderId="0" xfId="53" applyFont="1" applyFill="1"/>
    <xf numFmtId="0" fontId="56" fillId="0" borderId="0" xfId="53" applyFont="1" applyFill="1" applyBorder="1" applyAlignment="1">
      <alignment vertical="center"/>
    </xf>
    <xf numFmtId="3" fontId="81" fillId="0" borderId="0" xfId="53" applyNumberFormat="1" applyFont="1" applyFill="1" applyBorder="1" applyAlignment="1">
      <alignment horizontal="right" vertical="center" wrapText="1"/>
    </xf>
    <xf numFmtId="3" fontId="56" fillId="26" borderId="0" xfId="53" applyNumberFormat="1" applyFont="1" applyFill="1" applyBorder="1" applyAlignment="1">
      <alignment horizontal="right" vertical="center" wrapText="1"/>
    </xf>
    <xf numFmtId="3" fontId="109" fillId="26" borderId="0" xfId="53" applyNumberFormat="1" applyFont="1" applyFill="1" applyBorder="1" applyAlignment="1">
      <alignment horizontal="right" vertical="center" wrapText="1"/>
    </xf>
    <xf numFmtId="167" fontId="30" fillId="0" borderId="103" xfId="36" applyNumberFormat="1" applyFont="1" applyFill="1" applyBorder="1"/>
    <xf numFmtId="167" fontId="37" fillId="0" borderId="103" xfId="36" applyNumberFormat="1" applyFont="1" applyFill="1" applyBorder="1"/>
    <xf numFmtId="167" fontId="35" fillId="0" borderId="103" xfId="0" applyNumberFormat="1" applyFont="1" applyFill="1" applyBorder="1"/>
    <xf numFmtId="167" fontId="30" fillId="0" borderId="103" xfId="0" applyNumberFormat="1" applyFont="1" applyFill="1" applyBorder="1"/>
    <xf numFmtId="166" fontId="30" fillId="0" borderId="103" xfId="28" applyNumberFormat="1" applyFont="1" applyFill="1" applyBorder="1"/>
    <xf numFmtId="167" fontId="35" fillId="28" borderId="103" xfId="0" applyNumberFormat="1" applyFont="1" applyFill="1" applyBorder="1"/>
    <xf numFmtId="170" fontId="35" fillId="31" borderId="0" xfId="28" applyNumberFormat="1" applyFont="1" applyFill="1" applyBorder="1"/>
    <xf numFmtId="0" fontId="32" fillId="0" borderId="0" xfId="53" applyFont="1" applyFill="1" applyBorder="1"/>
    <xf numFmtId="3" fontId="44" fillId="0" borderId="0" xfId="53" applyNumberFormat="1" applyFont="1" applyFill="1" applyBorder="1" applyAlignment="1">
      <alignment horizontal="right" vertical="center"/>
    </xf>
    <xf numFmtId="3" fontId="109" fillId="0" borderId="0" xfId="53" applyNumberFormat="1" applyFont="1" applyFill="1" applyBorder="1" applyAlignment="1">
      <alignment horizontal="right" vertical="center" wrapText="1"/>
    </xf>
    <xf numFmtId="0" fontId="110" fillId="0" borderId="0" xfId="56" applyProtection="1">
      <alignment vertical="top"/>
      <protection locked="0"/>
    </xf>
    <xf numFmtId="0" fontId="89" fillId="0" borderId="0" xfId="56" applyNumberFormat="1" applyFont="1" applyAlignment="1">
      <alignment horizontal="left" vertical="top"/>
    </xf>
    <xf numFmtId="0" fontId="91" fillId="0" borderId="0" xfId="56" applyNumberFormat="1" applyFont="1" applyAlignment="1">
      <alignment horizontal="left" vertical="top"/>
    </xf>
    <xf numFmtId="0" fontId="92" fillId="0" borderId="0" xfId="56" applyNumberFormat="1" applyFont="1" applyAlignment="1">
      <alignment vertical="top"/>
    </xf>
    <xf numFmtId="0" fontId="113" fillId="0" borderId="0" xfId="56" applyNumberFormat="1" applyFont="1" applyAlignment="1">
      <alignment horizontal="left" vertical="top"/>
    </xf>
    <xf numFmtId="0" fontId="89" fillId="0" borderId="0" xfId="56" applyNumberFormat="1" applyFont="1" applyAlignment="1">
      <alignment vertical="top"/>
    </xf>
    <xf numFmtId="4" fontId="89" fillId="0" borderId="0" xfId="56" applyNumberFormat="1" applyFont="1" applyAlignment="1">
      <alignment vertical="top"/>
    </xf>
    <xf numFmtId="4" fontId="90" fillId="0" borderId="0" xfId="56" applyNumberFormat="1" applyFont="1" applyAlignment="1">
      <alignment vertical="top"/>
    </xf>
    <xf numFmtId="4" fontId="111" fillId="0" borderId="0" xfId="56" applyNumberFormat="1" applyFont="1" applyAlignment="1">
      <alignment vertical="top"/>
    </xf>
    <xf numFmtId="4" fontId="112" fillId="0" borderId="0" xfId="56" applyNumberFormat="1" applyFont="1" applyAlignment="1">
      <alignment vertical="top"/>
    </xf>
    <xf numFmtId="4" fontId="110" fillId="0" borderId="0" xfId="56" applyNumberFormat="1" applyProtection="1">
      <alignment vertical="top"/>
      <protection locked="0"/>
    </xf>
    <xf numFmtId="0" fontId="117" fillId="0" borderId="0" xfId="56" applyFont="1" applyProtection="1">
      <alignment vertical="top"/>
      <protection locked="0"/>
    </xf>
    <xf numFmtId="0" fontId="118" fillId="0" borderId="0" xfId="56" applyNumberFormat="1" applyFont="1" applyAlignment="1">
      <alignment horizontal="left" vertical="top"/>
    </xf>
    <xf numFmtId="0" fontId="118" fillId="0" borderId="0" xfId="56" applyNumberFormat="1" applyFont="1" applyAlignment="1">
      <alignment vertical="top"/>
    </xf>
    <xf numFmtId="0" fontId="119" fillId="0" borderId="0" xfId="56" applyNumberFormat="1" applyFont="1" applyAlignment="1">
      <alignment horizontal="left" vertical="top"/>
    </xf>
    <xf numFmtId="4" fontId="118" fillId="0" borderId="0" xfId="56" applyNumberFormat="1" applyFont="1" applyAlignment="1">
      <alignment vertical="top"/>
    </xf>
    <xf numFmtId="4" fontId="120" fillId="0" borderId="0" xfId="56" applyNumberFormat="1" applyFont="1" applyAlignment="1">
      <alignment vertical="top"/>
    </xf>
    <xf numFmtId="4" fontId="117" fillId="0" borderId="0" xfId="56" applyNumberFormat="1" applyFont="1" applyProtection="1">
      <alignment vertical="top"/>
      <protection locked="0"/>
    </xf>
    <xf numFmtId="4" fontId="118" fillId="28" borderId="0" xfId="56" applyNumberFormat="1" applyFont="1" applyFill="1" applyAlignment="1">
      <alignment vertical="top"/>
    </xf>
    <xf numFmtId="4" fontId="118" fillId="30" borderId="0" xfId="56" applyNumberFormat="1" applyFont="1" applyFill="1" applyAlignment="1">
      <alignment vertical="top"/>
    </xf>
    <xf numFmtId="4" fontId="118" fillId="32" borderId="0" xfId="56" applyNumberFormat="1" applyFont="1" applyFill="1" applyAlignment="1">
      <alignment vertical="top"/>
    </xf>
    <xf numFmtId="4" fontId="118" fillId="33" borderId="0" xfId="56" applyNumberFormat="1" applyFont="1" applyFill="1" applyAlignment="1">
      <alignment vertical="top"/>
    </xf>
    <xf numFmtId="4" fontId="118" fillId="34" borderId="0" xfId="56" applyNumberFormat="1" applyFont="1" applyFill="1" applyAlignment="1">
      <alignment vertical="top"/>
    </xf>
    <xf numFmtId="4" fontId="118" fillId="35" borderId="0" xfId="56" applyNumberFormat="1" applyFont="1" applyFill="1" applyAlignment="1">
      <alignment vertical="top"/>
    </xf>
    <xf numFmtId="4" fontId="118" fillId="29" borderId="0" xfId="56" applyNumberFormat="1" applyFont="1" applyFill="1" applyAlignment="1">
      <alignment vertical="top"/>
    </xf>
    <xf numFmtId="4" fontId="118" fillId="36" borderId="0" xfId="56" applyNumberFormat="1" applyFont="1" applyFill="1" applyAlignment="1">
      <alignment vertical="top"/>
    </xf>
    <xf numFmtId="4" fontId="118" fillId="37" borderId="0" xfId="56" applyNumberFormat="1" applyFont="1" applyFill="1" applyAlignment="1">
      <alignment vertical="top"/>
    </xf>
    <xf numFmtId="4" fontId="118" fillId="38" borderId="0" xfId="56" applyNumberFormat="1" applyFont="1" applyFill="1" applyAlignment="1">
      <alignment vertical="top"/>
    </xf>
    <xf numFmtId="4" fontId="118" fillId="39" borderId="0" xfId="56" applyNumberFormat="1" applyFont="1" applyFill="1" applyAlignment="1">
      <alignment vertical="top"/>
    </xf>
    <xf numFmtId="43" fontId="70" fillId="0" borderId="25" xfId="0" applyNumberFormat="1" applyFont="1" applyFill="1" applyBorder="1" applyAlignment="1">
      <alignment horizontal="center"/>
    </xf>
    <xf numFmtId="4" fontId="35" fillId="28" borderId="25" xfId="0" applyNumberFormat="1" applyFont="1" applyFill="1" applyBorder="1"/>
    <xf numFmtId="1" fontId="35" fillId="28" borderId="25" xfId="0" applyNumberFormat="1" applyFont="1" applyFill="1" applyBorder="1"/>
    <xf numFmtId="4" fontId="89" fillId="32" borderId="0" xfId="56" applyNumberFormat="1" applyFont="1" applyFill="1" applyAlignment="1">
      <alignment vertical="top"/>
    </xf>
    <xf numFmtId="4" fontId="89" fillId="28" borderId="0" xfId="56" applyNumberFormat="1" applyFont="1" applyFill="1" applyAlignment="1">
      <alignment vertical="top"/>
    </xf>
    <xf numFmtId="4" fontId="89" fillId="24" borderId="0" xfId="56" applyNumberFormat="1" applyFont="1" applyFill="1" applyAlignment="1">
      <alignment vertical="top"/>
    </xf>
    <xf numFmtId="4" fontId="89" fillId="29" borderId="0" xfId="56" applyNumberFormat="1" applyFont="1" applyFill="1" applyAlignment="1">
      <alignment vertical="top"/>
    </xf>
    <xf numFmtId="4" fontId="89" fillId="40" borderId="0" xfId="56" applyNumberFormat="1" applyFont="1" applyFill="1" applyAlignment="1">
      <alignment vertical="top"/>
    </xf>
    <xf numFmtId="4" fontId="89" fillId="37" borderId="0" xfId="56" applyNumberFormat="1" applyFont="1" applyFill="1" applyAlignment="1">
      <alignment vertical="top"/>
    </xf>
    <xf numFmtId="0" fontId="114" fillId="0" borderId="0" xfId="56" applyNumberFormat="1" applyFont="1" applyAlignment="1">
      <alignment vertical="top"/>
    </xf>
    <xf numFmtId="1" fontId="35" fillId="28" borderId="94" xfId="0" applyNumberFormat="1" applyFont="1" applyFill="1" applyBorder="1"/>
    <xf numFmtId="4" fontId="89" fillId="41" borderId="0" xfId="56" applyNumberFormat="1" applyFont="1" applyFill="1" applyAlignment="1">
      <alignment vertical="top"/>
    </xf>
    <xf numFmtId="0" fontId="75" fillId="0" borderId="0" xfId="61" applyFont="1" applyAlignment="1">
      <alignment horizontal="center"/>
    </xf>
    <xf numFmtId="0" fontId="11" fillId="0" borderId="46" xfId="61" applyBorder="1" applyAlignment="1">
      <alignment horizontal="center"/>
    </xf>
    <xf numFmtId="0" fontId="33" fillId="0" borderId="0" xfId="53" applyFont="1"/>
    <xf numFmtId="0" fontId="33" fillId="0" borderId="0" xfId="53" applyFont="1" applyAlignment="1">
      <alignment horizontal="justify" vertical="top" wrapText="1"/>
    </xf>
    <xf numFmtId="0" fontId="40" fillId="0" borderId="0" xfId="58" applyFont="1" applyBorder="1"/>
    <xf numFmtId="0" fontId="26" fillId="0" borderId="106" xfId="58" applyFont="1" applyBorder="1"/>
    <xf numFmtId="0" fontId="40" fillId="0" borderId="105" xfId="58" applyFont="1" applyBorder="1"/>
    <xf numFmtId="0" fontId="43" fillId="0" borderId="105" xfId="58" applyFont="1" applyBorder="1" applyAlignment="1"/>
    <xf numFmtId="14" fontId="11" fillId="0" borderId="0" xfId="58" applyNumberFormat="1" applyFont="1" applyBorder="1" applyAlignment="1">
      <alignment horizontal="center"/>
    </xf>
    <xf numFmtId="0" fontId="11" fillId="0" borderId="105" xfId="58" applyFont="1" applyBorder="1" applyAlignment="1">
      <alignment horizontal="center"/>
    </xf>
    <xf numFmtId="0" fontId="26" fillId="0" borderId="0" xfId="58" applyFont="1" applyBorder="1"/>
    <xf numFmtId="0" fontId="115" fillId="0" borderId="0" xfId="56" applyFont="1" applyProtection="1">
      <alignment vertical="top"/>
      <protection locked="0"/>
    </xf>
    <xf numFmtId="0" fontId="2" fillId="0" borderId="0" xfId="56" applyNumberFormat="1" applyFont="1" applyAlignment="1">
      <alignment vertical="top"/>
    </xf>
    <xf numFmtId="4" fontId="2" fillId="0" borderId="0" xfId="56" applyNumberFormat="1" applyFont="1" applyAlignment="1">
      <alignment vertical="top"/>
    </xf>
    <xf numFmtId="4" fontId="5" fillId="0" borderId="0" xfId="56" applyNumberFormat="1" applyFont="1" applyAlignment="1">
      <alignment vertical="top"/>
    </xf>
    <xf numFmtId="4" fontId="115" fillId="0" borderId="0" xfId="56" applyNumberFormat="1" applyFont="1" applyProtection="1">
      <alignment vertical="top"/>
      <protection locked="0"/>
    </xf>
    <xf numFmtId="0" fontId="33" fillId="0" borderId="0" xfId="53" applyFont="1" applyFill="1"/>
    <xf numFmtId="2" fontId="73" fillId="0" borderId="0" xfId="53" applyNumberFormat="1" applyFont="1" applyAlignment="1">
      <alignment vertical="top"/>
    </xf>
    <xf numFmtId="0" fontId="73" fillId="0" borderId="0" xfId="53" applyFont="1" applyFill="1" applyAlignment="1">
      <alignment vertical="top"/>
    </xf>
    <xf numFmtId="0" fontId="11" fillId="0" borderId="21" xfId="61" applyBorder="1" applyAlignment="1">
      <alignment horizontal="left" vertical="center"/>
    </xf>
    <xf numFmtId="4" fontId="11" fillId="0" borderId="0" xfId="61" applyNumberFormat="1"/>
    <xf numFmtId="166" fontId="0" fillId="0" borderId="103" xfId="28" applyNumberFormat="1" applyFont="1" applyBorder="1"/>
    <xf numFmtId="166" fontId="93" fillId="0" borderId="103" xfId="28" applyNumberFormat="1" applyFont="1" applyBorder="1"/>
    <xf numFmtId="166" fontId="2" fillId="0" borderId="103" xfId="28" applyNumberFormat="1" applyFont="1" applyBorder="1"/>
    <xf numFmtId="166" fontId="93" fillId="0" borderId="103" xfId="28" applyNumberFormat="1" applyFont="1" applyBorder="1" applyAlignment="1">
      <alignment horizontal="left"/>
    </xf>
    <xf numFmtId="166" fontId="93" fillId="0" borderId="103" xfId="28" applyNumberFormat="1" applyFont="1" applyBorder="1" applyAlignment="1">
      <alignment horizontal="right"/>
    </xf>
    <xf numFmtId="0" fontId="11" fillId="0" borderId="0" xfId="61" applyFont="1" applyAlignment="1"/>
    <xf numFmtId="0" fontId="11" fillId="0" borderId="46" xfId="61" applyFont="1" applyBorder="1" applyAlignment="1"/>
    <xf numFmtId="0" fontId="26" fillId="24" borderId="107" xfId="61" applyFont="1" applyFill="1" applyBorder="1" applyAlignment="1">
      <alignment vertical="center"/>
    </xf>
    <xf numFmtId="0" fontId="11" fillId="0" borderId="104" xfId="61" applyFont="1" applyBorder="1" applyAlignment="1"/>
    <xf numFmtId="4" fontId="0" fillId="0" borderId="0" xfId="0" applyNumberFormat="1"/>
    <xf numFmtId="0" fontId="29" fillId="0" borderId="0" xfId="0" applyFont="1" applyAlignment="1"/>
    <xf numFmtId="0" fontId="29" fillId="0" borderId="0" xfId="0" applyFont="1" applyAlignment="1">
      <alignment horizontal="left"/>
    </xf>
    <xf numFmtId="166" fontId="105" fillId="0" borderId="103" xfId="28" applyNumberFormat="1" applyFont="1" applyFill="1" applyBorder="1" applyAlignment="1">
      <alignment horizontal="left"/>
    </xf>
    <xf numFmtId="166" fontId="7" fillId="0" borderId="103" xfId="28" applyNumberFormat="1" applyFont="1" applyFill="1" applyBorder="1" applyAlignment="1">
      <alignment horizontal="left"/>
    </xf>
    <xf numFmtId="166" fontId="7" fillId="0" borderId="103" xfId="28" applyNumberFormat="1" applyFont="1" applyFill="1" applyBorder="1" applyAlignment="1">
      <alignment horizontal="left" wrapText="1"/>
    </xf>
    <xf numFmtId="166" fontId="50" fillId="0" borderId="0" xfId="28" applyNumberFormat="1" applyFont="1" applyBorder="1" applyAlignment="1">
      <alignment horizontal="right" wrapText="1"/>
    </xf>
    <xf numFmtId="0" fontId="92" fillId="28" borderId="0" xfId="56" applyNumberFormat="1" applyFont="1" applyFill="1" applyAlignment="1">
      <alignment vertical="top"/>
    </xf>
    <xf numFmtId="166" fontId="43" fillId="0" borderId="0" xfId="28" applyNumberFormat="1" applyFont="1" applyAlignment="1">
      <alignment horizontal="center" vertical="top" wrapText="1"/>
    </xf>
    <xf numFmtId="0" fontId="32" fillId="0" borderId="80" xfId="0" applyFont="1" applyFill="1" applyBorder="1"/>
    <xf numFmtId="0" fontId="29" fillId="0" borderId="126" xfId="0" applyNumberFormat="1" applyFont="1" applyFill="1" applyBorder="1" applyAlignment="1">
      <alignment horizontal="center"/>
    </xf>
    <xf numFmtId="0" fontId="29" fillId="0" borderId="156" xfId="0" applyNumberFormat="1" applyFont="1" applyFill="1" applyBorder="1" applyAlignment="1">
      <alignment horizontal="center"/>
    </xf>
    <xf numFmtId="0" fontId="29" fillId="0" borderId="125" xfId="0" applyFont="1" applyFill="1" applyBorder="1" applyAlignment="1">
      <alignment horizontal="center" vertical="center" wrapText="1"/>
    </xf>
    <xf numFmtId="0" fontId="53" fillId="0" borderId="125" xfId="0" applyFont="1" applyFill="1" applyBorder="1" applyAlignment="1">
      <alignment horizontal="center" vertical="center" wrapText="1"/>
    </xf>
    <xf numFmtId="0" fontId="29" fillId="0" borderId="118" xfId="0" applyFont="1" applyFill="1" applyBorder="1" applyAlignment="1">
      <alignment horizontal="center" vertical="center" wrapText="1"/>
    </xf>
    <xf numFmtId="0" fontId="53" fillId="0" borderId="118" xfId="0" applyFont="1" applyFill="1" applyBorder="1" applyAlignment="1">
      <alignment horizontal="center" vertical="center" wrapText="1"/>
    </xf>
    <xf numFmtId="0" fontId="32" fillId="0" borderId="157" xfId="0" applyFont="1" applyFill="1" applyBorder="1"/>
    <xf numFmtId="0" fontId="29" fillId="0" borderId="157" xfId="0" applyFont="1" applyFill="1" applyBorder="1"/>
    <xf numFmtId="0" fontId="53" fillId="0" borderId="157" xfId="0" applyFont="1" applyFill="1" applyBorder="1"/>
    <xf numFmtId="0" fontId="119" fillId="0" borderId="0" xfId="56" applyNumberFormat="1" applyFont="1" applyAlignment="1">
      <alignment vertical="top"/>
    </xf>
    <xf numFmtId="0" fontId="120" fillId="0" borderId="0" xfId="56" applyNumberFormat="1" applyFont="1" applyAlignment="1">
      <alignment vertical="top"/>
    </xf>
    <xf numFmtId="0" fontId="30" fillId="0" borderId="140" xfId="0" applyFont="1" applyFill="1" applyBorder="1" applyAlignment="1">
      <alignment horizontal="center"/>
    </xf>
    <xf numFmtId="4" fontId="118" fillId="26" borderId="0" xfId="56" applyNumberFormat="1" applyFont="1" applyFill="1" applyAlignment="1">
      <alignment vertical="top"/>
    </xf>
    <xf numFmtId="4" fontId="118" fillId="42" borderId="0" xfId="56" applyNumberFormat="1" applyFont="1" applyFill="1" applyAlignment="1">
      <alignment vertical="top"/>
    </xf>
    <xf numFmtId="4" fontId="118" fillId="0" borderId="0" xfId="56" applyNumberFormat="1" applyFont="1" applyFill="1" applyAlignment="1">
      <alignment vertical="top"/>
    </xf>
    <xf numFmtId="4" fontId="118" fillId="24" borderId="0" xfId="56" applyNumberFormat="1" applyFont="1" applyFill="1" applyAlignment="1">
      <alignment vertical="top"/>
    </xf>
    <xf numFmtId="4" fontId="118" fillId="27" borderId="0" xfId="56" applyNumberFormat="1" applyFont="1" applyFill="1" applyAlignment="1">
      <alignment vertical="top"/>
    </xf>
    <xf numFmtId="4" fontId="118" fillId="43" borderId="0" xfId="56" applyNumberFormat="1" applyFont="1" applyFill="1" applyAlignment="1">
      <alignment vertical="top"/>
    </xf>
    <xf numFmtId="4" fontId="118" fillId="44" borderId="0" xfId="56" applyNumberFormat="1" applyFont="1" applyFill="1" applyAlignment="1">
      <alignment vertical="top"/>
    </xf>
    <xf numFmtId="0" fontId="122" fillId="0" borderId="0" xfId="0" applyFont="1"/>
    <xf numFmtId="0" fontId="29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/>
    <xf numFmtId="0" fontId="123" fillId="0" borderId="0" xfId="0" applyFont="1" applyFill="1" applyAlignment="1">
      <alignment horizontal="left" vertical="top" wrapText="1"/>
    </xf>
    <xf numFmtId="0" fontId="40" fillId="0" borderId="50" xfId="0" applyFont="1" applyFill="1" applyBorder="1" applyAlignment="1">
      <alignment horizontal="center" wrapText="1"/>
    </xf>
    <xf numFmtId="0" fontId="40" fillId="0" borderId="51" xfId="0" applyFont="1" applyFill="1" applyBorder="1" applyAlignment="1">
      <alignment horizontal="left" vertical="top" wrapText="1"/>
    </xf>
    <xf numFmtId="166" fontId="42" fillId="0" borderId="52" xfId="28" applyNumberFormat="1" applyFont="1" applyFill="1" applyBorder="1" applyAlignment="1">
      <alignment horizontal="right" vertical="top" wrapText="1"/>
    </xf>
    <xf numFmtId="166" fontId="42" fillId="0" borderId="53" xfId="28" applyNumberFormat="1" applyFont="1" applyFill="1" applyBorder="1" applyAlignment="1">
      <alignment horizontal="right" vertical="top" wrapText="1"/>
    </xf>
    <xf numFmtId="166" fontId="42" fillId="0" borderId="54" xfId="28" applyNumberFormat="1" applyFont="1" applyFill="1" applyBorder="1" applyAlignment="1">
      <alignment horizontal="right" vertical="top" wrapText="1"/>
    </xf>
    <xf numFmtId="166" fontId="42" fillId="0" borderId="55" xfId="28" applyNumberFormat="1" applyFont="1" applyFill="1" applyBorder="1" applyAlignment="1">
      <alignment horizontal="right" vertical="top" wrapText="1"/>
    </xf>
    <xf numFmtId="166" fontId="43" fillId="0" borderId="56" xfId="28" applyNumberFormat="1" applyFont="1" applyFill="1" applyBorder="1" applyAlignment="1">
      <alignment horizontal="right" vertical="top" wrapText="1"/>
    </xf>
    <xf numFmtId="166" fontId="42" fillId="0" borderId="57" xfId="28" applyNumberFormat="1" applyFont="1" applyFill="1" applyBorder="1" applyAlignment="1">
      <alignment horizontal="right" vertical="top" wrapText="1"/>
    </xf>
    <xf numFmtId="0" fontId="116" fillId="0" borderId="0" xfId="0" applyFont="1" applyFill="1" applyAlignment="1">
      <alignment horizontal="left" vertical="top" wrapText="1"/>
    </xf>
    <xf numFmtId="166" fontId="42" fillId="0" borderId="158" xfId="28" applyNumberFormat="1" applyFont="1" applyFill="1" applyBorder="1" applyAlignment="1">
      <alignment horizontal="right" vertical="top" wrapText="1"/>
    </xf>
    <xf numFmtId="166" fontId="42" fillId="0" borderId="159" xfId="28" applyNumberFormat="1" applyFont="1" applyFill="1" applyBorder="1" applyAlignment="1">
      <alignment horizontal="right" vertical="top" wrapText="1"/>
    </xf>
    <xf numFmtId="166" fontId="42" fillId="0" borderId="160" xfId="28" applyNumberFormat="1" applyFont="1" applyFill="1" applyBorder="1" applyAlignment="1">
      <alignment horizontal="right" vertical="top" wrapText="1"/>
    </xf>
    <xf numFmtId="166" fontId="42" fillId="0" borderId="161" xfId="28" applyNumberFormat="1" applyFont="1" applyFill="1" applyBorder="1" applyAlignment="1">
      <alignment horizontal="right" vertical="top" wrapText="1"/>
    </xf>
    <xf numFmtId="0" fontId="40" fillId="0" borderId="0" xfId="0" applyFont="1" applyFill="1" applyAlignment="1">
      <alignment horizontal="left" vertical="top" wrapText="1"/>
    </xf>
    <xf numFmtId="0" fontId="43" fillId="0" borderId="51" xfId="0" applyFont="1" applyFill="1" applyBorder="1" applyAlignment="1">
      <alignment horizontal="right" vertical="top" wrapText="1"/>
    </xf>
    <xf numFmtId="166" fontId="42" fillId="0" borderId="162" xfId="28" applyNumberFormat="1" applyFont="1" applyFill="1" applyBorder="1" applyAlignment="1">
      <alignment horizontal="right" vertical="top" wrapText="1"/>
    </xf>
    <xf numFmtId="166" fontId="42" fillId="0" borderId="61" xfId="28" applyNumberFormat="1" applyFont="1" applyFill="1" applyBorder="1" applyAlignment="1">
      <alignment horizontal="right" vertical="top" wrapText="1"/>
    </xf>
    <xf numFmtId="0" fontId="43" fillId="0" borderId="51" xfId="0" applyFont="1" applyFill="1" applyBorder="1" applyAlignment="1">
      <alignment horizontal="left" vertical="top" wrapText="1"/>
    </xf>
    <xf numFmtId="167" fontId="42" fillId="0" borderId="60" xfId="0" applyNumberFormat="1" applyFont="1" applyFill="1" applyBorder="1" applyAlignment="1">
      <alignment horizontal="left" vertical="top" wrapText="1"/>
    </xf>
    <xf numFmtId="0" fontId="42" fillId="0" borderId="62" xfId="0" applyFont="1" applyFill="1" applyBorder="1" applyAlignment="1">
      <alignment horizontal="left" vertical="top" wrapText="1"/>
    </xf>
    <xf numFmtId="0" fontId="43" fillId="0" borderId="63" xfId="0" applyFont="1" applyFill="1" applyBorder="1" applyAlignment="1">
      <alignment horizontal="left" vertical="top" wrapText="1"/>
    </xf>
    <xf numFmtId="167" fontId="42" fillId="0" borderId="61" xfId="0" applyNumberFormat="1" applyFont="1" applyFill="1" applyBorder="1" applyAlignment="1">
      <alignment horizontal="left" vertical="top" wrapText="1"/>
    </xf>
    <xf numFmtId="0" fontId="42" fillId="0" borderId="60" xfId="0" applyFont="1" applyFill="1" applyBorder="1" applyAlignment="1">
      <alignment horizontal="right" vertical="top" wrapText="1"/>
    </xf>
    <xf numFmtId="0" fontId="43" fillId="0" borderId="64" xfId="0" applyFont="1" applyFill="1" applyBorder="1" applyAlignment="1">
      <alignment horizontal="left" vertical="top" wrapText="1"/>
    </xf>
    <xf numFmtId="0" fontId="43" fillId="0" borderId="65" xfId="0" applyFont="1" applyFill="1" applyBorder="1" applyAlignment="1">
      <alignment horizontal="left" vertical="top" wrapText="1"/>
    </xf>
    <xf numFmtId="166" fontId="42" fillId="0" borderId="163" xfId="28" applyNumberFormat="1" applyFont="1" applyFill="1" applyBorder="1" applyAlignment="1">
      <alignment horizontal="right" vertical="top" wrapText="1"/>
    </xf>
    <xf numFmtId="0" fontId="43" fillId="0" borderId="164" xfId="0" applyFont="1" applyFill="1" applyBorder="1" applyAlignment="1">
      <alignment horizontal="left" vertical="top" wrapText="1"/>
    </xf>
    <xf numFmtId="0" fontId="43" fillId="0" borderId="66" xfId="0" applyFont="1" applyFill="1" applyBorder="1" applyAlignment="1">
      <alignment horizontal="left" vertical="top" wrapText="1"/>
    </xf>
    <xf numFmtId="0" fontId="43" fillId="0" borderId="59" xfId="0" applyFont="1" applyFill="1" applyBorder="1" applyAlignment="1">
      <alignment horizontal="left" vertical="top" wrapText="1"/>
    </xf>
    <xf numFmtId="167" fontId="42" fillId="0" borderId="60" xfId="0" applyNumberFormat="1" applyFont="1" applyFill="1" applyBorder="1" applyAlignment="1">
      <alignment horizontal="right" vertical="top" wrapText="1"/>
    </xf>
    <xf numFmtId="0" fontId="42" fillId="0" borderId="62" xfId="0" applyFont="1" applyFill="1" applyBorder="1" applyAlignment="1">
      <alignment horizontal="right" vertical="top" wrapText="1"/>
    </xf>
    <xf numFmtId="167" fontId="42" fillId="0" borderId="61" xfId="0" applyNumberFormat="1" applyFont="1" applyFill="1" applyBorder="1" applyAlignment="1">
      <alignment horizontal="right" vertical="top" wrapText="1"/>
    </xf>
    <xf numFmtId="0" fontId="32" fillId="0" borderId="0" xfId="0" applyFont="1" applyFill="1" applyAlignment="1">
      <alignment horizontal="right"/>
    </xf>
    <xf numFmtId="0" fontId="30" fillId="0" borderId="118" xfId="0" applyNumberFormat="1" applyFont="1" applyFill="1" applyBorder="1" applyAlignment="1">
      <alignment horizontal="right"/>
    </xf>
    <xf numFmtId="171" fontId="32" fillId="0" borderId="0" xfId="0" applyNumberFormat="1" applyFont="1" applyFill="1" applyAlignment="1">
      <alignment horizontal="right"/>
    </xf>
    <xf numFmtId="0" fontId="29" fillId="0" borderId="118" xfId="0" applyNumberFormat="1" applyFont="1" applyFill="1" applyBorder="1" applyAlignment="1">
      <alignment horizontal="right"/>
    </xf>
    <xf numFmtId="0" fontId="70" fillId="0" borderId="25" xfId="0" applyFont="1" applyFill="1" applyBorder="1" applyAlignment="1">
      <alignment horizontal="right"/>
    </xf>
    <xf numFmtId="167" fontId="71" fillId="0" borderId="25" xfId="36" applyNumberFormat="1" applyFont="1" applyFill="1" applyBorder="1" applyAlignment="1">
      <alignment horizontal="right"/>
    </xf>
    <xf numFmtId="167" fontId="71" fillId="0" borderId="94" xfId="36" applyNumberFormat="1" applyFont="1" applyFill="1" applyBorder="1" applyAlignment="1">
      <alignment horizontal="right"/>
    </xf>
    <xf numFmtId="167" fontId="32" fillId="0" borderId="103" xfId="36" applyNumberFormat="1" applyFont="1" applyFill="1" applyBorder="1" applyAlignment="1">
      <alignment horizontal="right"/>
    </xf>
    <xf numFmtId="0" fontId="69" fillId="0" borderId="21" xfId="0" applyFont="1" applyFill="1" applyBorder="1" applyAlignment="1">
      <alignment horizontal="right"/>
    </xf>
    <xf numFmtId="167" fontId="32" fillId="0" borderId="25" xfId="36" applyNumberFormat="1" applyFont="1" applyFill="1" applyBorder="1" applyAlignment="1">
      <alignment horizontal="right"/>
    </xf>
    <xf numFmtId="167" fontId="29" fillId="0" borderId="103" xfId="36" applyNumberFormat="1" applyFont="1" applyFill="1" applyBorder="1" applyAlignment="1">
      <alignment horizontal="right"/>
    </xf>
    <xf numFmtId="0" fontId="69" fillId="0" borderId="25" xfId="0" applyFont="1" applyFill="1" applyBorder="1" applyAlignment="1">
      <alignment horizontal="right"/>
    </xf>
    <xf numFmtId="167" fontId="32" fillId="0" borderId="94" xfId="36" applyNumberFormat="1" applyFont="1" applyFill="1" applyBorder="1" applyAlignment="1">
      <alignment horizontal="right"/>
    </xf>
    <xf numFmtId="0" fontId="71" fillId="0" borderId="25" xfId="0" applyFont="1" applyFill="1" applyBorder="1" applyAlignment="1">
      <alignment horizontal="right"/>
    </xf>
    <xf numFmtId="0" fontId="70" fillId="0" borderId="21" xfId="0" applyFont="1" applyFill="1" applyBorder="1" applyAlignment="1">
      <alignment horizontal="right"/>
    </xf>
    <xf numFmtId="0" fontId="70" fillId="0" borderId="94" xfId="0" applyFont="1" applyFill="1" applyBorder="1" applyAlignment="1">
      <alignment horizontal="right"/>
    </xf>
    <xf numFmtId="167" fontId="29" fillId="0" borderId="132" xfId="36" applyNumberFormat="1" applyFont="1" applyFill="1" applyBorder="1" applyAlignment="1">
      <alignment horizontal="right"/>
    </xf>
    <xf numFmtId="167" fontId="32" fillId="0" borderId="0" xfId="0" applyNumberFormat="1" applyFont="1" applyFill="1" applyAlignment="1">
      <alignment horizontal="right"/>
    </xf>
    <xf numFmtId="0" fontId="35" fillId="0" borderId="0" xfId="0" applyNumberFormat="1" applyFont="1" applyFill="1" applyBorder="1"/>
    <xf numFmtId="4" fontId="117" fillId="33" borderId="0" xfId="56" applyNumberFormat="1" applyFont="1" applyFill="1" applyProtection="1">
      <alignment vertical="top"/>
      <protection locked="0"/>
    </xf>
    <xf numFmtId="4" fontId="117" fillId="28" borderId="0" xfId="56" applyNumberFormat="1" applyFont="1" applyFill="1" applyProtection="1">
      <alignment vertical="top"/>
      <protection locked="0"/>
    </xf>
    <xf numFmtId="4" fontId="117" fillId="42" borderId="0" xfId="56" applyNumberFormat="1" applyFont="1" applyFill="1" applyProtection="1">
      <alignment vertical="top"/>
      <protection locked="0"/>
    </xf>
    <xf numFmtId="4" fontId="117" fillId="24" borderId="0" xfId="56" applyNumberFormat="1" applyFont="1" applyFill="1" applyProtection="1">
      <alignment vertical="top"/>
      <protection locked="0"/>
    </xf>
    <xf numFmtId="4" fontId="117" fillId="29" borderId="0" xfId="56" applyNumberFormat="1" applyFont="1" applyFill="1" applyProtection="1">
      <alignment vertical="top"/>
      <protection locked="0"/>
    </xf>
    <xf numFmtId="4" fontId="117" fillId="27" borderId="0" xfId="56" applyNumberFormat="1" applyFont="1" applyFill="1" applyProtection="1">
      <alignment vertical="top"/>
      <protection locked="0"/>
    </xf>
    <xf numFmtId="4" fontId="117" fillId="30" borderId="0" xfId="56" applyNumberFormat="1" applyFont="1" applyFill="1" applyProtection="1">
      <alignment vertical="top"/>
      <protection locked="0"/>
    </xf>
    <xf numFmtId="4" fontId="118" fillId="45" borderId="0" xfId="56" applyNumberFormat="1" applyFont="1" applyFill="1" applyAlignment="1">
      <alignment vertical="top"/>
    </xf>
    <xf numFmtId="4" fontId="117" fillId="45" borderId="0" xfId="56" applyNumberFormat="1" applyFont="1" applyFill="1" applyProtection="1">
      <alignment vertical="top"/>
      <protection locked="0"/>
    </xf>
    <xf numFmtId="4" fontId="117" fillId="44" borderId="0" xfId="56" applyNumberFormat="1" applyFont="1" applyFill="1" applyProtection="1">
      <alignment vertical="top"/>
      <protection locked="0"/>
    </xf>
    <xf numFmtId="4" fontId="117" fillId="35" borderId="0" xfId="56" applyNumberFormat="1" applyFont="1" applyFill="1" applyProtection="1">
      <alignment vertical="top"/>
      <protection locked="0"/>
    </xf>
    <xf numFmtId="4" fontId="35" fillId="0" borderId="21" xfId="0" applyNumberFormat="1" applyFont="1" applyFill="1" applyBorder="1"/>
    <xf numFmtId="43" fontId="35" fillId="0" borderId="21" xfId="0" applyNumberFormat="1" applyFont="1" applyFill="1" applyBorder="1"/>
    <xf numFmtId="4" fontId="117" fillId="0" borderId="0" xfId="56" applyNumberFormat="1" applyFont="1" applyFill="1" applyProtection="1">
      <alignment vertical="top"/>
      <protection locked="0"/>
    </xf>
    <xf numFmtId="0" fontId="29" fillId="0" borderId="0" xfId="62" applyFont="1" applyFill="1" applyAlignment="1">
      <alignment horizontal="right"/>
    </xf>
    <xf numFmtId="0" fontId="29" fillId="0" borderId="148" xfId="0" applyNumberFormat="1" applyFont="1" applyFill="1" applyBorder="1" applyAlignment="1">
      <alignment horizontal="center"/>
    </xf>
    <xf numFmtId="166" fontId="31" fillId="0" borderId="148" xfId="28" applyNumberFormat="1" applyFont="1" applyFill="1" applyBorder="1"/>
    <xf numFmtId="166" fontId="32" fillId="0" borderId="148" xfId="28" applyNumberFormat="1" applyFont="1" applyFill="1" applyBorder="1"/>
    <xf numFmtId="9" fontId="31" fillId="0" borderId="126" xfId="71" applyFont="1" applyFill="1" applyBorder="1"/>
    <xf numFmtId="0" fontId="29" fillId="0" borderId="165" xfId="0" applyNumberFormat="1" applyFont="1" applyFill="1" applyBorder="1" applyAlignment="1">
      <alignment horizontal="center"/>
    </xf>
    <xf numFmtId="166" fontId="31" fillId="0" borderId="93" xfId="28" applyNumberFormat="1" applyFont="1" applyFill="1" applyBorder="1"/>
    <xf numFmtId="166" fontId="32" fillId="0" borderId="93" xfId="28" applyNumberFormat="1" applyFont="1" applyFill="1" applyBorder="1"/>
    <xf numFmtId="9" fontId="31" fillId="0" borderId="166" xfId="71" applyFont="1" applyFill="1" applyBorder="1"/>
    <xf numFmtId="0" fontId="31" fillId="0" borderId="93" xfId="62" applyFont="1" applyFill="1" applyBorder="1"/>
    <xf numFmtId="0" fontId="31" fillId="0" borderId="93" xfId="62" applyFont="1" applyFill="1" applyBorder="1" applyAlignment="1">
      <alignment horizontal="left"/>
    </xf>
    <xf numFmtId="0" fontId="33" fillId="0" borderId="93" xfId="62" applyFont="1" applyFill="1" applyBorder="1"/>
    <xf numFmtId="0" fontId="32" fillId="0" borderId="93" xfId="62" applyFont="1" applyFill="1" applyBorder="1" applyAlignment="1">
      <alignment horizontal="left"/>
    </xf>
    <xf numFmtId="0" fontId="29" fillId="0" borderId="93" xfId="62" applyFont="1" applyFill="1" applyBorder="1" applyAlignment="1">
      <alignment horizontal="left"/>
    </xf>
    <xf numFmtId="0" fontId="32" fillId="0" borderId="93" xfId="62" applyFont="1" applyFill="1" applyBorder="1" applyAlignment="1">
      <alignment horizontal="right"/>
    </xf>
    <xf numFmtId="0" fontId="32" fillId="0" borderId="166" xfId="62" applyFont="1" applyFill="1" applyBorder="1"/>
    <xf numFmtId="0" fontId="85" fillId="0" borderId="93" xfId="62" applyFont="1" applyFill="1" applyBorder="1" applyAlignment="1">
      <alignment horizontal="center"/>
    </xf>
    <xf numFmtId="0" fontId="87" fillId="0" borderId="93" xfId="62" applyFont="1" applyFill="1" applyBorder="1" applyAlignment="1">
      <alignment horizontal="center"/>
    </xf>
    <xf numFmtId="0" fontId="32" fillId="0" borderId="93" xfId="62" applyFont="1" applyFill="1" applyBorder="1" applyAlignment="1">
      <alignment horizontal="center"/>
    </xf>
    <xf numFmtId="0" fontId="34" fillId="0" borderId="93" xfId="62" applyFont="1" applyFill="1" applyBorder="1" applyAlignment="1">
      <alignment horizontal="center"/>
    </xf>
    <xf numFmtId="0" fontId="32" fillId="0" borderId="93" xfId="62" applyFont="1" applyFill="1" applyBorder="1"/>
    <xf numFmtId="0" fontId="31" fillId="0" borderId="166" xfId="62" applyFont="1" applyFill="1" applyBorder="1" applyAlignment="1">
      <alignment horizontal="right"/>
    </xf>
    <xf numFmtId="0" fontId="31" fillId="0" borderId="167" xfId="62" applyFont="1" applyFill="1" applyBorder="1" applyAlignment="1">
      <alignment horizontal="center" vertical="center" wrapText="1"/>
    </xf>
    <xf numFmtId="167" fontId="31" fillId="0" borderId="165" xfId="41" applyNumberFormat="1" applyFont="1" applyFill="1" applyBorder="1" applyAlignment="1">
      <alignment horizontal="right"/>
    </xf>
    <xf numFmtId="167" fontId="31" fillId="0" borderId="168" xfId="41" applyNumberFormat="1" applyFont="1" applyFill="1" applyBorder="1"/>
    <xf numFmtId="167" fontId="31" fillId="0" borderId="168" xfId="41" applyNumberFormat="1" applyFont="1" applyFill="1" applyBorder="1" applyAlignment="1">
      <alignment horizontal="right"/>
    </xf>
    <xf numFmtId="167" fontId="34" fillId="0" borderId="165" xfId="41" applyNumberFormat="1" applyFont="1" applyFill="1" applyBorder="1" applyAlignment="1">
      <alignment horizontal="right"/>
    </xf>
    <xf numFmtId="167" fontId="31" fillId="0" borderId="165" xfId="41" applyNumberFormat="1" applyFont="1" applyFill="1" applyBorder="1" applyAlignment="1">
      <alignment horizontal="center"/>
    </xf>
    <xf numFmtId="167" fontId="34" fillId="0" borderId="165" xfId="41" applyNumberFormat="1" applyFont="1" applyFill="1" applyBorder="1" applyAlignment="1">
      <alignment horizontal="center"/>
    </xf>
    <xf numFmtId="167" fontId="31" fillId="0" borderId="169" xfId="41" applyNumberFormat="1" applyFont="1" applyFill="1" applyBorder="1" applyAlignment="1">
      <alignment horizontal="right"/>
    </xf>
    <xf numFmtId="167" fontId="31" fillId="0" borderId="170" xfId="41" applyNumberFormat="1" applyFont="1" applyFill="1" applyBorder="1"/>
    <xf numFmtId="167" fontId="31" fillId="0" borderId="171" xfId="41" applyNumberFormat="1" applyFont="1" applyFill="1" applyBorder="1" applyAlignment="1">
      <alignment horizontal="right"/>
    </xf>
    <xf numFmtId="167" fontId="31" fillId="0" borderId="172" xfId="41" applyNumberFormat="1" applyFont="1" applyFill="1" applyBorder="1"/>
    <xf numFmtId="0" fontId="31" fillId="0" borderId="91" xfId="62" applyFont="1" applyFill="1" applyBorder="1"/>
    <xf numFmtId="0" fontId="85" fillId="0" borderId="91" xfId="62" applyFont="1" applyFill="1" applyBorder="1" applyAlignment="1">
      <alignment horizontal="center"/>
    </xf>
    <xf numFmtId="166" fontId="31" fillId="0" borderId="91" xfId="28" applyNumberFormat="1" applyFont="1" applyFill="1" applyBorder="1"/>
    <xf numFmtId="0" fontId="31" fillId="0" borderId="170" xfId="62" applyFont="1" applyFill="1" applyBorder="1" applyAlignment="1">
      <alignment horizontal="center" vertical="center" wrapText="1"/>
    </xf>
    <xf numFmtId="0" fontId="31" fillId="0" borderId="173" xfId="62" applyFont="1" applyFill="1" applyBorder="1" applyAlignment="1"/>
    <xf numFmtId="0" fontId="29" fillId="0" borderId="174" xfId="0" applyNumberFormat="1" applyFont="1" applyFill="1" applyBorder="1" applyAlignment="1">
      <alignment horizontal="center"/>
    </xf>
    <xf numFmtId="166" fontId="31" fillId="0" borderId="175" xfId="28" applyNumberFormat="1" applyFont="1" applyFill="1" applyBorder="1"/>
    <xf numFmtId="166" fontId="31" fillId="0" borderId="176" xfId="28" applyNumberFormat="1" applyFont="1" applyFill="1" applyBorder="1"/>
    <xf numFmtId="166" fontId="32" fillId="0" borderId="176" xfId="28" applyNumberFormat="1" applyFont="1" applyFill="1" applyBorder="1"/>
    <xf numFmtId="9" fontId="31" fillId="0" borderId="174" xfId="71" applyFont="1" applyFill="1" applyBorder="1"/>
    <xf numFmtId="0" fontId="29" fillId="0" borderId="75" xfId="0" applyNumberFormat="1" applyFont="1" applyFill="1" applyBorder="1" applyAlignment="1">
      <alignment horizontal="center"/>
    </xf>
    <xf numFmtId="4" fontId="32" fillId="0" borderId="0" xfId="62" applyNumberFormat="1" applyFont="1" applyFill="1"/>
    <xf numFmtId="43" fontId="32" fillId="0" borderId="0" xfId="62" applyNumberFormat="1" applyFont="1" applyFill="1"/>
    <xf numFmtId="167" fontId="37" fillId="0" borderId="20" xfId="36" applyNumberFormat="1" applyFont="1" applyFill="1" applyBorder="1"/>
    <xf numFmtId="0" fontId="35" fillId="0" borderId="29" xfId="0" applyFont="1" applyFill="1" applyBorder="1"/>
    <xf numFmtId="166" fontId="35" fillId="0" borderId="29" xfId="28" applyNumberFormat="1" applyFont="1" applyFill="1" applyBorder="1"/>
    <xf numFmtId="4" fontId="35" fillId="0" borderId="29" xfId="0" applyNumberFormat="1" applyFont="1" applyFill="1" applyBorder="1"/>
    <xf numFmtId="166" fontId="30" fillId="0" borderId="29" xfId="28" applyNumberFormat="1" applyFont="1" applyFill="1" applyBorder="1"/>
    <xf numFmtId="166" fontId="37" fillId="0" borderId="29" xfId="28" applyNumberFormat="1" applyFont="1" applyFill="1" applyBorder="1"/>
    <xf numFmtId="0" fontId="30" fillId="0" borderId="177" xfId="0" applyFont="1" applyFill="1" applyBorder="1" applyAlignment="1">
      <alignment horizontal="center"/>
    </xf>
    <xf numFmtId="0" fontId="30" fillId="0" borderId="178" xfId="0" applyNumberFormat="1" applyFont="1" applyFill="1" applyBorder="1" applyAlignment="1">
      <alignment horizontal="center"/>
    </xf>
    <xf numFmtId="166" fontId="30" fillId="0" borderId="179" xfId="28" applyNumberFormat="1" applyFont="1" applyFill="1" applyBorder="1"/>
    <xf numFmtId="167" fontId="37" fillId="0" borderId="23" xfId="36" applyNumberFormat="1" applyFont="1" applyFill="1" applyBorder="1"/>
    <xf numFmtId="166" fontId="35" fillId="0" borderId="28" xfId="28" applyNumberFormat="1" applyFont="1" applyFill="1" applyBorder="1"/>
    <xf numFmtId="167" fontId="35" fillId="0" borderId="28" xfId="36" applyNumberFormat="1" applyFont="1" applyFill="1" applyBorder="1"/>
    <xf numFmtId="166" fontId="30" fillId="0" borderId="28" xfId="28" applyNumberFormat="1" applyFont="1" applyFill="1" applyBorder="1"/>
    <xf numFmtId="166" fontId="37" fillId="0" borderId="28" xfId="28" applyNumberFormat="1" applyFont="1" applyFill="1" applyBorder="1"/>
    <xf numFmtId="166" fontId="35" fillId="0" borderId="105" xfId="28" applyNumberFormat="1" applyFont="1" applyFill="1" applyBorder="1"/>
    <xf numFmtId="166" fontId="35" fillId="0" borderId="129" xfId="28" applyNumberFormat="1" applyFont="1" applyFill="1" applyBorder="1"/>
    <xf numFmtId="0" fontId="30" fillId="0" borderId="135" xfId="0" applyFont="1" applyFill="1" applyBorder="1" applyAlignment="1">
      <alignment horizontal="center" vertical="center" wrapText="1"/>
    </xf>
    <xf numFmtId="167" fontId="37" fillId="0" borderId="47" xfId="36" applyNumberFormat="1" applyFont="1" applyFill="1" applyBorder="1"/>
    <xf numFmtId="0" fontId="35" fillId="0" borderId="48" xfId="0" applyFont="1" applyFill="1" applyBorder="1"/>
    <xf numFmtId="166" fontId="35" fillId="0" borderId="48" xfId="28" applyNumberFormat="1" applyFont="1" applyFill="1" applyBorder="1"/>
    <xf numFmtId="4" fontId="35" fillId="0" borderId="48" xfId="0" applyNumberFormat="1" applyFont="1" applyFill="1" applyBorder="1"/>
    <xf numFmtId="166" fontId="30" fillId="0" borderId="48" xfId="28" applyNumberFormat="1" applyFont="1" applyFill="1" applyBorder="1"/>
    <xf numFmtId="166" fontId="37" fillId="0" borderId="48" xfId="28" applyNumberFormat="1" applyFont="1" applyFill="1" applyBorder="1"/>
    <xf numFmtId="0" fontId="35" fillId="0" borderId="114" xfId="0" applyFont="1" applyFill="1" applyBorder="1"/>
    <xf numFmtId="0" fontId="35" fillId="0" borderId="23" xfId="0" applyFont="1" applyFill="1" applyBorder="1"/>
    <xf numFmtId="0" fontId="30" fillId="0" borderId="21" xfId="0" applyFont="1" applyFill="1" applyBorder="1" applyAlignment="1">
      <alignment horizontal="center" vertical="center"/>
    </xf>
    <xf numFmtId="166" fontId="30" fillId="0" borderId="21" xfId="28" applyNumberFormat="1" applyFont="1" applyFill="1" applyBorder="1"/>
    <xf numFmtId="166" fontId="30" fillId="0" borderId="20" xfId="28" applyNumberFormat="1" applyFont="1" applyFill="1" applyBorder="1"/>
    <xf numFmtId="166" fontId="30" fillId="0" borderId="47" xfId="28" applyNumberFormat="1" applyFont="1" applyFill="1" applyBorder="1"/>
    <xf numFmtId="0" fontId="30" fillId="0" borderId="156" xfId="0" applyNumberFormat="1" applyFont="1" applyFill="1" applyBorder="1" applyAlignment="1">
      <alignment horizontal="center"/>
    </xf>
    <xf numFmtId="166" fontId="30" fillId="0" borderId="131" xfId="28" applyNumberFormat="1" applyFont="1" applyFill="1" applyBorder="1"/>
    <xf numFmtId="166" fontId="30" fillId="0" borderId="138" xfId="28" applyNumberFormat="1" applyFont="1" applyFill="1" applyBorder="1"/>
    <xf numFmtId="166" fontId="29" fillId="0" borderId="148" xfId="28" applyNumberFormat="1" applyFont="1" applyFill="1" applyBorder="1"/>
    <xf numFmtId="167" fontId="34" fillId="0" borderId="148" xfId="36" applyNumberFormat="1" applyFont="1" applyFill="1" applyBorder="1"/>
    <xf numFmtId="167" fontId="32" fillId="0" borderId="148" xfId="36" applyNumberFormat="1" applyFont="1" applyFill="1" applyBorder="1"/>
    <xf numFmtId="166" fontId="34" fillId="0" borderId="148" xfId="28" applyNumberFormat="1" applyFont="1" applyFill="1" applyBorder="1"/>
    <xf numFmtId="166" fontId="32" fillId="0" borderId="180" xfId="28" applyNumberFormat="1" applyFont="1" applyFill="1" applyBorder="1"/>
    <xf numFmtId="0" fontId="29" fillId="0" borderId="117" xfId="0" applyNumberFormat="1" applyFont="1" applyFill="1" applyBorder="1" applyAlignment="1">
      <alignment horizontal="center"/>
    </xf>
    <xf numFmtId="0" fontId="30" fillId="0" borderId="105" xfId="0" applyFont="1" applyFill="1" applyBorder="1" applyAlignment="1">
      <alignment horizontal="center"/>
    </xf>
    <xf numFmtId="0" fontId="30" fillId="0" borderId="105" xfId="0" applyNumberFormat="1" applyFont="1" applyFill="1" applyBorder="1" applyAlignment="1">
      <alignment horizontal="center"/>
    </xf>
    <xf numFmtId="166" fontId="30" fillId="0" borderId="105" xfId="28" applyNumberFormat="1" applyFont="1" applyFill="1" applyBorder="1"/>
    <xf numFmtId="167" fontId="37" fillId="0" borderId="105" xfId="36" applyNumberFormat="1" applyFont="1" applyFill="1" applyBorder="1"/>
    <xf numFmtId="167" fontId="35" fillId="0" borderId="105" xfId="36" applyNumberFormat="1" applyFont="1" applyFill="1" applyBorder="1"/>
    <xf numFmtId="166" fontId="37" fillId="0" borderId="105" xfId="28" applyNumberFormat="1" applyFont="1" applyFill="1" applyBorder="1"/>
    <xf numFmtId="0" fontId="107" fillId="31" borderId="0" xfId="53" applyFont="1" applyFill="1" applyBorder="1" applyAlignment="1"/>
    <xf numFmtId="0" fontId="44" fillId="0" borderId="0" xfId="53" applyFont="1" applyBorder="1" applyAlignment="1">
      <alignment horizontal="center" wrapText="1"/>
    </xf>
    <xf numFmtId="166" fontId="32" fillId="0" borderId="0" xfId="28" applyNumberFormat="1" applyFont="1" applyBorder="1" applyAlignment="1">
      <alignment horizontal="right" vertical="top" wrapText="1"/>
    </xf>
    <xf numFmtId="3" fontId="35" fillId="0" borderId="0" xfId="53" applyNumberFormat="1" applyFont="1" applyBorder="1" applyAlignment="1">
      <alignment horizontal="right" vertical="top" wrapText="1"/>
    </xf>
    <xf numFmtId="3" fontId="32" fillId="0" borderId="0" xfId="53" applyNumberFormat="1" applyFont="1" applyBorder="1" applyAlignment="1">
      <alignment horizontal="right" vertical="top" wrapText="1"/>
    </xf>
    <xf numFmtId="0" fontId="107" fillId="31" borderId="0" xfId="53" applyFont="1" applyFill="1" applyBorder="1" applyAlignment="1">
      <alignment horizontal="center"/>
    </xf>
    <xf numFmtId="0" fontId="107" fillId="0" borderId="0" xfId="53" applyFont="1" applyFill="1" applyBorder="1" applyAlignment="1">
      <alignment horizontal="center"/>
    </xf>
    <xf numFmtId="0" fontId="47" fillId="0" borderId="0" xfId="53" applyFont="1" applyFill="1" applyBorder="1" applyAlignment="1">
      <alignment horizontal="right" vertical="top" wrapText="1"/>
    </xf>
    <xf numFmtId="0" fontId="32" fillId="0" borderId="0" xfId="53" applyFont="1" applyFill="1" applyBorder="1" applyAlignment="1">
      <alignment horizontal="justify" vertical="top" wrapText="1"/>
    </xf>
    <xf numFmtId="0" fontId="49" fillId="0" borderId="0" xfId="53" applyFont="1" applyFill="1" applyBorder="1" applyAlignment="1">
      <alignment horizontal="left" vertical="top" wrapText="1" indent="2"/>
    </xf>
    <xf numFmtId="0" fontId="49" fillId="0" borderId="0" xfId="53" applyFont="1" applyFill="1" applyBorder="1" applyAlignment="1">
      <alignment horizontal="left" vertical="top" wrapText="1"/>
    </xf>
    <xf numFmtId="0" fontId="40" fillId="0" borderId="0" xfId="53" applyFont="1" applyBorder="1" applyAlignment="1">
      <alignment horizontal="left" vertical="top" wrapText="1"/>
    </xf>
    <xf numFmtId="0" fontId="47" fillId="0" borderId="0" xfId="53" applyFont="1" applyBorder="1" applyAlignment="1">
      <alignment horizontal="left" vertical="top" wrapText="1"/>
    </xf>
    <xf numFmtId="0" fontId="32" fillId="0" borderId="0" xfId="53" applyFont="1" applyBorder="1" applyAlignment="1">
      <alignment horizontal="left" vertical="top" wrapText="1"/>
    </xf>
    <xf numFmtId="0" fontId="49" fillId="0" borderId="0" xfId="53" applyFont="1" applyBorder="1" applyAlignment="1">
      <alignment vertical="top" wrapText="1"/>
    </xf>
    <xf numFmtId="0" fontId="98" fillId="0" borderId="11" xfId="61" applyFont="1" applyBorder="1" applyAlignment="1">
      <alignment horizontal="left"/>
    </xf>
    <xf numFmtId="0" fontId="29" fillId="0" borderId="182" xfId="0" applyNumberFormat="1" applyFont="1" applyFill="1" applyBorder="1" applyAlignment="1">
      <alignment horizontal="center"/>
    </xf>
    <xf numFmtId="0" fontId="70" fillId="0" borderId="29" xfId="0" applyFont="1" applyFill="1" applyBorder="1" applyAlignment="1">
      <alignment horizontal="center"/>
    </xf>
    <xf numFmtId="167" fontId="71" fillId="0" borderId="29" xfId="36" applyNumberFormat="1" applyFont="1" applyFill="1" applyBorder="1" applyAlignment="1">
      <alignment horizontal="center"/>
    </xf>
    <xf numFmtId="167" fontId="71" fillId="0" borderId="183" xfId="36" applyNumberFormat="1" applyFont="1" applyFill="1" applyBorder="1" applyAlignment="1">
      <alignment horizontal="center"/>
    </xf>
    <xf numFmtId="0" fontId="69" fillId="0" borderId="20" xfId="0" applyFont="1" applyFill="1" applyBorder="1" applyAlignment="1">
      <alignment horizontal="center"/>
    </xf>
    <xf numFmtId="167" fontId="32" fillId="0" borderId="29" xfId="36" applyNumberFormat="1" applyFont="1" applyFill="1" applyBorder="1"/>
    <xf numFmtId="0" fontId="69" fillId="0" borderId="29" xfId="0" applyFont="1" applyFill="1" applyBorder="1" applyAlignment="1">
      <alignment horizontal="center"/>
    </xf>
    <xf numFmtId="167" fontId="32" fillId="0" borderId="183" xfId="36" applyNumberFormat="1" applyFont="1" applyFill="1" applyBorder="1"/>
    <xf numFmtId="0" fontId="71" fillId="0" borderId="29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70" fillId="0" borderId="20" xfId="0" applyFont="1" applyFill="1" applyBorder="1" applyAlignment="1">
      <alignment horizontal="center"/>
    </xf>
    <xf numFmtId="0" fontId="70" fillId="0" borderId="183" xfId="0" applyFont="1" applyFill="1" applyBorder="1" applyAlignment="1">
      <alignment horizontal="center"/>
    </xf>
    <xf numFmtId="167" fontId="29" fillId="0" borderId="184" xfId="36" applyNumberFormat="1" applyFont="1" applyFill="1" applyBorder="1"/>
    <xf numFmtId="0" fontId="29" fillId="0" borderId="185" xfId="0" applyFont="1" applyFill="1" applyBorder="1" applyAlignment="1">
      <alignment horizontal="center"/>
    </xf>
    <xf numFmtId="167" fontId="29" fillId="0" borderId="185" xfId="36" applyNumberFormat="1" applyFont="1" applyFill="1" applyBorder="1"/>
    <xf numFmtId="167" fontId="32" fillId="0" borderId="185" xfId="36" applyNumberFormat="1" applyFont="1" applyFill="1" applyBorder="1"/>
    <xf numFmtId="167" fontId="34" fillId="0" borderId="185" xfId="36" applyNumberFormat="1" applyFont="1" applyFill="1" applyBorder="1"/>
    <xf numFmtId="0" fontId="32" fillId="0" borderId="186" xfId="0" applyFont="1" applyFill="1" applyBorder="1"/>
    <xf numFmtId="0" fontId="32" fillId="0" borderId="187" xfId="0" applyFont="1" applyFill="1" applyBorder="1"/>
    <xf numFmtId="0" fontId="32" fillId="0" borderId="167" xfId="0" applyFont="1" applyFill="1" applyBorder="1"/>
    <xf numFmtId="0" fontId="29" fillId="0" borderId="168" xfId="0" applyFont="1" applyFill="1" applyBorder="1" applyAlignment="1">
      <alignment horizontal="center"/>
    </xf>
    <xf numFmtId="167" fontId="29" fillId="0" borderId="165" xfId="36" applyNumberFormat="1" applyFont="1" applyFill="1" applyBorder="1"/>
    <xf numFmtId="167" fontId="29" fillId="0" borderId="168" xfId="36" applyNumberFormat="1" applyFont="1" applyFill="1" applyBorder="1"/>
    <xf numFmtId="167" fontId="32" fillId="0" borderId="165" xfId="36" applyNumberFormat="1" applyFont="1" applyFill="1" applyBorder="1"/>
    <xf numFmtId="167" fontId="32" fillId="0" borderId="168" xfId="36" applyNumberFormat="1" applyFont="1" applyFill="1" applyBorder="1"/>
    <xf numFmtId="167" fontId="34" fillId="0" borderId="165" xfId="36" applyNumberFormat="1" applyFont="1" applyFill="1" applyBorder="1"/>
    <xf numFmtId="167" fontId="34" fillId="0" borderId="168" xfId="36" applyNumberFormat="1" applyFont="1" applyFill="1" applyBorder="1"/>
    <xf numFmtId="167" fontId="29" fillId="0" borderId="169" xfId="36" applyNumberFormat="1" applyFont="1" applyFill="1" applyBorder="1"/>
    <xf numFmtId="167" fontId="29" fillId="0" borderId="188" xfId="36" applyNumberFormat="1" applyFont="1" applyFill="1" applyBorder="1"/>
    <xf numFmtId="167" fontId="29" fillId="0" borderId="170" xfId="36" applyNumberFormat="1" applyFont="1" applyFill="1" applyBorder="1"/>
    <xf numFmtId="0" fontId="35" fillId="0" borderId="131" xfId="0" applyFont="1" applyFill="1" applyBorder="1"/>
    <xf numFmtId="167" fontId="30" fillId="0" borderId="189" xfId="36" applyNumberFormat="1" applyFont="1" applyFill="1" applyBorder="1"/>
    <xf numFmtId="167" fontId="30" fillId="0" borderId="86" xfId="36" applyNumberFormat="1" applyFont="1" applyFill="1" applyBorder="1"/>
    <xf numFmtId="167" fontId="37" fillId="0" borderId="116" xfId="36" applyNumberFormat="1" applyFont="1" applyFill="1" applyBorder="1"/>
    <xf numFmtId="167" fontId="37" fillId="0" borderId="48" xfId="36" applyNumberFormat="1" applyFont="1" applyFill="1" applyBorder="1"/>
    <xf numFmtId="167" fontId="35" fillId="0" borderId="116" xfId="36" applyNumberFormat="1" applyFont="1" applyFill="1" applyBorder="1"/>
    <xf numFmtId="167" fontId="35" fillId="0" borderId="48" xfId="36" applyNumberFormat="1" applyFont="1" applyFill="1" applyBorder="1"/>
    <xf numFmtId="167" fontId="35" fillId="0" borderId="115" xfId="36" applyNumberFormat="1" applyFont="1" applyFill="1" applyBorder="1"/>
    <xf numFmtId="167" fontId="35" fillId="0" borderId="79" xfId="36" applyNumberFormat="1" applyFont="1" applyFill="1" applyBorder="1"/>
    <xf numFmtId="167" fontId="30" fillId="0" borderId="114" xfId="36" applyNumberFormat="1" applyFont="1" applyFill="1" applyBorder="1"/>
    <xf numFmtId="167" fontId="37" fillId="28" borderId="47" xfId="36" applyNumberFormat="1" applyFont="1" applyFill="1" applyBorder="1"/>
    <xf numFmtId="167" fontId="30" fillId="0" borderId="116" xfId="36" applyNumberFormat="1" applyFont="1" applyFill="1" applyBorder="1"/>
    <xf numFmtId="167" fontId="30" fillId="0" borderId="48" xfId="36" applyNumberFormat="1" applyFont="1" applyFill="1" applyBorder="1"/>
    <xf numFmtId="167" fontId="35" fillId="28" borderId="48" xfId="36" applyNumberFormat="1" applyFont="1" applyFill="1" applyBorder="1"/>
    <xf numFmtId="167" fontId="35" fillId="0" borderId="128" xfId="36" applyNumberFormat="1" applyFont="1" applyFill="1" applyBorder="1"/>
    <xf numFmtId="167" fontId="35" fillId="0" borderId="84" xfId="36" applyNumberFormat="1" applyFont="1" applyFill="1" applyBorder="1"/>
    <xf numFmtId="167" fontId="30" fillId="0" borderId="130" xfId="36" applyNumberFormat="1" applyFont="1" applyFill="1" applyBorder="1"/>
    <xf numFmtId="167" fontId="30" fillId="0" borderId="138" xfId="36" applyNumberFormat="1" applyFont="1" applyFill="1" applyBorder="1"/>
    <xf numFmtId="167" fontId="2" fillId="0" borderId="103" xfId="29" applyNumberFormat="1" applyFont="1" applyBorder="1"/>
    <xf numFmtId="0" fontId="43" fillId="0" borderId="99" xfId="61" applyFont="1" applyBorder="1" applyAlignment="1">
      <alignment horizontal="center"/>
    </xf>
    <xf numFmtId="0" fontId="40" fillId="24" borderId="133" xfId="61" applyFont="1" applyFill="1" applyBorder="1"/>
    <xf numFmtId="0" fontId="75" fillId="24" borderId="133" xfId="61" applyFont="1" applyFill="1" applyBorder="1" applyAlignment="1">
      <alignment horizontal="center"/>
    </xf>
    <xf numFmtId="167" fontId="40" fillId="24" borderId="133" xfId="38" applyNumberFormat="1" applyFont="1" applyFill="1" applyBorder="1" applyAlignment="1">
      <alignment horizontal="right"/>
    </xf>
    <xf numFmtId="167" fontId="40" fillId="24" borderId="133" xfId="38" applyNumberFormat="1" applyFont="1" applyFill="1" applyBorder="1"/>
    <xf numFmtId="167" fontId="40" fillId="24" borderId="107" xfId="38" applyNumberFormat="1" applyFont="1" applyFill="1" applyBorder="1" applyAlignment="1"/>
    <xf numFmtId="167" fontId="43" fillId="0" borderId="25" xfId="38" applyNumberFormat="1" applyFont="1" applyFill="1" applyBorder="1" applyAlignment="1"/>
    <xf numFmtId="0" fontId="105" fillId="0" borderId="103" xfId="57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0" xfId="57" applyFont="1" applyBorder="1" applyAlignment="1">
      <alignment horizontal="right" wrapText="1"/>
    </xf>
    <xf numFmtId="0" fontId="105" fillId="0" borderId="110" xfId="57" applyFont="1" applyFill="1" applyBorder="1" applyAlignment="1">
      <alignment horizontal="right" vertical="center" wrapText="1"/>
    </xf>
    <xf numFmtId="0" fontId="105" fillId="0" borderId="125" xfId="57" applyFont="1" applyFill="1" applyBorder="1" applyAlignment="1">
      <alignment horizontal="right" wrapText="1"/>
    </xf>
    <xf numFmtId="0" fontId="7" fillId="0" borderId="103" xfId="64" applyFont="1" applyFill="1" applyBorder="1" applyAlignment="1">
      <alignment horizontal="right" wrapText="1"/>
    </xf>
    <xf numFmtId="0" fontId="7" fillId="0" borderId="103" xfId="57" applyFont="1" applyFill="1" applyBorder="1" applyAlignment="1">
      <alignment horizontal="right" wrapText="1"/>
    </xf>
    <xf numFmtId="166" fontId="105" fillId="0" borderId="103" xfId="28" applyNumberFormat="1" applyFont="1" applyFill="1" applyBorder="1" applyAlignment="1">
      <alignment horizontal="right"/>
    </xf>
    <xf numFmtId="0" fontId="7" fillId="0" borderId="103" xfId="57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18" xfId="57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7" fillId="0" borderId="103" xfId="57" applyNumberFormat="1" applyFont="1" applyFill="1" applyBorder="1" applyAlignment="1">
      <alignment horizontal="right"/>
    </xf>
    <xf numFmtId="0" fontId="2" fillId="0" borderId="133" xfId="0" applyFont="1" applyBorder="1"/>
    <xf numFmtId="3" fontId="121" fillId="0" borderId="0" xfId="53" applyNumberFormat="1" applyFont="1" applyAlignment="1">
      <alignment horizontal="right" vertical="top" wrapText="1"/>
    </xf>
    <xf numFmtId="166" fontId="35" fillId="0" borderId="137" xfId="28" applyNumberFormat="1" applyFont="1" applyFill="1" applyBorder="1"/>
    <xf numFmtId="166" fontId="35" fillId="0" borderId="106" xfId="28" applyNumberFormat="1" applyFont="1" applyFill="1" applyBorder="1"/>
    <xf numFmtId="166" fontId="35" fillId="0" borderId="190" xfId="28" applyNumberFormat="1" applyFont="1" applyFill="1" applyBorder="1"/>
    <xf numFmtId="166" fontId="35" fillId="0" borderId="84" xfId="28" applyNumberFormat="1" applyFont="1" applyFill="1" applyBorder="1"/>
    <xf numFmtId="166" fontId="30" fillId="0" borderId="21" xfId="28" applyNumberFormat="1" applyFont="1" applyFill="1" applyBorder="1" applyAlignment="1">
      <alignment horizontal="right"/>
    </xf>
    <xf numFmtId="166" fontId="37" fillId="0" borderId="25" xfId="28" applyNumberFormat="1" applyFont="1" applyFill="1" applyBorder="1" applyAlignment="1">
      <alignment horizontal="right"/>
    </xf>
    <xf numFmtId="166" fontId="37" fillId="0" borderId="29" xfId="28" applyNumberFormat="1" applyFont="1" applyFill="1" applyBorder="1" applyAlignment="1">
      <alignment horizontal="center"/>
    </xf>
    <xf numFmtId="166" fontId="35" fillId="0" borderId="25" xfId="28" applyNumberFormat="1" applyFont="1" applyFill="1" applyBorder="1" applyAlignment="1">
      <alignment horizontal="right"/>
    </xf>
    <xf numFmtId="166" fontId="35" fillId="0" borderId="29" xfId="28" applyNumberFormat="1" applyFont="1" applyFill="1" applyBorder="1" applyAlignment="1">
      <alignment horizontal="center"/>
    </xf>
    <xf numFmtId="166" fontId="35" fillId="0" borderId="94" xfId="28" applyNumberFormat="1" applyFont="1" applyFill="1" applyBorder="1" applyAlignment="1">
      <alignment horizontal="right"/>
    </xf>
    <xf numFmtId="166" fontId="35" fillId="0" borderId="183" xfId="28" applyNumberFormat="1" applyFont="1" applyFill="1" applyBorder="1" applyAlignment="1">
      <alignment horizontal="center"/>
    </xf>
    <xf numFmtId="166" fontId="35" fillId="0" borderId="29" xfId="28" applyNumberFormat="1" applyFont="1" applyFill="1" applyBorder="1" applyAlignment="1">
      <alignment horizontal="right"/>
    </xf>
    <xf numFmtId="166" fontId="30" fillId="0" borderId="25" xfId="28" applyNumberFormat="1" applyFont="1" applyFill="1" applyBorder="1" applyAlignment="1">
      <alignment horizontal="right"/>
    </xf>
    <xf numFmtId="166" fontId="35" fillId="0" borderId="120" xfId="28" applyNumberFormat="1" applyFont="1" applyFill="1" applyBorder="1" applyAlignment="1">
      <alignment horizontal="right"/>
    </xf>
    <xf numFmtId="166" fontId="35" fillId="0" borderId="190" xfId="28" applyNumberFormat="1" applyFont="1" applyFill="1" applyBorder="1" applyAlignment="1">
      <alignment horizontal="center"/>
    </xf>
    <xf numFmtId="166" fontId="30" fillId="0" borderId="132" xfId="28" applyNumberFormat="1" applyFont="1" applyFill="1" applyBorder="1" applyAlignment="1">
      <alignment horizontal="right"/>
    </xf>
    <xf numFmtId="166" fontId="30" fillId="0" borderId="184" xfId="28" applyNumberFormat="1" applyFont="1" applyFill="1" applyBorder="1"/>
    <xf numFmtId="166" fontId="32" fillId="0" borderId="0" xfId="28" applyNumberFormat="1" applyFont="1" applyAlignment="1">
      <alignment horizontal="center" vertical="center" wrapText="1"/>
    </xf>
    <xf numFmtId="166" fontId="32" fillId="0" borderId="0" xfId="28" applyNumberFormat="1" applyFont="1" applyFill="1" applyAlignment="1">
      <alignment horizontal="justify" vertical="top" wrapText="1"/>
    </xf>
    <xf numFmtId="166" fontId="50" fillId="0" borderId="97" xfId="28" applyNumberFormat="1" applyFont="1" applyFill="1" applyBorder="1" applyAlignment="1">
      <alignment horizontal="right" wrapText="1"/>
    </xf>
    <xf numFmtId="166" fontId="32" fillId="0" borderId="0" xfId="28" applyNumberFormat="1" applyFont="1" applyAlignment="1">
      <alignment horizontal="right"/>
    </xf>
    <xf numFmtId="3" fontId="32" fillId="0" borderId="0" xfId="53" applyNumberFormat="1" applyFont="1" applyAlignment="1">
      <alignment horizontal="right"/>
    </xf>
    <xf numFmtId="166" fontId="32" fillId="0" borderId="0" xfId="28" applyNumberFormat="1" applyFont="1" applyAlignment="1">
      <alignment horizontal="right" vertical="center" wrapText="1"/>
    </xf>
    <xf numFmtId="166" fontId="43" fillId="0" borderId="0" xfId="28" applyNumberFormat="1" applyFont="1" applyBorder="1" applyAlignment="1">
      <alignment horizontal="right" wrapText="1"/>
    </xf>
    <xf numFmtId="166" fontId="50" fillId="0" borderId="0" xfId="28" applyNumberFormat="1" applyFont="1" applyBorder="1" applyAlignment="1">
      <alignment horizontal="right" vertical="top" wrapText="1"/>
    </xf>
    <xf numFmtId="0" fontId="44" fillId="0" borderId="0" xfId="53" applyFont="1" applyBorder="1" applyAlignment="1">
      <alignment horizontal="right" vertical="top" wrapText="1"/>
    </xf>
    <xf numFmtId="166" fontId="43" fillId="0" borderId="0" xfId="28" applyNumberFormat="1" applyFont="1" applyBorder="1" applyAlignment="1">
      <alignment horizontal="center" vertical="top" wrapText="1"/>
    </xf>
    <xf numFmtId="166" fontId="41" fillId="0" borderId="0" xfId="28" applyNumberFormat="1" applyFont="1" applyBorder="1" applyAlignment="1">
      <alignment horizontal="right" vertical="top" wrapText="1"/>
    </xf>
    <xf numFmtId="166" fontId="41" fillId="0" borderId="0" xfId="28" applyNumberFormat="1" applyFont="1" applyBorder="1" applyAlignment="1">
      <alignment horizontal="right" wrapText="1"/>
    </xf>
    <xf numFmtId="9" fontId="32" fillId="0" borderId="0" xfId="28" applyNumberFormat="1" applyFont="1" applyBorder="1"/>
    <xf numFmtId="4" fontId="32" fillId="0" borderId="0" xfId="53" applyNumberFormat="1" applyFont="1"/>
    <xf numFmtId="0" fontId="57" fillId="0" borderId="46" xfId="53" applyFont="1" applyBorder="1" applyAlignment="1">
      <alignment horizontal="right" vertical="top" wrapText="1"/>
    </xf>
    <xf numFmtId="0" fontId="32" fillId="0" borderId="46" xfId="53" applyFont="1" applyBorder="1" applyAlignment="1">
      <alignment horizontal="justify" vertical="top" wrapText="1"/>
    </xf>
    <xf numFmtId="0" fontId="43" fillId="0" borderId="0" xfId="53" applyFont="1" applyAlignment="1">
      <alignment vertical="top" wrapText="1"/>
    </xf>
    <xf numFmtId="166" fontId="43" fillId="0" borderId="0" xfId="28" applyNumberFormat="1" applyFont="1" applyAlignment="1">
      <alignment vertical="top" wrapText="1"/>
    </xf>
    <xf numFmtId="0" fontId="32" fillId="0" borderId="0" xfId="53" applyFont="1" applyAlignment="1">
      <alignment vertical="top" wrapText="1"/>
    </xf>
    <xf numFmtId="3" fontId="32" fillId="0" borderId="0" xfId="53" applyNumberFormat="1" applyFont="1" applyAlignment="1">
      <alignment vertical="top" wrapText="1"/>
    </xf>
    <xf numFmtId="166" fontId="32" fillId="0" borderId="0" xfId="28" applyNumberFormat="1" applyFont="1" applyBorder="1" applyAlignment="1">
      <alignment horizontal="justify" vertical="top" wrapText="1"/>
    </xf>
    <xf numFmtId="0" fontId="5" fillId="0" borderId="11" xfId="57" applyFont="1" applyBorder="1" applyAlignment="1">
      <alignment horizontal="left" wrapText="1"/>
    </xf>
    <xf numFmtId="0" fontId="2" fillId="0" borderId="11" xfId="57" applyFont="1" applyBorder="1" applyAlignment="1">
      <alignment horizontal="left" wrapText="1"/>
    </xf>
    <xf numFmtId="2" fontId="104" fillId="0" borderId="0" xfId="57" applyNumberFormat="1" applyFont="1" applyBorder="1" applyAlignment="1">
      <alignment horizontal="center" wrapText="1"/>
    </xf>
    <xf numFmtId="0" fontId="5" fillId="0" borderId="191" xfId="57" applyFont="1" applyBorder="1" applyAlignment="1">
      <alignment horizontal="left" wrapText="1"/>
    </xf>
    <xf numFmtId="0" fontId="2" fillId="0" borderId="107" xfId="57" applyFont="1" applyBorder="1" applyAlignment="1">
      <alignment horizontal="left" wrapText="1"/>
    </xf>
    <xf numFmtId="0" fontId="2" fillId="0" borderId="46" xfId="57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10" xfId="57" applyFont="1" applyBorder="1" applyAlignment="1">
      <alignment horizontal="left" wrapText="1"/>
    </xf>
    <xf numFmtId="0" fontId="5" fillId="0" borderId="107" xfId="57" applyFont="1" applyBorder="1" applyAlignment="1">
      <alignment horizontal="left" wrapText="1"/>
    </xf>
    <xf numFmtId="0" fontId="5" fillId="0" borderId="182" xfId="57" applyFont="1" applyBorder="1" applyAlignment="1">
      <alignment horizontal="left" wrapText="1"/>
    </xf>
    <xf numFmtId="0" fontId="105" fillId="0" borderId="85" xfId="57" applyFont="1" applyBorder="1" applyAlignment="1">
      <alignment horizontal="center" vertical="center" wrapText="1"/>
    </xf>
    <xf numFmtId="166" fontId="5" fillId="0" borderId="192" xfId="28" applyNumberFormat="1" applyFont="1" applyBorder="1" applyAlignment="1">
      <alignment horizontal="left"/>
    </xf>
    <xf numFmtId="166" fontId="5" fillId="0" borderId="193" xfId="28" applyNumberFormat="1" applyFont="1" applyBorder="1" applyAlignment="1">
      <alignment horizontal="left"/>
    </xf>
    <xf numFmtId="166" fontId="5" fillId="0" borderId="194" xfId="28" applyNumberFormat="1" applyFont="1" applyBorder="1" applyAlignment="1">
      <alignment horizontal="left"/>
    </xf>
    <xf numFmtId="0" fontId="105" fillId="0" borderId="130" xfId="57" applyFont="1" applyFill="1" applyBorder="1" applyAlignment="1">
      <alignment horizontal="right" vertical="center" wrapText="1"/>
    </xf>
    <xf numFmtId="0" fontId="105" fillId="0" borderId="138" xfId="57" applyFont="1" applyFill="1" applyBorder="1" applyAlignment="1">
      <alignment horizontal="center" vertical="center" wrapText="1"/>
    </xf>
    <xf numFmtId="166" fontId="5" fillId="0" borderId="139" xfId="28" applyNumberFormat="1" applyFont="1" applyBorder="1" applyAlignment="1">
      <alignment horizontal="right"/>
    </xf>
    <xf numFmtId="166" fontId="5" fillId="0" borderId="135" xfId="28" applyNumberFormat="1" applyFont="1" applyBorder="1" applyAlignment="1">
      <alignment horizontal="left"/>
    </xf>
    <xf numFmtId="0" fontId="2" fillId="0" borderId="134" xfId="57" applyFont="1" applyBorder="1" applyAlignment="1">
      <alignment horizontal="right" wrapText="1"/>
    </xf>
    <xf numFmtId="166" fontId="0" fillId="0" borderId="136" xfId="28" applyNumberFormat="1" applyFont="1" applyFill="1" applyBorder="1" applyAlignment="1">
      <alignment horizontal="left"/>
    </xf>
    <xf numFmtId="166" fontId="5" fillId="0" borderId="134" xfId="28" applyNumberFormat="1" applyFont="1" applyBorder="1" applyAlignment="1">
      <alignment horizontal="right" wrapText="1"/>
    </xf>
    <xf numFmtId="166" fontId="5" fillId="0" borderId="136" xfId="28" applyNumberFormat="1" applyFont="1" applyFill="1" applyBorder="1" applyAlignment="1">
      <alignment horizontal="left"/>
    </xf>
    <xf numFmtId="0" fontId="2" fillId="0" borderId="195" xfId="57" applyFont="1" applyBorder="1" applyAlignment="1">
      <alignment horizontal="right" wrapText="1"/>
    </xf>
    <xf numFmtId="0" fontId="5" fillId="0" borderId="134" xfId="0" applyFont="1" applyBorder="1" applyAlignment="1">
      <alignment horizontal="right"/>
    </xf>
    <xf numFmtId="0" fontId="2" fillId="0" borderId="134" xfId="0" applyFont="1" applyBorder="1" applyAlignment="1">
      <alignment horizontal="right"/>
    </xf>
    <xf numFmtId="0" fontId="5" fillId="0" borderId="134" xfId="57" applyFont="1" applyBorder="1" applyAlignment="1">
      <alignment horizontal="right" wrapText="1"/>
    </xf>
    <xf numFmtId="0" fontId="5" fillId="0" borderId="195" xfId="57" applyFont="1" applyBorder="1" applyAlignment="1">
      <alignment horizontal="right" wrapText="1"/>
    </xf>
    <xf numFmtId="166" fontId="5" fillId="0" borderId="145" xfId="28" applyNumberFormat="1" applyFont="1" applyFill="1" applyBorder="1" applyAlignment="1">
      <alignment horizontal="right"/>
    </xf>
    <xf numFmtId="166" fontId="5" fillId="0" borderId="156" xfId="28" applyNumberFormat="1" applyFont="1" applyFill="1" applyBorder="1" applyAlignment="1">
      <alignment horizontal="left"/>
    </xf>
    <xf numFmtId="166" fontId="35" fillId="28" borderId="25" xfId="28" applyNumberFormat="1" applyFont="1" applyFill="1" applyBorder="1"/>
    <xf numFmtId="166" fontId="35" fillId="28" borderId="94" xfId="28" applyNumberFormat="1" applyFont="1" applyFill="1" applyBorder="1"/>
    <xf numFmtId="3" fontId="35" fillId="28" borderId="25" xfId="0" applyNumberFormat="1" applyFont="1" applyFill="1" applyBorder="1"/>
    <xf numFmtId="166" fontId="43" fillId="0" borderId="0" xfId="28" applyNumberFormat="1" applyFont="1" applyAlignment="1">
      <alignment horizontal="left" vertical="top" wrapText="1" indent="2"/>
    </xf>
    <xf numFmtId="0" fontId="125" fillId="48" borderId="0" xfId="53" applyFont="1" applyFill="1"/>
    <xf numFmtId="3" fontId="43" fillId="0" borderId="0" xfId="53" applyNumberFormat="1" applyFont="1" applyFill="1" applyAlignment="1">
      <alignment horizontal="right"/>
    </xf>
    <xf numFmtId="3" fontId="43" fillId="0" borderId="0" xfId="53" applyNumberFormat="1" applyFont="1" applyBorder="1" applyAlignment="1">
      <alignment horizontal="right" wrapText="1"/>
    </xf>
    <xf numFmtId="166" fontId="43" fillId="0" borderId="0" xfId="28" applyNumberFormat="1" applyFont="1" applyFill="1" applyAlignment="1">
      <alignment horizontal="left" vertical="top" wrapText="1"/>
    </xf>
    <xf numFmtId="166" fontId="42" fillId="0" borderId="0" xfId="28" applyNumberFormat="1" applyFont="1" applyFill="1" applyAlignment="1">
      <alignment vertical="top" wrapText="1"/>
    </xf>
    <xf numFmtId="0" fontId="32" fillId="0" borderId="181" xfId="0" applyFont="1" applyFill="1" applyBorder="1"/>
    <xf numFmtId="0" fontId="29" fillId="0" borderId="98" xfId="0" applyFont="1" applyFill="1" applyBorder="1" applyAlignment="1">
      <alignment horizontal="center"/>
    </xf>
    <xf numFmtId="0" fontId="29" fillId="0" borderId="105" xfId="0" applyFont="1" applyFill="1" applyBorder="1" applyAlignment="1">
      <alignment horizontal="center"/>
    </xf>
    <xf numFmtId="0" fontId="29" fillId="0" borderId="99" xfId="0" applyFont="1" applyFill="1" applyBorder="1"/>
    <xf numFmtId="0" fontId="29" fillId="0" borderId="99" xfId="0" applyFont="1" applyFill="1" applyBorder="1" applyAlignment="1">
      <alignment horizontal="center" vertical="center"/>
    </xf>
    <xf numFmtId="0" fontId="53" fillId="0" borderId="99" xfId="0" applyFont="1" applyFill="1" applyBorder="1" applyAlignment="1">
      <alignment horizontal="center" vertical="center"/>
    </xf>
    <xf numFmtId="0" fontId="29" fillId="0" borderId="99" xfId="0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67" fontId="29" fillId="0" borderId="210" xfId="36" applyNumberFormat="1" applyFont="1" applyFill="1" applyBorder="1"/>
    <xf numFmtId="167" fontId="29" fillId="0" borderId="211" xfId="36" applyNumberFormat="1" applyFont="1" applyFill="1" applyBorder="1"/>
    <xf numFmtId="167" fontId="29" fillId="0" borderId="212" xfId="36" applyNumberFormat="1" applyFont="1" applyFill="1" applyBorder="1"/>
    <xf numFmtId="0" fontId="29" fillId="0" borderId="99" xfId="0" applyFont="1" applyFill="1" applyBorder="1" applyAlignment="1">
      <alignment horizontal="center"/>
    </xf>
    <xf numFmtId="0" fontId="29" fillId="0" borderId="141" xfId="0" applyFont="1" applyFill="1" applyBorder="1" applyAlignment="1">
      <alignment horizontal="center" vertical="center"/>
    </xf>
    <xf numFmtId="0" fontId="29" fillId="0" borderId="137" xfId="0" applyFont="1" applyFill="1" applyBorder="1" applyAlignment="1">
      <alignment horizontal="center" vertical="center"/>
    </xf>
    <xf numFmtId="0" fontId="32" fillId="0" borderId="114" xfId="0" applyFont="1" applyFill="1" applyBorder="1"/>
    <xf numFmtId="0" fontId="32" fillId="0" borderId="23" xfId="0" applyFont="1" applyFill="1" applyBorder="1"/>
    <xf numFmtId="167" fontId="32" fillId="0" borderId="171" xfId="36" applyNumberFormat="1" applyFont="1" applyFill="1" applyBorder="1"/>
    <xf numFmtId="167" fontId="32" fillId="0" borderId="213" xfId="36" applyNumberFormat="1" applyFont="1" applyFill="1" applyBorder="1"/>
    <xf numFmtId="167" fontId="32" fillId="0" borderId="172" xfId="36" applyNumberFormat="1" applyFont="1" applyFill="1" applyBorder="1"/>
    <xf numFmtId="0" fontId="32" fillId="0" borderId="98" xfId="0" applyFont="1" applyFill="1" applyBorder="1"/>
    <xf numFmtId="0" fontId="32" fillId="0" borderId="99" xfId="0" applyFont="1" applyFill="1" applyBorder="1"/>
    <xf numFmtId="0" fontId="52" fillId="0" borderId="99" xfId="0" applyFont="1" applyFill="1" applyBorder="1"/>
    <xf numFmtId="0" fontId="71" fillId="0" borderId="106" xfId="0" applyFont="1" applyFill="1" applyBorder="1"/>
    <xf numFmtId="0" fontId="71" fillId="0" borderId="141" xfId="0" applyFont="1" applyFill="1" applyBorder="1"/>
    <xf numFmtId="0" fontId="71" fillId="0" borderId="137" xfId="0" applyFont="1" applyFill="1" applyBorder="1"/>
    <xf numFmtId="0" fontId="29" fillId="0" borderId="116" xfId="0" applyFont="1" applyFill="1" applyBorder="1"/>
    <xf numFmtId="0" fontId="53" fillId="0" borderId="25" xfId="0" applyFont="1" applyFill="1" applyBorder="1"/>
    <xf numFmtId="166" fontId="32" fillId="0" borderId="95" xfId="28" applyNumberFormat="1" applyFont="1" applyFill="1" applyBorder="1"/>
    <xf numFmtId="166" fontId="32" fillId="0" borderId="48" xfId="28" applyNumberFormat="1" applyFont="1" applyFill="1" applyBorder="1"/>
    <xf numFmtId="0" fontId="32" fillId="0" borderId="25" xfId="0" applyFont="1" applyFill="1" applyBorder="1" applyAlignment="1">
      <alignment horizontal="right"/>
    </xf>
    <xf numFmtId="0" fontId="71" fillId="0" borderId="29" xfId="0" applyFont="1" applyFill="1" applyBorder="1"/>
    <xf numFmtId="0" fontId="71" fillId="0" borderId="95" xfId="0" applyFont="1" applyFill="1" applyBorder="1"/>
    <xf numFmtId="0" fontId="71" fillId="0" borderId="48" xfId="0" applyFont="1" applyFill="1" applyBorder="1"/>
    <xf numFmtId="0" fontId="29" fillId="0" borderId="25" xfId="0" applyFont="1" applyFill="1" applyBorder="1" applyAlignment="1">
      <alignment horizontal="right"/>
    </xf>
    <xf numFmtId="166" fontId="32" fillId="0" borderId="25" xfId="28" applyNumberFormat="1" applyFont="1" applyFill="1" applyBorder="1" applyAlignment="1">
      <alignment horizontal="right"/>
    </xf>
    <xf numFmtId="166" fontId="32" fillId="0" borderId="29" xfId="28" applyNumberFormat="1" applyFont="1" applyFill="1" applyBorder="1" applyAlignment="1">
      <alignment horizontal="right"/>
    </xf>
    <xf numFmtId="167" fontId="32" fillId="0" borderId="95" xfId="36" applyNumberFormat="1" applyFont="1" applyFill="1" applyBorder="1"/>
    <xf numFmtId="167" fontId="32" fillId="0" borderId="48" xfId="36" applyNumberFormat="1" applyFont="1" applyFill="1" applyBorder="1"/>
    <xf numFmtId="0" fontId="54" fillId="0" borderId="25" xfId="0" applyFont="1" applyFill="1" applyBorder="1" applyAlignment="1">
      <alignment wrapText="1"/>
    </xf>
    <xf numFmtId="0" fontId="29" fillId="0" borderId="116" xfId="0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0" fontId="29" fillId="0" borderId="28" xfId="0" applyFont="1" applyFill="1" applyBorder="1"/>
    <xf numFmtId="0" fontId="29" fillId="0" borderId="28" xfId="0" applyFont="1" applyFill="1" applyBorder="1" applyAlignment="1">
      <alignment horizontal="center"/>
    </xf>
    <xf numFmtId="167" fontId="29" fillId="0" borderId="25" xfId="36" applyNumberFormat="1" applyFont="1" applyFill="1" applyBorder="1"/>
    <xf numFmtId="167" fontId="53" fillId="0" borderId="25" xfId="36" applyNumberFormat="1" applyFont="1" applyFill="1" applyBorder="1"/>
    <xf numFmtId="167" fontId="69" fillId="0" borderId="25" xfId="36" applyNumberFormat="1" applyFont="1" applyFill="1" applyBorder="1" applyAlignment="1">
      <alignment horizontal="center"/>
    </xf>
    <xf numFmtId="167" fontId="69" fillId="0" borderId="25" xfId="36" applyNumberFormat="1" applyFont="1" applyFill="1" applyBorder="1" applyAlignment="1">
      <alignment horizontal="right"/>
    </xf>
    <xf numFmtId="167" fontId="69" fillId="0" borderId="29" xfId="36" applyNumberFormat="1" applyFont="1" applyFill="1" applyBorder="1" applyAlignment="1">
      <alignment horizontal="center"/>
    </xf>
    <xf numFmtId="0" fontId="32" fillId="0" borderId="96" xfId="0" applyFont="1" applyFill="1" applyBorder="1" applyAlignment="1">
      <alignment horizontal="center"/>
    </xf>
    <xf numFmtId="166" fontId="71" fillId="0" borderId="29" xfId="28" applyNumberFormat="1" applyFont="1" applyFill="1" applyBorder="1"/>
    <xf numFmtId="166" fontId="71" fillId="0" borderId="95" xfId="28" applyNumberFormat="1" applyFont="1" applyFill="1" applyBorder="1"/>
    <xf numFmtId="166" fontId="71" fillId="0" borderId="48" xfId="28" applyNumberFormat="1" applyFont="1" applyFill="1" applyBorder="1"/>
    <xf numFmtId="3" fontId="32" fillId="0" borderId="25" xfId="0" applyNumberFormat="1" applyFont="1" applyFill="1" applyBorder="1" applyAlignment="1">
      <alignment horizontal="right"/>
    </xf>
    <xf numFmtId="3" fontId="32" fillId="0" borderId="29" xfId="0" applyNumberFormat="1" applyFont="1" applyFill="1" applyBorder="1" applyAlignment="1">
      <alignment horizontal="right"/>
    </xf>
    <xf numFmtId="0" fontId="69" fillId="0" borderId="183" xfId="0" applyFont="1" applyFill="1" applyBorder="1"/>
    <xf numFmtId="0" fontId="69" fillId="0" borderId="143" xfId="0" applyFont="1" applyFill="1" applyBorder="1"/>
    <xf numFmtId="0" fontId="69" fillId="0" borderId="79" xfId="0" applyFont="1" applyFill="1" applyBorder="1"/>
    <xf numFmtId="0" fontId="52" fillId="0" borderId="21" xfId="0" applyFont="1" applyFill="1" applyBorder="1"/>
    <xf numFmtId="0" fontId="71" fillId="0" borderId="20" xfId="0" applyFont="1" applyFill="1" applyBorder="1"/>
    <xf numFmtId="3" fontId="32" fillId="0" borderId="142" xfId="0" applyNumberFormat="1" applyFont="1" applyFill="1" applyBorder="1"/>
    <xf numFmtId="3" fontId="32" fillId="0" borderId="47" xfId="0" applyNumberFormat="1" applyFont="1" applyFill="1" applyBorder="1"/>
    <xf numFmtId="0" fontId="69" fillId="0" borderId="10" xfId="0" applyFont="1" applyFill="1" applyBorder="1" applyAlignment="1">
      <alignment horizontal="center"/>
    </xf>
    <xf numFmtId="166" fontId="32" fillId="0" borderId="134" xfId="28" applyNumberFormat="1" applyFont="1" applyFill="1" applyBorder="1"/>
    <xf numFmtId="166" fontId="32" fillId="0" borderId="136" xfId="28" applyNumberFormat="1" applyFont="1" applyFill="1" applyBorder="1"/>
    <xf numFmtId="0" fontId="54" fillId="0" borderId="103" xfId="0" applyFont="1" applyFill="1" applyBorder="1"/>
    <xf numFmtId="167" fontId="29" fillId="0" borderId="136" xfId="36" applyNumberFormat="1" applyFont="1" applyFill="1" applyBorder="1"/>
    <xf numFmtId="167" fontId="32" fillId="0" borderId="136" xfId="36" applyNumberFormat="1" applyFont="1" applyFill="1" applyBorder="1"/>
    <xf numFmtId="0" fontId="52" fillId="0" borderId="94" xfId="0" applyFont="1" applyFill="1" applyBorder="1" applyAlignment="1">
      <alignment wrapText="1"/>
    </xf>
    <xf numFmtId="0" fontId="71" fillId="0" borderId="183" xfId="0" applyFont="1" applyFill="1" applyBorder="1"/>
    <xf numFmtId="0" fontId="71" fillId="0" borderId="143" xfId="0" applyFont="1" applyFill="1" applyBorder="1"/>
    <xf numFmtId="0" fontId="71" fillId="0" borderId="79" xfId="0" applyFont="1" applyFill="1" applyBorder="1"/>
    <xf numFmtId="0" fontId="71" fillId="0" borderId="142" xfId="0" applyFont="1" applyFill="1" applyBorder="1"/>
    <xf numFmtId="0" fontId="71" fillId="0" borderId="47" xfId="0" applyFont="1" applyFill="1" applyBorder="1"/>
    <xf numFmtId="0" fontId="69" fillId="0" borderId="10" xfId="0" applyFont="1" applyFill="1" applyBorder="1"/>
    <xf numFmtId="0" fontId="29" fillId="0" borderId="115" xfId="0" applyFont="1" applyFill="1" applyBorder="1"/>
    <xf numFmtId="0" fontId="32" fillId="0" borderId="21" xfId="0" applyFont="1" applyFill="1" applyBorder="1" applyAlignment="1">
      <alignment horizontal="right"/>
    </xf>
    <xf numFmtId="0" fontId="32" fillId="0" borderId="94" xfId="0" applyFont="1" applyFill="1" applyBorder="1" applyAlignment="1">
      <alignment horizontal="right"/>
    </xf>
    <xf numFmtId="0" fontId="29" fillId="0" borderId="21" xfId="0" applyFont="1" applyFill="1" applyBorder="1" applyAlignment="1">
      <alignment horizontal="right"/>
    </xf>
    <xf numFmtId="0" fontId="32" fillId="0" borderId="103" xfId="0" applyFont="1" applyFill="1" applyBorder="1" applyAlignment="1">
      <alignment horizontal="right"/>
    </xf>
    <xf numFmtId="0" fontId="69" fillId="0" borderId="183" xfId="0" applyFont="1" applyFill="1" applyBorder="1" applyAlignment="1">
      <alignment horizontal="center"/>
    </xf>
    <xf numFmtId="166" fontId="32" fillId="0" borderId="143" xfId="28" applyNumberFormat="1" applyFont="1" applyFill="1" applyBorder="1"/>
    <xf numFmtId="166" fontId="32" fillId="0" borderId="79" xfId="28" applyNumberFormat="1" applyFont="1" applyFill="1" applyBorder="1"/>
    <xf numFmtId="0" fontId="71" fillId="0" borderId="10" xfId="0" applyFont="1" applyFill="1" applyBorder="1"/>
    <xf numFmtId="166" fontId="34" fillId="0" borderId="142" xfId="28" applyNumberFormat="1" applyFont="1" applyFill="1" applyBorder="1"/>
    <xf numFmtId="166" fontId="34" fillId="0" borderId="47" xfId="28" applyNumberFormat="1" applyFont="1" applyFill="1" applyBorder="1"/>
    <xf numFmtId="0" fontId="40" fillId="0" borderId="103" xfId="0" applyFont="1" applyFill="1" applyBorder="1"/>
    <xf numFmtId="166" fontId="29" fillId="0" borderId="134" xfId="28" applyNumberFormat="1" applyFont="1" applyFill="1" applyBorder="1"/>
    <xf numFmtId="166" fontId="29" fillId="0" borderId="136" xfId="28" applyNumberFormat="1" applyFont="1" applyFill="1" applyBorder="1"/>
    <xf numFmtId="0" fontId="32" fillId="0" borderId="115" xfId="0" applyFont="1" applyFill="1" applyBorder="1"/>
    <xf numFmtId="0" fontId="69" fillId="0" borderId="20" xfId="0" applyFont="1" applyFill="1" applyBorder="1"/>
    <xf numFmtId="166" fontId="32" fillId="0" borderId="142" xfId="28" applyNumberFormat="1" applyFont="1" applyFill="1" applyBorder="1"/>
    <xf numFmtId="166" fontId="32" fillId="0" borderId="47" xfId="28" applyNumberFormat="1" applyFont="1" applyFill="1" applyBorder="1"/>
    <xf numFmtId="0" fontId="32" fillId="0" borderId="113" xfId="0" applyFont="1" applyFill="1" applyBorder="1"/>
    <xf numFmtId="0" fontId="32" fillId="0" borderId="103" xfId="0" applyFont="1" applyFill="1" applyBorder="1"/>
    <xf numFmtId="0" fontId="32" fillId="0" borderId="143" xfId="0" applyFont="1" applyFill="1" applyBorder="1"/>
    <xf numFmtId="0" fontId="32" fillId="0" borderId="79" xfId="0" applyFont="1" applyFill="1" applyBorder="1"/>
    <xf numFmtId="167" fontId="32" fillId="0" borderId="143" xfId="36" applyNumberFormat="1" applyFont="1" applyFill="1" applyBorder="1"/>
    <xf numFmtId="167" fontId="32" fillId="0" borderId="79" xfId="36" applyNumberFormat="1" applyFont="1" applyFill="1" applyBorder="1"/>
    <xf numFmtId="0" fontId="52" fillId="0" borderId="103" xfId="0" applyFont="1" applyFill="1" applyBorder="1"/>
    <xf numFmtId="0" fontId="69" fillId="0" borderId="94" xfId="0" applyFont="1" applyFill="1" applyBorder="1" applyAlignment="1">
      <alignment horizontal="center"/>
    </xf>
    <xf numFmtId="0" fontId="29" fillId="0" borderId="142" xfId="0" applyFont="1" applyFill="1" applyBorder="1"/>
    <xf numFmtId="0" fontId="29" fillId="0" borderId="27" xfId="0" applyFont="1" applyFill="1" applyBorder="1"/>
    <xf numFmtId="0" fontId="34" fillId="0" borderId="27" xfId="0" applyFont="1" applyFill="1" applyBorder="1"/>
    <xf numFmtId="0" fontId="55" fillId="0" borderId="27" xfId="0" applyFont="1" applyFill="1" applyBorder="1"/>
    <xf numFmtId="0" fontId="70" fillId="0" borderId="27" xfId="0" applyFont="1" applyFill="1" applyBorder="1" applyAlignment="1">
      <alignment horizontal="center"/>
    </xf>
    <xf numFmtId="0" fontId="70" fillId="0" borderId="27" xfId="0" applyFont="1" applyFill="1" applyBorder="1" applyAlignment="1">
      <alignment horizontal="right"/>
    </xf>
    <xf numFmtId="0" fontId="54" fillId="0" borderId="94" xfId="0" applyFont="1" applyFill="1" applyBorder="1" applyAlignment="1">
      <alignment wrapText="1"/>
    </xf>
    <xf numFmtId="0" fontId="53" fillId="0" borderId="94" xfId="0" applyFont="1" applyFill="1" applyBorder="1"/>
    <xf numFmtId="166" fontId="71" fillId="0" borderId="20" xfId="28" applyNumberFormat="1" applyFont="1" applyFill="1" applyBorder="1"/>
    <xf numFmtId="166" fontId="71" fillId="0" borderId="142" xfId="28" applyNumberFormat="1" applyFont="1" applyFill="1" applyBorder="1"/>
    <xf numFmtId="166" fontId="71" fillId="0" borderId="47" xfId="28" applyNumberFormat="1" applyFont="1" applyFill="1" applyBorder="1"/>
    <xf numFmtId="167" fontId="32" fillId="0" borderId="134" xfId="36" applyNumberFormat="1" applyFont="1" applyFill="1" applyBorder="1"/>
    <xf numFmtId="0" fontId="46" fillId="0" borderId="0" xfId="53" applyFont="1" applyAlignment="1">
      <alignment horizontal="center" wrapText="1"/>
    </xf>
    <xf numFmtId="4" fontId="118" fillId="48" borderId="0" xfId="56" applyNumberFormat="1" applyFont="1" applyFill="1" applyAlignment="1">
      <alignment vertical="top"/>
    </xf>
    <xf numFmtId="4" fontId="118" fillId="49" borderId="0" xfId="56" applyNumberFormat="1" applyFont="1" applyFill="1" applyAlignment="1">
      <alignment vertical="top"/>
    </xf>
    <xf numFmtId="3" fontId="32" fillId="0" borderId="96" xfId="0" applyNumberFormat="1" applyFont="1" applyFill="1" applyBorder="1" applyAlignment="1">
      <alignment horizontal="right"/>
    </xf>
    <xf numFmtId="3" fontId="32" fillId="0" borderId="144" xfId="0" applyNumberFormat="1" applyFont="1" applyFill="1" applyBorder="1" applyAlignment="1">
      <alignment horizontal="right"/>
    </xf>
    <xf numFmtId="3" fontId="32" fillId="0" borderId="94" xfId="0" applyNumberFormat="1" applyFont="1" applyFill="1" applyBorder="1" applyAlignment="1">
      <alignment horizontal="right"/>
    </xf>
    <xf numFmtId="3" fontId="121" fillId="0" borderId="29" xfId="0" applyNumberFormat="1" applyFont="1" applyFill="1" applyBorder="1" applyAlignment="1">
      <alignment horizontal="right"/>
    </xf>
    <xf numFmtId="3" fontId="121" fillId="0" borderId="25" xfId="0" applyNumberFormat="1" applyFont="1" applyFill="1" applyBorder="1" applyAlignment="1">
      <alignment horizontal="right"/>
    </xf>
    <xf numFmtId="167" fontId="127" fillId="0" borderId="0" xfId="77" applyNumberFormat="1" applyFont="1"/>
    <xf numFmtId="167" fontId="126" fillId="0" borderId="0" xfId="77" applyNumberFormat="1" applyFont="1"/>
    <xf numFmtId="167" fontId="126" fillId="0" borderId="0" xfId="77" applyNumberFormat="1" applyFont="1" applyFill="1" applyBorder="1"/>
    <xf numFmtId="0" fontId="1" fillId="0" borderId="0" xfId="78" applyFill="1" applyBorder="1"/>
    <xf numFmtId="167" fontId="126" fillId="0" borderId="0" xfId="77" applyNumberFormat="1" applyFont="1" applyFill="1"/>
    <xf numFmtId="0" fontId="1" fillId="0" borderId="0" xfId="78"/>
    <xf numFmtId="167" fontId="0" fillId="0" borderId="0" xfId="77" applyNumberFormat="1" applyFont="1"/>
    <xf numFmtId="167" fontId="0" fillId="0" borderId="0" xfId="77" applyNumberFormat="1" applyFont="1" applyFill="1" applyBorder="1"/>
    <xf numFmtId="167" fontId="128" fillId="0" borderId="0" xfId="77" applyNumberFormat="1" applyFont="1" applyFill="1"/>
    <xf numFmtId="0" fontId="128" fillId="0" borderId="0" xfId="78" applyFont="1" applyFill="1" applyBorder="1"/>
    <xf numFmtId="0" fontId="128" fillId="0" borderId="0" xfId="78" applyFont="1"/>
    <xf numFmtId="0" fontId="128" fillId="0" borderId="0" xfId="78" applyFont="1" applyFill="1"/>
    <xf numFmtId="167" fontId="128" fillId="0" borderId="0" xfId="77" applyNumberFormat="1" applyFont="1" applyFill="1" applyBorder="1"/>
    <xf numFmtId="0" fontId="126" fillId="0" borderId="0" xfId="53" applyFont="1" applyFill="1"/>
    <xf numFmtId="0" fontId="126" fillId="43" borderId="0" xfId="53" applyFont="1" applyFill="1"/>
    <xf numFmtId="0" fontId="126" fillId="0" borderId="0" xfId="53" applyFont="1"/>
    <xf numFmtId="0" fontId="2" fillId="0" borderId="0" xfId="53"/>
    <xf numFmtId="0" fontId="2" fillId="0" borderId="0" xfId="53" applyFont="1"/>
    <xf numFmtId="3" fontId="2" fillId="0" borderId="0" xfId="53" applyNumberFormat="1"/>
    <xf numFmtId="3" fontId="2" fillId="0" borderId="0" xfId="53" applyNumberFormat="1" applyFont="1"/>
    <xf numFmtId="0" fontId="128" fillId="52" borderId="0" xfId="78" applyFont="1" applyFill="1"/>
    <xf numFmtId="167" fontId="128" fillId="52" borderId="0" xfId="77" applyNumberFormat="1" applyFont="1" applyFill="1"/>
    <xf numFmtId="0" fontId="1" fillId="53" borderId="0" xfId="78" applyFill="1" applyBorder="1"/>
    <xf numFmtId="167" fontId="2" fillId="53" borderId="0" xfId="77" applyNumberFormat="1" applyFont="1" applyFill="1" applyBorder="1"/>
    <xf numFmtId="0" fontId="129" fillId="0" borderId="0" xfId="78" applyFont="1"/>
    <xf numFmtId="0" fontId="129" fillId="51" borderId="0" xfId="78" applyFont="1" applyFill="1"/>
    <xf numFmtId="167" fontId="129" fillId="51" borderId="0" xfId="77" applyNumberFormat="1" applyFont="1" applyFill="1"/>
    <xf numFmtId="167" fontId="129" fillId="0" borderId="0" xfId="77" applyNumberFormat="1" applyFont="1" applyFill="1" applyBorder="1"/>
    <xf numFmtId="0" fontId="129" fillId="0" borderId="0" xfId="78" applyFont="1" applyFill="1" applyBorder="1"/>
    <xf numFmtId="0" fontId="130" fillId="0" borderId="0" xfId="53" applyFont="1"/>
    <xf numFmtId="0" fontId="130" fillId="0" borderId="0" xfId="53" applyFont="1" applyAlignment="1">
      <alignment horizontal="left"/>
    </xf>
    <xf numFmtId="0" fontId="2" fillId="0" borderId="0" xfId="53" applyAlignment="1">
      <alignment horizontal="left"/>
    </xf>
    <xf numFmtId="167" fontId="0" fillId="0" borderId="0" xfId="33" applyNumberFormat="1" applyFont="1"/>
    <xf numFmtId="0" fontId="131" fillId="50" borderId="0" xfId="53" applyFont="1" applyFill="1"/>
    <xf numFmtId="0" fontId="131" fillId="50" borderId="0" xfId="53" applyFont="1" applyFill="1" applyAlignment="1">
      <alignment horizontal="left"/>
    </xf>
    <xf numFmtId="167" fontId="131" fillId="50" borderId="0" xfId="33" applyNumberFormat="1" applyFont="1" applyFill="1"/>
    <xf numFmtId="0" fontId="2" fillId="54" borderId="0" xfId="53" applyFill="1"/>
    <xf numFmtId="167" fontId="0" fillId="54" borderId="0" xfId="33" applyNumberFormat="1" applyFont="1" applyFill="1" applyAlignment="1">
      <alignment horizontal="left"/>
    </xf>
    <xf numFmtId="0" fontId="2" fillId="54" borderId="0" xfId="53" applyFill="1" applyAlignment="1">
      <alignment horizontal="left"/>
    </xf>
    <xf numFmtId="167" fontId="0" fillId="54" borderId="0" xfId="33" applyNumberFormat="1" applyFont="1" applyFill="1"/>
    <xf numFmtId="0" fontId="131" fillId="55" borderId="0" xfId="53" applyFont="1" applyFill="1"/>
    <xf numFmtId="0" fontId="131" fillId="55" borderId="0" xfId="53" applyFont="1" applyFill="1" applyAlignment="1">
      <alignment horizontal="left"/>
    </xf>
    <xf numFmtId="167" fontId="131" fillId="55" borderId="0" xfId="53" applyNumberFormat="1" applyFont="1" applyFill="1"/>
    <xf numFmtId="167" fontId="2" fillId="0" borderId="0" xfId="53" applyNumberFormat="1"/>
    <xf numFmtId="0" fontId="130" fillId="0" borderId="0" xfId="53" applyFont="1" applyFill="1"/>
    <xf numFmtId="0" fontId="130" fillId="0" borderId="0" xfId="53" applyFont="1" applyFill="1" applyAlignment="1">
      <alignment horizontal="left"/>
    </xf>
    <xf numFmtId="0" fontId="131" fillId="0" borderId="0" xfId="53" applyFont="1" applyFill="1"/>
    <xf numFmtId="173" fontId="0" fillId="54" borderId="0" xfId="33" applyNumberFormat="1" applyFont="1" applyFill="1"/>
    <xf numFmtId="0" fontId="132" fillId="0" borderId="0" xfId="81" applyFont="1"/>
    <xf numFmtId="0" fontId="132" fillId="0" borderId="0" xfId="81" applyFont="1" applyAlignment="1">
      <alignment horizontal="left"/>
    </xf>
    <xf numFmtId="0" fontId="133" fillId="0" borderId="0" xfId="53" applyFont="1"/>
    <xf numFmtId="0" fontId="133" fillId="0" borderId="0" xfId="53" applyFont="1" applyAlignment="1">
      <alignment horizontal="left"/>
    </xf>
    <xf numFmtId="0" fontId="5" fillId="54" borderId="0" xfId="53" applyFont="1" applyFill="1"/>
    <xf numFmtId="0" fontId="5" fillId="54" borderId="0" xfId="53" applyFont="1" applyFill="1" applyAlignment="1">
      <alignment horizontal="left"/>
    </xf>
    <xf numFmtId="167" fontId="5" fillId="54" borderId="0" xfId="53" applyNumberFormat="1" applyFont="1" applyFill="1"/>
    <xf numFmtId="0" fontId="5" fillId="50" borderId="0" xfId="53" applyFont="1" applyFill="1"/>
    <xf numFmtId="0" fontId="5" fillId="50" borderId="0" xfId="53" applyFont="1" applyFill="1" applyAlignment="1">
      <alignment horizontal="left"/>
    </xf>
    <xf numFmtId="167" fontId="5" fillId="50" borderId="0" xfId="53" applyNumberFormat="1" applyFont="1" applyFill="1"/>
    <xf numFmtId="0" fontId="43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/>
    </xf>
    <xf numFmtId="166" fontId="43" fillId="0" borderId="0" xfId="28" applyNumberFormat="1" applyFont="1" applyFill="1" applyAlignment="1">
      <alignment vertical="top" wrapText="1"/>
    </xf>
    <xf numFmtId="166" fontId="29" fillId="0" borderId="130" xfId="28" applyNumberFormat="1" applyFont="1" applyFill="1" applyBorder="1"/>
    <xf numFmtId="166" fontId="29" fillId="0" borderId="138" xfId="28" applyNumberFormat="1" applyFont="1" applyFill="1" applyBorder="1"/>
    <xf numFmtId="166" fontId="32" fillId="0" borderId="0" xfId="28" applyNumberFormat="1" applyFont="1" applyAlignment="1">
      <alignment vertical="top" wrapText="1"/>
    </xf>
    <xf numFmtId="167" fontId="125" fillId="0" borderId="0" xfId="0" applyNumberFormat="1" applyFont="1" applyFill="1"/>
    <xf numFmtId="166" fontId="125" fillId="0" borderId="0" xfId="0" applyNumberFormat="1" applyFont="1" applyFill="1"/>
    <xf numFmtId="0" fontId="84" fillId="0" borderId="0" xfId="0" applyFont="1" applyAlignment="1">
      <alignment horizontal="left" vertical="center"/>
    </xf>
    <xf numFmtId="0" fontId="2" fillId="0" borderId="103" xfId="0" applyFont="1" applyBorder="1" applyAlignment="1">
      <alignment horizontal="center"/>
    </xf>
    <xf numFmtId="3" fontId="2" fillId="0" borderId="103" xfId="34" applyNumberFormat="1" applyFont="1" applyBorder="1"/>
    <xf numFmtId="0" fontId="2" fillId="0" borderId="132" xfId="0" applyFont="1" applyBorder="1" applyAlignment="1">
      <alignment vertical="center"/>
    </xf>
    <xf numFmtId="0" fontId="2" fillId="0" borderId="132" xfId="0" applyFont="1" applyBorder="1" applyAlignment="1">
      <alignment horizontal="center" vertical="center"/>
    </xf>
    <xf numFmtId="3" fontId="2" fillId="0" borderId="132" xfId="34" applyNumberFormat="1" applyFont="1" applyBorder="1" applyAlignment="1">
      <alignment vertical="center"/>
    </xf>
    <xf numFmtId="3" fontId="2" fillId="0" borderId="138" xfId="34" applyNumberFormat="1" applyFont="1" applyBorder="1" applyAlignment="1">
      <alignment vertical="center"/>
    </xf>
    <xf numFmtId="166" fontId="2" fillId="0" borderId="103" xfId="28" applyNumberFormat="1" applyFont="1" applyBorder="1" applyAlignment="1">
      <alignment horizontal="left"/>
    </xf>
    <xf numFmtId="166" fontId="2" fillId="0" borderId="103" xfId="28" applyNumberFormat="1" applyFont="1" applyBorder="1" applyAlignment="1">
      <alignment horizontal="right"/>
    </xf>
    <xf numFmtId="165" fontId="2" fillId="0" borderId="0" xfId="28" applyFont="1"/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34" applyNumberFormat="1" applyFont="1" applyFill="1" applyBorder="1"/>
    <xf numFmtId="167" fontId="2" fillId="0" borderId="103" xfId="29" applyNumberFormat="1" applyFont="1" applyFill="1" applyBorder="1"/>
    <xf numFmtId="3" fontId="93" fillId="0" borderId="103" xfId="34" applyNumberFormat="1" applyFill="1" applyBorder="1"/>
    <xf numFmtId="3" fontId="93" fillId="0" borderId="110" xfId="34" applyNumberFormat="1" applyFill="1" applyBorder="1"/>
    <xf numFmtId="3" fontId="32" fillId="0" borderId="48" xfId="0" applyNumberFormat="1" applyFont="1" applyBorder="1" applyAlignment="1">
      <alignment horizontal="right"/>
    </xf>
    <xf numFmtId="166" fontId="7" fillId="0" borderId="103" xfId="28" applyNumberFormat="1" applyFont="1" applyFill="1" applyBorder="1" applyAlignment="1">
      <alignment horizontal="right" wrapText="1"/>
    </xf>
    <xf numFmtId="3" fontId="7" fillId="0" borderId="103" xfId="57" applyNumberFormat="1" applyFont="1" applyFill="1" applyBorder="1" applyAlignment="1">
      <alignment horizontal="right" wrapText="1"/>
    </xf>
    <xf numFmtId="3" fontId="105" fillId="0" borderId="103" xfId="57" applyNumberFormat="1" applyFont="1" applyFill="1" applyBorder="1" applyAlignment="1">
      <alignment horizontal="right" wrapText="1"/>
    </xf>
    <xf numFmtId="3" fontId="105" fillId="0" borderId="103" xfId="28" applyNumberFormat="1" applyFont="1" applyFill="1" applyBorder="1" applyAlignment="1">
      <alignment horizontal="right"/>
    </xf>
    <xf numFmtId="3" fontId="7" fillId="0" borderId="103" xfId="64" applyNumberFormat="1" applyFont="1" applyFill="1" applyBorder="1" applyAlignment="1">
      <alignment horizontal="right" wrapText="1"/>
    </xf>
    <xf numFmtId="172" fontId="7" fillId="0" borderId="103" xfId="57" applyNumberFormat="1" applyFont="1" applyFill="1" applyBorder="1" applyAlignment="1">
      <alignment horizontal="right"/>
    </xf>
    <xf numFmtId="3" fontId="29" fillId="0" borderId="0" xfId="59" applyNumberFormat="1" applyFont="1" applyFill="1" applyBorder="1"/>
    <xf numFmtId="3" fontId="29" fillId="0" borderId="46" xfId="59" applyNumberFormat="1" applyFont="1" applyFill="1" applyBorder="1"/>
    <xf numFmtId="166" fontId="35" fillId="47" borderId="48" xfId="28" applyNumberFormat="1" applyFont="1" applyFill="1" applyBorder="1"/>
    <xf numFmtId="166" fontId="42" fillId="0" borderId="62" xfId="28" applyNumberFormat="1" applyFont="1" applyFill="1" applyBorder="1" applyAlignment="1">
      <alignment horizontal="right" vertical="top" wrapText="1"/>
    </xf>
    <xf numFmtId="0" fontId="43" fillId="0" borderId="99" xfId="61" applyFont="1" applyFill="1" applyBorder="1"/>
    <xf numFmtId="167" fontId="43" fillId="0" borderId="99" xfId="38" applyNumberFormat="1" applyFont="1" applyFill="1" applyBorder="1"/>
    <xf numFmtId="167" fontId="43" fillId="0" borderId="94" xfId="38" applyNumberFormat="1" applyFont="1" applyFill="1" applyBorder="1"/>
    <xf numFmtId="167" fontId="43" fillId="0" borderId="152" xfId="38" applyNumberFormat="1" applyFont="1" applyFill="1" applyBorder="1" applyAlignment="1"/>
    <xf numFmtId="167" fontId="43" fillId="0" borderId="183" xfId="38" applyNumberFormat="1" applyFont="1" applyFill="1" applyBorder="1"/>
    <xf numFmtId="0" fontId="11" fillId="0" borderId="103" xfId="61" applyFont="1" applyBorder="1"/>
    <xf numFmtId="166" fontId="11" fillId="0" borderId="103" xfId="28" applyNumberFormat="1" applyFont="1" applyBorder="1"/>
    <xf numFmtId="0" fontId="26" fillId="0" borderId="103" xfId="61" applyFont="1" applyBorder="1"/>
    <xf numFmtId="166" fontId="26" fillId="0" borderId="103" xfId="28" applyNumberFormat="1" applyFont="1" applyBorder="1"/>
    <xf numFmtId="3" fontId="5" fillId="0" borderId="0" xfId="57" applyNumberFormat="1" applyFont="1" applyBorder="1" applyAlignment="1">
      <alignment horizontal="right" wrapText="1"/>
    </xf>
    <xf numFmtId="0" fontId="105" fillId="0" borderId="141" xfId="57" applyFont="1" applyFill="1" applyBorder="1" applyAlignment="1">
      <alignment horizontal="center"/>
    </xf>
    <xf numFmtId="0" fontId="105" fillId="0" borderId="0" xfId="57" applyFont="1" applyFill="1" applyBorder="1" applyAlignment="1">
      <alignment horizontal="left" wrapText="1"/>
    </xf>
    <xf numFmtId="0" fontId="7" fillId="0" borderId="0" xfId="57" applyFont="1" applyFill="1" applyBorder="1" applyAlignment="1">
      <alignment horizontal="left"/>
    </xf>
    <xf numFmtId="166" fontId="105" fillId="0" borderId="0" xfId="28" applyNumberFormat="1" applyFont="1" applyFill="1" applyBorder="1" applyAlignment="1">
      <alignment horizontal="left"/>
    </xf>
    <xf numFmtId="166" fontId="105" fillId="0" borderId="133" xfId="28" applyNumberFormat="1" applyFont="1" applyFill="1" applyBorder="1" applyAlignment="1">
      <alignment horizontal="left"/>
    </xf>
    <xf numFmtId="0" fontId="105" fillId="0" borderId="133" xfId="57" applyFont="1" applyFill="1" applyBorder="1" applyAlignment="1">
      <alignment horizontal="left"/>
    </xf>
    <xf numFmtId="3" fontId="7" fillId="0" borderId="103" xfId="57" applyNumberFormat="1" applyFont="1" applyFill="1" applyBorder="1" applyAlignment="1">
      <alignment horizontal="right"/>
    </xf>
    <xf numFmtId="0" fontId="40" fillId="0" borderId="106" xfId="58" applyFont="1" applyBorder="1" applyAlignment="1">
      <alignment horizontal="left" vertical="top" wrapText="1"/>
    </xf>
    <xf numFmtId="0" fontId="40" fillId="0" borderId="0" xfId="58" applyFont="1" applyBorder="1" applyAlignment="1">
      <alignment horizontal="left" vertical="top" wrapText="1"/>
    </xf>
    <xf numFmtId="0" fontId="40" fillId="0" borderId="105" xfId="58" applyFont="1" applyBorder="1" applyAlignment="1">
      <alignment horizontal="left" vertical="top" wrapText="1"/>
    </xf>
    <xf numFmtId="0" fontId="40" fillId="0" borderId="107" xfId="58" applyFont="1" applyBorder="1" applyAlignment="1">
      <alignment horizontal="left" vertical="top" wrapText="1"/>
    </xf>
    <xf numFmtId="0" fontId="40" fillId="0" borderId="46" xfId="58" applyFont="1" applyBorder="1" applyAlignment="1">
      <alignment horizontal="left" vertical="top" wrapText="1"/>
    </xf>
    <xf numFmtId="0" fontId="40" fillId="0" borderId="108" xfId="58" applyFont="1" applyBorder="1" applyAlignment="1">
      <alignment horizontal="left" vertical="top" wrapText="1"/>
    </xf>
    <xf numFmtId="0" fontId="44" fillId="0" borderId="152" xfId="58" applyFont="1" applyBorder="1" applyAlignment="1">
      <alignment horizontal="center"/>
    </xf>
    <xf numFmtId="0" fontId="44" fillId="0" borderId="104" xfId="58" applyFont="1" applyBorder="1" applyAlignment="1">
      <alignment horizontal="center"/>
    </xf>
    <xf numFmtId="0" fontId="44" fillId="0" borderId="196" xfId="58" applyFont="1" applyBorder="1" applyAlignment="1">
      <alignment horizontal="center"/>
    </xf>
    <xf numFmtId="0" fontId="74" fillId="0" borderId="0" xfId="58" applyFont="1" applyBorder="1" applyAlignment="1">
      <alignment horizontal="center"/>
    </xf>
    <xf numFmtId="0" fontId="75" fillId="0" borderId="0" xfId="58" applyFont="1" applyBorder="1" applyAlignment="1">
      <alignment horizontal="center" wrapText="1"/>
    </xf>
    <xf numFmtId="0" fontId="118" fillId="0" borderId="0" xfId="56" applyNumberFormat="1" applyFont="1" applyAlignment="1">
      <alignment horizontal="left" vertical="top"/>
    </xf>
    <xf numFmtId="0" fontId="30" fillId="0" borderId="155" xfId="0" applyFont="1" applyFill="1" applyBorder="1" applyAlignment="1">
      <alignment horizontal="center" vertical="center" wrapText="1"/>
    </xf>
    <xf numFmtId="0" fontId="30" fillId="0" borderId="117" xfId="0" applyFont="1" applyFill="1" applyBorder="1" applyAlignment="1">
      <alignment horizontal="center" vertical="center" wrapText="1"/>
    </xf>
    <xf numFmtId="0" fontId="30" fillId="0" borderId="124" xfId="0" applyFont="1" applyFill="1" applyBorder="1" applyAlignment="1">
      <alignment horizontal="center" vertical="center" wrapText="1"/>
    </xf>
    <xf numFmtId="0" fontId="30" fillId="0" borderId="112" xfId="0" applyFont="1" applyFill="1" applyBorder="1" applyAlignment="1">
      <alignment horizontal="center" vertical="center" wrapText="1"/>
    </xf>
    <xf numFmtId="0" fontId="30" fillId="0" borderId="125" xfId="0" applyFont="1" applyFill="1" applyBorder="1" applyAlignment="1">
      <alignment horizontal="center" vertical="center" wrapText="1"/>
    </xf>
    <xf numFmtId="0" fontId="30" fillId="0" borderId="118" xfId="0" applyFont="1" applyFill="1" applyBorder="1" applyAlignment="1">
      <alignment horizontal="center" vertical="center" wrapText="1"/>
    </xf>
    <xf numFmtId="0" fontId="30" fillId="0" borderId="177" xfId="0" applyFont="1" applyFill="1" applyBorder="1" applyAlignment="1">
      <alignment horizontal="center" vertical="center" wrapText="1"/>
    </xf>
    <xf numFmtId="0" fontId="30" fillId="0" borderId="178" xfId="0" applyFont="1" applyFill="1" applyBorder="1" applyAlignment="1">
      <alignment horizontal="center" vertical="center" wrapText="1"/>
    </xf>
    <xf numFmtId="0" fontId="30" fillId="0" borderId="191" xfId="0" applyFont="1" applyFill="1" applyBorder="1" applyAlignment="1">
      <alignment horizontal="center"/>
    </xf>
    <xf numFmtId="0" fontId="30" fillId="0" borderId="140" xfId="0" applyFont="1" applyFill="1" applyBorder="1" applyAlignment="1">
      <alignment horizontal="center"/>
    </xf>
    <xf numFmtId="0" fontId="29" fillId="0" borderId="155" xfId="0" applyFont="1" applyFill="1" applyBorder="1" applyAlignment="1">
      <alignment horizontal="center" vertical="center" wrapText="1"/>
    </xf>
    <xf numFmtId="0" fontId="29" fillId="0" borderId="117" xfId="0" applyFont="1" applyFill="1" applyBorder="1" applyAlignment="1">
      <alignment horizontal="center" vertical="center" wrapText="1"/>
    </xf>
    <xf numFmtId="0" fontId="29" fillId="0" borderId="125" xfId="0" applyFont="1" applyFill="1" applyBorder="1" applyAlignment="1">
      <alignment horizontal="center" vertical="center" wrapText="1"/>
    </xf>
    <xf numFmtId="0" fontId="29" fillId="0" borderId="118" xfId="0" applyFont="1" applyFill="1" applyBorder="1" applyAlignment="1">
      <alignment horizontal="center" vertical="center" wrapText="1"/>
    </xf>
    <xf numFmtId="0" fontId="29" fillId="0" borderId="125" xfId="0" applyFont="1" applyFill="1" applyBorder="1" applyAlignment="1">
      <alignment horizontal="center"/>
    </xf>
    <xf numFmtId="0" fontId="29" fillId="0" borderId="191" xfId="0" applyFont="1" applyFill="1" applyBorder="1" applyAlignment="1">
      <alignment horizontal="center"/>
    </xf>
    <xf numFmtId="0" fontId="30" fillId="0" borderId="196" xfId="0" applyFont="1" applyFill="1" applyBorder="1" applyAlignment="1">
      <alignment horizontal="center" vertical="center" wrapText="1"/>
    </xf>
    <xf numFmtId="0" fontId="30" fillId="0" borderId="108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55" xfId="0" applyFont="1" applyFill="1" applyBorder="1" applyAlignment="1">
      <alignment horizontal="center"/>
    </xf>
    <xf numFmtId="0" fontId="29" fillId="0" borderId="135" xfId="0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191" xfId="0" applyFont="1" applyFill="1" applyBorder="1" applyAlignment="1">
      <alignment horizontal="center" vertical="center" wrapText="1"/>
    </xf>
    <xf numFmtId="0" fontId="29" fillId="0" borderId="182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left" wrapText="1"/>
    </xf>
    <xf numFmtId="0" fontId="54" fillId="0" borderId="21" xfId="0" applyFont="1" applyFill="1" applyBorder="1" applyAlignment="1">
      <alignment horizontal="left" wrapText="1"/>
    </xf>
    <xf numFmtId="0" fontId="54" fillId="0" borderId="25" xfId="0" applyFont="1" applyFill="1" applyBorder="1" applyAlignment="1">
      <alignment horizontal="left" wrapText="1"/>
    </xf>
    <xf numFmtId="0" fontId="54" fillId="0" borderId="94" xfId="0" applyFont="1" applyFill="1" applyBorder="1" applyAlignment="1">
      <alignment horizontal="left" wrapText="1"/>
    </xf>
    <xf numFmtId="0" fontId="72" fillId="0" borderId="0" xfId="62" applyFont="1" applyFill="1" applyBorder="1" applyAlignment="1">
      <alignment horizontal="center"/>
    </xf>
    <xf numFmtId="0" fontId="31" fillId="0" borderId="186" xfId="62" applyFont="1" applyFill="1" applyBorder="1" applyAlignment="1">
      <alignment horizontal="right" vertical="center" wrapText="1"/>
    </xf>
    <xf numFmtId="0" fontId="31" fillId="0" borderId="169" xfId="62" applyFont="1" applyFill="1" applyBorder="1" applyAlignment="1">
      <alignment horizontal="right" vertical="center" wrapText="1"/>
    </xf>
    <xf numFmtId="0" fontId="29" fillId="0" borderId="197" xfId="62" applyFont="1" applyFill="1" applyBorder="1" applyAlignment="1">
      <alignment horizontal="center" vertical="center" wrapText="1"/>
    </xf>
    <xf numFmtId="0" fontId="31" fillId="0" borderId="166" xfId="62" applyFont="1" applyFill="1" applyBorder="1" applyAlignment="1">
      <alignment horizontal="center" vertical="center" wrapText="1"/>
    </xf>
    <xf numFmtId="0" fontId="31" fillId="0" borderId="197" xfId="62" applyFont="1" applyFill="1" applyBorder="1" applyAlignment="1">
      <alignment horizontal="center" vertical="center" wrapText="1"/>
    </xf>
    <xf numFmtId="0" fontId="31" fillId="0" borderId="181" xfId="62" applyFont="1" applyFill="1" applyBorder="1" applyAlignment="1">
      <alignment horizontal="center"/>
    </xf>
    <xf numFmtId="0" fontId="31" fillId="0" borderId="80" xfId="62" applyFont="1" applyFill="1" applyBorder="1" applyAlignment="1">
      <alignment horizontal="center"/>
    </xf>
    <xf numFmtId="0" fontId="36" fillId="0" borderId="124" xfId="62" applyFont="1" applyFill="1" applyBorder="1" applyAlignment="1">
      <alignment horizontal="right" vertical="center" wrapText="1"/>
    </xf>
    <xf numFmtId="0" fontId="36" fillId="0" borderId="112" xfId="62" applyFont="1" applyFill="1" applyBorder="1" applyAlignment="1">
      <alignment horizontal="right" vertical="center" wrapText="1"/>
    </xf>
    <xf numFmtId="0" fontId="36" fillId="0" borderId="125" xfId="62" applyFont="1" applyFill="1" applyBorder="1" applyAlignment="1">
      <alignment horizontal="center"/>
    </xf>
    <xf numFmtId="0" fontId="36" fillId="0" borderId="191" xfId="62" applyFont="1" applyFill="1" applyBorder="1" applyAlignment="1">
      <alignment horizontal="center"/>
    </xf>
    <xf numFmtId="0" fontId="36" fillId="0" borderId="135" xfId="62" applyFont="1" applyFill="1" applyBorder="1" applyAlignment="1">
      <alignment horizontal="center"/>
    </xf>
    <xf numFmtId="0" fontId="36" fillId="0" borderId="125" xfId="62" applyFont="1" applyFill="1" applyBorder="1" applyAlignment="1">
      <alignment horizontal="center" vertical="center" wrapText="1"/>
    </xf>
    <xf numFmtId="0" fontId="36" fillId="0" borderId="118" xfId="62" applyFont="1" applyFill="1" applyBorder="1" applyAlignment="1">
      <alignment horizontal="center" vertical="center" wrapText="1"/>
    </xf>
    <xf numFmtId="0" fontId="36" fillId="0" borderId="124" xfId="62" applyFont="1" applyFill="1" applyBorder="1" applyAlignment="1">
      <alignment horizontal="center" vertical="center" wrapText="1"/>
    </xf>
    <xf numFmtId="0" fontId="36" fillId="0" borderId="112" xfId="62" applyFont="1" applyFill="1" applyBorder="1" applyAlignment="1">
      <alignment horizontal="center" vertical="center" wrapText="1"/>
    </xf>
    <xf numFmtId="9" fontId="36" fillId="0" borderId="125" xfId="71" applyFont="1" applyFill="1" applyBorder="1" applyAlignment="1">
      <alignment horizontal="center" vertical="center"/>
    </xf>
    <xf numFmtId="0" fontId="29" fillId="0" borderId="0" xfId="59" applyFont="1" applyAlignment="1">
      <alignment horizontal="center" vertical="center"/>
    </xf>
    <xf numFmtId="0" fontId="29" fillId="0" borderId="0" xfId="59" applyFont="1" applyBorder="1" applyAlignment="1">
      <alignment horizontal="center" vertical="center"/>
    </xf>
    <xf numFmtId="0" fontId="72" fillId="0" borderId="67" xfId="59" applyFont="1" applyBorder="1" applyAlignment="1">
      <alignment horizontal="center" vertical="center"/>
    </xf>
    <xf numFmtId="0" fontId="72" fillId="0" borderId="68" xfId="59" applyFont="1" applyBorder="1" applyAlignment="1">
      <alignment horizontal="center" vertical="center"/>
    </xf>
    <xf numFmtId="0" fontId="72" fillId="0" borderId="75" xfId="59" applyFont="1" applyBorder="1" applyAlignment="1">
      <alignment horizontal="center" vertical="center"/>
    </xf>
    <xf numFmtId="0" fontId="29" fillId="0" borderId="139" xfId="59" applyFont="1" applyBorder="1" applyAlignment="1">
      <alignment horizontal="center"/>
    </xf>
    <xf numFmtId="0" fontId="29" fillId="0" borderId="140" xfId="59" applyFont="1" applyBorder="1" applyAlignment="1">
      <alignment horizontal="center"/>
    </xf>
    <xf numFmtId="0" fontId="29" fillId="0" borderId="177" xfId="59" applyFont="1" applyBorder="1" applyAlignment="1">
      <alignment horizontal="center"/>
    </xf>
    <xf numFmtId="0" fontId="29" fillId="0" borderId="110" xfId="59" applyFont="1" applyBorder="1" applyAlignment="1">
      <alignment horizontal="center" vertical="center"/>
    </xf>
    <xf numFmtId="0" fontId="29" fillId="0" borderId="99" xfId="59" applyFont="1" applyBorder="1" applyAlignment="1">
      <alignment horizontal="center" vertical="center"/>
    </xf>
    <xf numFmtId="0" fontId="29" fillId="0" borderId="112" xfId="59" applyFont="1" applyBorder="1" applyAlignment="1">
      <alignment horizontal="center" vertical="center"/>
    </xf>
    <xf numFmtId="0" fontId="72" fillId="0" borderId="0" xfId="59" applyFont="1" applyBorder="1" applyAlignment="1">
      <alignment horizontal="center" vertical="center"/>
    </xf>
    <xf numFmtId="0" fontId="29" fillId="0" borderId="0" xfId="59" applyFont="1" applyBorder="1" applyAlignment="1">
      <alignment horizontal="center"/>
    </xf>
    <xf numFmtId="0" fontId="43" fillId="0" borderId="0" xfId="53" applyFont="1" applyFill="1" applyBorder="1" applyAlignment="1">
      <alignment horizontal="left" vertical="justify"/>
    </xf>
    <xf numFmtId="0" fontId="44" fillId="0" borderId="0" xfId="53" applyFont="1" applyAlignment="1">
      <alignment horizontal="center" wrapText="1"/>
    </xf>
    <xf numFmtId="0" fontId="40" fillId="26" borderId="0" xfId="53" applyFont="1" applyFill="1" applyAlignment="1">
      <alignment horizontal="left" vertical="top" wrapText="1"/>
    </xf>
    <xf numFmtId="0" fontId="46" fillId="0" borderId="0" xfId="53" applyFont="1" applyAlignment="1">
      <alignment horizontal="center" wrapText="1"/>
    </xf>
    <xf numFmtId="0" fontId="49" fillId="26" borderId="0" xfId="53" applyFont="1" applyFill="1" applyAlignment="1">
      <alignment horizontal="left" vertical="top" wrapText="1"/>
    </xf>
    <xf numFmtId="0" fontId="49" fillId="46" borderId="0" xfId="53" applyFont="1" applyFill="1" applyAlignment="1">
      <alignment horizontal="left" vertical="top" wrapText="1"/>
    </xf>
    <xf numFmtId="0" fontId="46" fillId="0" borderId="0" xfId="53" applyFont="1" applyFill="1" applyAlignment="1">
      <alignment horizontal="center" wrapText="1"/>
    </xf>
    <xf numFmtId="0" fontId="49" fillId="0" borderId="0" xfId="53" applyFont="1" applyAlignment="1">
      <alignment horizontal="left" vertical="top" wrapText="1"/>
    </xf>
    <xf numFmtId="0" fontId="49" fillId="0" borderId="0" xfId="53" applyFont="1" applyFill="1" applyAlignment="1">
      <alignment horizontal="left" vertical="top" wrapText="1"/>
    </xf>
    <xf numFmtId="0" fontId="40" fillId="0" borderId="0" xfId="53" applyFont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04" xfId="0" applyFont="1" applyBorder="1" applyAlignment="1">
      <alignment horizontal="center"/>
    </xf>
    <xf numFmtId="0" fontId="5" fillId="0" borderId="205" xfId="0" applyFont="1" applyBorder="1" applyAlignment="1">
      <alignment horizontal="center"/>
    </xf>
    <xf numFmtId="0" fontId="5" fillId="0" borderId="206" xfId="0" applyFont="1" applyBorder="1" applyAlignment="1">
      <alignment horizontal="center"/>
    </xf>
    <xf numFmtId="0" fontId="5" fillId="0" borderId="207" xfId="0" applyFont="1" applyBorder="1" applyAlignment="1">
      <alignment horizontal="center"/>
    </xf>
    <xf numFmtId="0" fontId="5" fillId="0" borderId="20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116" fillId="0" borderId="0" xfId="0" applyFont="1" applyFill="1" applyAlignment="1">
      <alignment horizontal="center" vertical="top" wrapText="1"/>
    </xf>
    <xf numFmtId="0" fontId="116" fillId="0" borderId="203" xfId="0" applyFont="1" applyFill="1" applyBorder="1" applyAlignment="1">
      <alignment horizontal="center" vertical="top" wrapText="1"/>
    </xf>
    <xf numFmtId="0" fontId="8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2" fillId="0" borderId="110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82" fillId="0" borderId="110" xfId="0" applyFont="1" applyBorder="1" applyAlignment="1">
      <alignment horizontal="center" vertical="center"/>
    </xf>
    <xf numFmtId="0" fontId="82" fillId="0" borderId="1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0" borderId="0" xfId="61" applyFont="1"/>
    <xf numFmtId="0" fontId="26" fillId="24" borderId="110" xfId="61" applyFont="1" applyFill="1" applyBorder="1" applyAlignment="1">
      <alignment horizontal="center" vertical="center" wrapText="1"/>
    </xf>
    <xf numFmtId="0" fontId="26" fillId="24" borderId="133" xfId="61" applyFont="1" applyFill="1" applyBorder="1" applyAlignment="1">
      <alignment horizontal="center" vertical="center"/>
    </xf>
    <xf numFmtId="0" fontId="75" fillId="0" borderId="0" xfId="61" applyFont="1"/>
    <xf numFmtId="0" fontId="26" fillId="24" borderId="110" xfId="61" applyNumberFormat="1" applyFont="1" applyFill="1" applyBorder="1" applyAlignment="1">
      <alignment vertical="center" wrapText="1"/>
    </xf>
    <xf numFmtId="0" fontId="26" fillId="24" borderId="133" xfId="61" applyNumberFormat="1" applyFont="1" applyFill="1" applyBorder="1" applyAlignment="1">
      <alignment vertical="center" wrapText="1"/>
    </xf>
    <xf numFmtId="0" fontId="26" fillId="24" borderId="110" xfId="61" applyFont="1" applyFill="1" applyBorder="1" applyAlignment="1">
      <alignment horizontal="center" vertical="center"/>
    </xf>
    <xf numFmtId="0" fontId="75" fillId="0" borderId="0" xfId="61" applyFont="1" applyAlignment="1">
      <alignment horizontal="center"/>
    </xf>
    <xf numFmtId="0" fontId="41" fillId="0" borderId="198" xfId="0" applyFont="1" applyBorder="1" applyAlignment="1">
      <alignment horizontal="center" wrapText="1"/>
    </xf>
    <xf numFmtId="0" fontId="41" fillId="0" borderId="199" xfId="0" applyFont="1" applyBorder="1" applyAlignment="1">
      <alignment horizontal="center" wrapText="1"/>
    </xf>
    <xf numFmtId="0" fontId="41" fillId="0" borderId="200" xfId="0" applyFont="1" applyBorder="1" applyAlignment="1">
      <alignment horizontal="center" wrapText="1"/>
    </xf>
    <xf numFmtId="0" fontId="41" fillId="0" borderId="201" xfId="0" applyFont="1" applyBorder="1" applyAlignment="1">
      <alignment horizontal="center" wrapText="1"/>
    </xf>
    <xf numFmtId="2" fontId="104" fillId="0" borderId="0" xfId="57" applyNumberFormat="1" applyFont="1" applyBorder="1" applyAlignment="1">
      <alignment horizontal="center" wrapText="1"/>
    </xf>
    <xf numFmtId="2" fontId="104" fillId="0" borderId="105" xfId="57" applyNumberFormat="1" applyFont="1" applyBorder="1" applyAlignment="1">
      <alignment horizontal="center" wrapText="1"/>
    </xf>
    <xf numFmtId="0" fontId="5" fillId="0" borderId="177" xfId="57" applyFont="1" applyBorder="1" applyAlignment="1">
      <alignment horizontal="left" wrapText="1"/>
    </xf>
    <xf numFmtId="0" fontId="5" fillId="0" borderId="125" xfId="57" applyFont="1" applyBorder="1" applyAlignment="1">
      <alignment horizontal="left" wrapText="1"/>
    </xf>
    <xf numFmtId="0" fontId="2" fillId="0" borderId="11" xfId="57" applyFont="1" applyBorder="1" applyAlignment="1">
      <alignment horizontal="left" wrapText="1"/>
    </xf>
    <xf numFmtId="0" fontId="2" fillId="0" borderId="12" xfId="57" applyFont="1" applyBorder="1" applyAlignment="1">
      <alignment horizontal="left" wrapText="1"/>
    </xf>
    <xf numFmtId="0" fontId="5" fillId="0" borderId="11" xfId="57" applyFont="1" applyBorder="1" applyAlignment="1">
      <alignment horizontal="left" wrapText="1"/>
    </xf>
    <xf numFmtId="0" fontId="5" fillId="0" borderId="12" xfId="57" applyFont="1" applyBorder="1" applyAlignment="1">
      <alignment horizontal="left" wrapText="1"/>
    </xf>
    <xf numFmtId="0" fontId="2" fillId="0" borderId="11" xfId="57" applyFont="1" applyBorder="1" applyAlignment="1">
      <alignment horizontal="center" wrapText="1"/>
    </xf>
    <xf numFmtId="0" fontId="2" fillId="0" borderId="12" xfId="57" applyFont="1" applyBorder="1" applyAlignment="1">
      <alignment horizontal="center" wrapText="1"/>
    </xf>
    <xf numFmtId="0" fontId="7" fillId="0" borderId="103" xfId="64" applyFont="1" applyFill="1" applyBorder="1" applyAlignment="1">
      <alignment horizontal="left" wrapText="1"/>
    </xf>
    <xf numFmtId="2" fontId="5" fillId="0" borderId="10" xfId="57" applyNumberFormat="1" applyFont="1" applyBorder="1" applyAlignment="1">
      <alignment horizontal="center" wrapText="1"/>
    </xf>
    <xf numFmtId="2" fontId="5" fillId="0" borderId="11" xfId="57" applyNumberFormat="1" applyFont="1" applyBorder="1" applyAlignment="1">
      <alignment horizontal="center" wrapText="1"/>
    </xf>
    <xf numFmtId="2" fontId="5" fillId="0" borderId="12" xfId="57" applyNumberFormat="1" applyFont="1" applyBorder="1" applyAlignment="1">
      <alignment horizontal="center" wrapText="1"/>
    </xf>
    <xf numFmtId="0" fontId="95" fillId="0" borderId="12" xfId="57" applyFont="1" applyBorder="1" applyAlignment="1">
      <alignment horizontal="left" wrapText="1"/>
    </xf>
    <xf numFmtId="0" fontId="95" fillId="0" borderId="103" xfId="57" applyFont="1" applyBorder="1" applyAlignment="1">
      <alignment horizontal="left" wrapText="1"/>
    </xf>
    <xf numFmtId="0" fontId="5" fillId="0" borderId="118" xfId="57" applyFont="1" applyBorder="1" applyAlignment="1">
      <alignment horizontal="left" wrapText="1"/>
    </xf>
    <xf numFmtId="0" fontId="5" fillId="0" borderId="103" xfId="57" applyFont="1" applyBorder="1" applyAlignment="1">
      <alignment horizontal="left" wrapText="1"/>
    </xf>
    <xf numFmtId="0" fontId="104" fillId="0" borderId="152" xfId="57" applyFont="1" applyBorder="1" applyAlignment="1">
      <alignment horizontal="center" wrapText="1"/>
    </xf>
    <xf numFmtId="0" fontId="104" fillId="0" borderId="104" xfId="57" applyFont="1" applyBorder="1" applyAlignment="1">
      <alignment horizontal="center" wrapText="1"/>
    </xf>
    <xf numFmtId="0" fontId="104" fillId="0" borderId="196" xfId="57" applyFont="1" applyBorder="1" applyAlignment="1">
      <alignment horizontal="center" wrapText="1"/>
    </xf>
    <xf numFmtId="0" fontId="105" fillId="0" borderId="177" xfId="57" applyFont="1" applyFill="1" applyBorder="1" applyAlignment="1">
      <alignment horizontal="left" wrapText="1"/>
    </xf>
    <xf numFmtId="0" fontId="105" fillId="0" borderId="125" xfId="57" applyFont="1" applyFill="1" applyBorder="1" applyAlignment="1">
      <alignment horizontal="left" wrapText="1"/>
    </xf>
    <xf numFmtId="0" fontId="7" fillId="0" borderId="10" xfId="57" applyFont="1" applyFill="1" applyBorder="1" applyAlignment="1">
      <alignment horizontal="left" wrapText="1"/>
    </xf>
    <xf numFmtId="0" fontId="7" fillId="0" borderId="11" xfId="57" applyFont="1" applyFill="1" applyBorder="1" applyAlignment="1">
      <alignment horizontal="left" wrapText="1"/>
    </xf>
    <xf numFmtId="0" fontId="7" fillId="0" borderId="12" xfId="57" applyFont="1" applyFill="1" applyBorder="1" applyAlignment="1">
      <alignment horizontal="left" wrapText="1"/>
    </xf>
    <xf numFmtId="0" fontId="105" fillId="0" borderId="103" xfId="64" applyFont="1" applyFill="1" applyBorder="1" applyAlignment="1">
      <alignment horizontal="left" wrapText="1"/>
    </xf>
    <xf numFmtId="0" fontId="106" fillId="0" borderId="103" xfId="64" applyFont="1" applyFill="1" applyBorder="1" applyAlignment="1">
      <alignment horizontal="left" wrapText="1"/>
    </xf>
    <xf numFmtId="0" fontId="7" fillId="0" borderId="103" xfId="57" applyFont="1" applyFill="1" applyBorder="1" applyAlignment="1">
      <alignment horizontal="left" wrapText="1"/>
    </xf>
    <xf numFmtId="0" fontId="105" fillId="0" borderId="103" xfId="57" applyFont="1" applyFill="1" applyBorder="1" applyAlignment="1">
      <alignment horizontal="left" wrapText="1"/>
    </xf>
    <xf numFmtId="0" fontId="106" fillId="0" borderId="103" xfId="57" applyFont="1" applyFill="1" applyBorder="1" applyAlignment="1">
      <alignment horizontal="left"/>
    </xf>
    <xf numFmtId="0" fontId="7" fillId="0" borderId="103" xfId="57" applyFont="1" applyFill="1" applyBorder="1" applyAlignment="1">
      <alignment horizontal="left"/>
    </xf>
    <xf numFmtId="0" fontId="106" fillId="0" borderId="118" xfId="57" applyFont="1" applyFill="1" applyBorder="1" applyAlignment="1">
      <alignment horizontal="left"/>
    </xf>
    <xf numFmtId="2" fontId="5" fillId="0" borderId="139" xfId="57" applyNumberFormat="1" applyFont="1" applyBorder="1" applyAlignment="1">
      <alignment horizontal="center" wrapText="1"/>
    </xf>
    <xf numFmtId="2" fontId="5" fillId="0" borderId="140" xfId="57" applyNumberFormat="1" applyFont="1" applyBorder="1" applyAlignment="1">
      <alignment horizontal="center" wrapText="1"/>
    </xf>
    <xf numFmtId="2" fontId="5" fillId="0" borderId="202" xfId="57" applyNumberFormat="1" applyFont="1" applyBorder="1" applyAlignment="1">
      <alignment horizontal="center" wrapText="1"/>
    </xf>
    <xf numFmtId="2" fontId="5" fillId="0" borderId="192" xfId="57" applyNumberFormat="1" applyFont="1" applyBorder="1" applyAlignment="1">
      <alignment horizontal="center" wrapText="1"/>
    </xf>
    <xf numFmtId="0" fontId="105" fillId="0" borderId="103" xfId="57" applyFont="1" applyFill="1" applyBorder="1" applyAlignment="1">
      <alignment horizontal="left"/>
    </xf>
    <xf numFmtId="0" fontId="41" fillId="0" borderId="203" xfId="0" applyFont="1" applyBorder="1" applyAlignment="1">
      <alignment horizontal="center" vertical="top" wrapText="1"/>
    </xf>
    <xf numFmtId="0" fontId="32" fillId="0" borderId="0" xfId="59" applyFont="1" applyBorder="1" applyAlignment="1">
      <alignment horizontal="center"/>
    </xf>
    <xf numFmtId="0" fontId="31" fillId="0" borderId="0" xfId="59" applyFont="1" applyBorder="1" applyAlignment="1">
      <alignment horizontal="center" vertical="center"/>
    </xf>
    <xf numFmtId="0" fontId="31" fillId="0" borderId="46" xfId="59" applyFont="1" applyBorder="1" applyAlignment="1">
      <alignment horizontal="center" vertical="center"/>
    </xf>
    <xf numFmtId="3" fontId="33" fillId="0" borderId="0" xfId="60" applyNumberFormat="1" applyFont="1" applyAlignment="1">
      <alignment horizontal="right"/>
    </xf>
    <xf numFmtId="3" fontId="31" fillId="0" borderId="0" xfId="60" applyNumberFormat="1" applyFont="1" applyBorder="1" applyAlignment="1">
      <alignment horizontal="center" vertical="center"/>
    </xf>
    <xf numFmtId="3" fontId="31" fillId="0" borderId="46" xfId="60" applyNumberFormat="1" applyFont="1" applyBorder="1" applyAlignment="1">
      <alignment horizontal="center" vertical="center"/>
    </xf>
    <xf numFmtId="3" fontId="31" fillId="0" borderId="0" xfId="60" applyNumberFormat="1" applyFont="1" applyBorder="1" applyAlignment="1">
      <alignment horizontal="center" vertical="center" wrapText="1"/>
    </xf>
    <xf numFmtId="0" fontId="32" fillId="0" borderId="46" xfId="59" applyFont="1" applyBorder="1" applyAlignment="1">
      <alignment horizontal="center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omma 2" xfId="29"/>
    <cellStyle name="Comma 3" xfId="30"/>
    <cellStyle name="Comma 3 2" xfId="77"/>
    <cellStyle name="Comma 4" xfId="31"/>
    <cellStyle name="Comma 5" xfId="32"/>
    <cellStyle name="Comma 5 2" xfId="80"/>
    <cellStyle name="Comma 6" xfId="33"/>
    <cellStyle name="Comma_21.Aktivet Afatgjata Materiale  09" xfId="34"/>
    <cellStyle name="Comma_Aktivet Afatgjata Materiale OK" xfId="35"/>
    <cellStyle name="Comma_Bilanci Albavia" xfId="36"/>
    <cellStyle name="Comma_Deti Pro" xfId="37"/>
    <cellStyle name="Comma_NEWS Dokumentat per  BIL tatimet 2010" xfId="38"/>
    <cellStyle name="Comma_Pasqyrat Financiare 2003" xfId="39"/>
    <cellStyle name="Comma_Pasqyre Nr(1).3 (Ndarja sipas aktivitetit)" xfId="40"/>
    <cellStyle name="Comma_Profit &amp; Loss acc. Albavia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 builtinId="20" customBuiltin="1"/>
    <cellStyle name="Linked Cell" xfId="49"/>
    <cellStyle name="Migliaia 2" xfId="50"/>
    <cellStyle name="Migliaia 3" xfId="51"/>
    <cellStyle name="Neutral" xfId="52"/>
    <cellStyle name="Normal" xfId="0" builtinId="0"/>
    <cellStyle name="Normal 2" xfId="53"/>
    <cellStyle name="Normal 2 2" xfId="76"/>
    <cellStyle name="Normal 2 3" xfId="78"/>
    <cellStyle name="Normal 3" xfId="54"/>
    <cellStyle name="Normal 3 2" xfId="55"/>
    <cellStyle name="Normal 3 3" xfId="81"/>
    <cellStyle name="Normal 4" xfId="56"/>
    <cellStyle name="Normal 4 2" xfId="79"/>
    <cellStyle name="Normal_asn_2009 Propozimet" xfId="57"/>
    <cellStyle name="Normal_BILANCI" xfId="58"/>
    <cellStyle name="Normal_B-Sheet Diekati 2003" xfId="59"/>
    <cellStyle name="Normal_Equity Karl Gega" xfId="60"/>
    <cellStyle name="Normal_NEWS Dokumentat per  BIL tatimet 2010" xfId="61"/>
    <cellStyle name="Normal_Profit &amp; Loss acc. Albavia" xfId="62"/>
    <cellStyle name="Normal_Profit &amp; Loss acc. Shqip '01" xfId="63"/>
    <cellStyle name="Normal_Sheet2" xfId="64"/>
    <cellStyle name="Normale 2" xfId="65"/>
    <cellStyle name="Normale 3" xfId="66"/>
    <cellStyle name="Normale 4" xfId="67"/>
    <cellStyle name="Normalny_AKTYWA" xfId="68"/>
    <cellStyle name="Note" xfId="69"/>
    <cellStyle name="Output" xfId="70" builtinId="21" customBuiltin="1"/>
    <cellStyle name="Percent" xfId="71" builtinId="5"/>
    <cellStyle name="Percentuale 2" xfId="72"/>
    <cellStyle name="Title" xfId="73"/>
    <cellStyle name="Total" xfId="74"/>
    <cellStyle name="Warning Text" xfId="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5042</xdr:rowOff>
    </xdr:from>
    <xdr:to>
      <xdr:col>11</xdr:col>
      <xdr:colOff>407677</xdr:colOff>
      <xdr:row>54</xdr:row>
      <xdr:rowOff>105169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229725"/>
          <a:ext cx="10344150" cy="6000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it-IT" sz="1000" b="1" i="0" strike="noStrike">
              <a:solidFill>
                <a:srgbClr val="0000FF"/>
              </a:solidFill>
              <a:latin typeface="Times New Roman"/>
              <a:cs typeface="Times New Roman"/>
            </a:rPr>
            <a:t>Data dhe Nënshkrimi i personit të tatueshëm -</a:t>
          </a:r>
          <a:r>
            <a:rPr lang="it-IT" sz="800" b="0" i="0" strike="noStrike">
              <a:solidFill>
                <a:srgbClr val="0000FF"/>
              </a:solidFill>
              <a:latin typeface="Times New Roman"/>
              <a:cs typeface="Times New Roman"/>
            </a:rPr>
            <a:t>Deklaroj  nën përgjegjësinë time që informacioni i mësipërm është i plotë dhe i saktë</a:t>
          </a:r>
          <a:endParaRPr lang="it-IT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400" b="1" i="0" strike="noStrike">
              <a:solidFill>
                <a:srgbClr val="0000FF"/>
              </a:solidFill>
              <a:latin typeface="Times New Roman"/>
              <a:cs typeface="Times New Roman"/>
            </a:rPr>
            <a:t>_____________________________________________________________________</a:t>
          </a:r>
          <a:r>
            <a:rPr lang="it-IT" sz="1400" b="0" i="0" strike="noStrike">
              <a:solidFill>
                <a:srgbClr val="0000FF"/>
              </a:solidFill>
              <a:latin typeface="Times New Roman"/>
              <a:cs typeface="Times New Roman"/>
            </a:rPr>
            <a:t>_</a:t>
          </a:r>
          <a:endParaRPr lang="it-IT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0" i="0" strike="noStrike">
              <a:solidFill>
                <a:srgbClr val="0000FF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0</xdr:colOff>
      <xdr:row>8</xdr:row>
      <xdr:rowOff>381000</xdr:rowOff>
    </xdr:from>
    <xdr:to>
      <xdr:col>2</xdr:col>
      <xdr:colOff>1047750</xdr:colOff>
      <xdr:row>25</xdr:row>
      <xdr:rowOff>552450</xdr:rowOff>
    </xdr:to>
    <xdr:sp macro="" textlink="">
      <xdr:nvSpPr>
        <xdr:cNvPr id="3784" name="Object 1"/>
        <xdr:cNvSpPr>
          <a:spLocks noChangeArrowheads="1" noChangeShapeType="1"/>
        </xdr:cNvSpPr>
      </xdr:nvSpPr>
      <xdr:spPr bwMode="auto">
        <a:xfrm>
          <a:off x="190500" y="1733550"/>
          <a:ext cx="4114800" cy="35623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Desktop/PF%20EDISUD%20RTV%201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MS%2010/FS%20FMS%202009%20final/Bilanc%20i%20Formatuar%20FMS%202009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dorues/Downloads/AMORTIZIM%20MC%202013/AQT%20MJETE%20TRANSPORTI%20MC%2013%20-%20OK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a.tv/Documents/Received%20Files/AMORTIZIM%20MC%202013/OK%20SHPENZ%20SHPERNDAR%20MC%202013%20OK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a.tv/Documents/Received%20Files/AMORTIZIM%20MC%202013/ZENTRUM%20AMORT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_Sheet10"/>
      <sheetName val="P&amp;L10"/>
    </sheetNames>
    <sheetDataSet>
      <sheetData sheetId="0" refreshError="1">
        <row r="16">
          <cell r="R16">
            <v>22531868.150000036</v>
          </cell>
          <cell r="T16">
            <v>20567604</v>
          </cell>
        </row>
        <row r="103">
          <cell r="R103">
            <v>0</v>
          </cell>
        </row>
        <row r="106">
          <cell r="R106">
            <v>22531868.150000036</v>
          </cell>
          <cell r="S106">
            <v>16791731</v>
          </cell>
          <cell r="T106">
            <v>20567604</v>
          </cell>
        </row>
        <row r="107">
          <cell r="R107">
            <v>87413968.150000036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A AQT 08"/>
      <sheetName val="KAPAK FMS"/>
      <sheetName val="B_Sheet09"/>
      <sheetName val="P&amp;L09"/>
      <sheetName val="Equity 09"/>
      <sheetName val="cash Fl  09"/>
      <sheetName val="Shenime B_Sheet"/>
      <sheetName val="Shenime P&amp;L"/>
      <sheetName val="AQT 09"/>
      <sheetName val="LISTA AQT 09"/>
      <sheetName val="AQT 08"/>
      <sheetName val="FDP TOS 09"/>
      <sheetName val="TVSH"/>
      <sheetName val="Analitike"/>
      <sheetName val="FD T Fitimit (2)"/>
      <sheetName val="B_Link B_Sheet08 "/>
      <sheetName val="B_Link P&amp;L08"/>
      <sheetName val="B_LinkEquity "/>
    </sheetNames>
    <sheetDataSet>
      <sheetData sheetId="0"/>
      <sheetData sheetId="1"/>
      <sheetData sheetId="2">
        <row r="106">
          <cell r="R106">
            <v>20567604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W AA839 DP 13 "/>
      <sheetName val="VW AA837 DP 13"/>
      <sheetName val="VW AA847 DP 13"/>
      <sheetName val="VW AA846DP 13"/>
      <sheetName val="VW TR 7466 U 13"/>
      <sheetName val="VW TR 7422 U 13"/>
      <sheetName val="ZENTR  MJET TRANSP 1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F3">
            <v>998750</v>
          </cell>
        </row>
        <row r="7">
          <cell r="F7">
            <v>1938750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t teknike 11.5"/>
      <sheetName val="mater sken 26.10.13"/>
      <sheetName val="Karikues Bateri 13"/>
      <sheetName val="Punime Gipsi 13"/>
      <sheetName val="Kond 13"/>
      <sheetName val="UPS 13"/>
      <sheetName val="UPS 1000 VA 13"/>
      <sheetName val="Kabell teknik 13"/>
      <sheetName val="Boje Lyerje 13"/>
      <sheetName val="Linoleum 13"/>
      <sheetName val="Profile, Vida 13"/>
      <sheetName val="Ene Kuzhine 13"/>
      <sheetName val="Boje Rul 13"/>
      <sheetName val="kabell teknika"/>
      <sheetName val="Moket Blu 13"/>
      <sheetName val="Punime Studio 13"/>
      <sheetName val="Ferrota 13"/>
      <sheetName val="Led Shirit 13"/>
      <sheetName val="Bateri Auto 13"/>
      <sheetName val="Materiale Sken 13"/>
      <sheetName val="Pleksiglass 13"/>
      <sheetName val="Skenografi 13"/>
      <sheetName val="UPS.13"/>
      <sheetName val="Ferrota. 13"/>
      <sheetName val="Ferrota..2013"/>
      <sheetName val="Mat Sken13"/>
      <sheetName val="Ferrota...13"/>
      <sheetName val="Dinamo Auto 13"/>
      <sheetName val="Linoleum. 13"/>
      <sheetName val="Sist Elek 13"/>
      <sheetName val="ZENTR SHPENZ SHPERND 13 "/>
      <sheetName val="zentr shpernd 12"/>
    </sheetNames>
    <sheetDataSet>
      <sheetData sheetId="0">
        <row r="6">
          <cell r="B6" t="str">
            <v xml:space="preserve">Materiale teknike </v>
          </cell>
          <cell r="C6" t="str">
            <v>11.05.13</v>
          </cell>
          <cell r="D6">
            <v>7000</v>
          </cell>
          <cell r="E6">
            <v>0</v>
          </cell>
          <cell r="F6">
            <v>7000</v>
          </cell>
          <cell r="G6">
            <v>0</v>
          </cell>
          <cell r="H6">
            <v>7</v>
          </cell>
          <cell r="I6">
            <v>2041.6666666666667</v>
          </cell>
          <cell r="J6">
            <v>2041.6666666666667</v>
          </cell>
          <cell r="K6">
            <v>4958.333333333333</v>
          </cell>
        </row>
      </sheetData>
      <sheetData sheetId="1">
        <row r="6">
          <cell r="B6" t="str">
            <v>Karikues Bateri 2013</v>
          </cell>
          <cell r="C6" t="str">
            <v>26.10.13</v>
          </cell>
          <cell r="D6">
            <v>36126</v>
          </cell>
          <cell r="E6">
            <v>0</v>
          </cell>
          <cell r="F6">
            <v>36126</v>
          </cell>
          <cell r="G6">
            <v>0</v>
          </cell>
          <cell r="H6">
            <v>2</v>
          </cell>
          <cell r="I6">
            <v>3010.5</v>
          </cell>
          <cell r="J6">
            <v>3010.5</v>
          </cell>
          <cell r="K6">
            <v>33115.5</v>
          </cell>
        </row>
      </sheetData>
      <sheetData sheetId="2">
        <row r="4">
          <cell r="B4" t="str">
            <v>Karikues Bateri 2013</v>
          </cell>
          <cell r="C4" t="str">
            <v>17.01.2013</v>
          </cell>
          <cell r="D4">
            <v>32000</v>
          </cell>
          <cell r="E4">
            <v>0</v>
          </cell>
          <cell r="F4">
            <v>32000</v>
          </cell>
          <cell r="G4">
            <v>0</v>
          </cell>
          <cell r="H4">
            <v>11</v>
          </cell>
          <cell r="I4">
            <v>14666.666666666666</v>
          </cell>
          <cell r="J4">
            <v>14666.666666666666</v>
          </cell>
          <cell r="K4">
            <v>17333.333333333336</v>
          </cell>
        </row>
      </sheetData>
      <sheetData sheetId="3">
        <row r="4">
          <cell r="B4" t="str">
            <v>Punime gipsi 2013</v>
          </cell>
          <cell r="C4" t="str">
            <v>05.01.2013</v>
          </cell>
          <cell r="D4">
            <v>9230</v>
          </cell>
          <cell r="E4">
            <v>0</v>
          </cell>
          <cell r="F4">
            <v>9230</v>
          </cell>
          <cell r="G4">
            <v>0</v>
          </cell>
          <cell r="H4">
            <v>11</v>
          </cell>
          <cell r="I4">
            <v>4230.4166666666661</v>
          </cell>
          <cell r="J4">
            <v>4230.4166666666661</v>
          </cell>
          <cell r="K4">
            <v>4999.5833333333339</v>
          </cell>
        </row>
      </sheetData>
      <sheetData sheetId="4">
        <row r="4">
          <cell r="B4" t="str">
            <v>Kondiconer 2013</v>
          </cell>
          <cell r="C4" t="str">
            <v>22.01.2013</v>
          </cell>
          <cell r="D4">
            <v>50000</v>
          </cell>
          <cell r="E4">
            <v>0</v>
          </cell>
          <cell r="F4">
            <v>50000</v>
          </cell>
          <cell r="G4">
            <v>0</v>
          </cell>
          <cell r="H4">
            <v>11</v>
          </cell>
          <cell r="I4">
            <v>22916.666666666668</v>
          </cell>
          <cell r="J4">
            <v>22916.666666666668</v>
          </cell>
          <cell r="K4">
            <v>27083.333333333332</v>
          </cell>
        </row>
      </sheetData>
      <sheetData sheetId="5">
        <row r="4">
          <cell r="B4" t="str">
            <v>UPS 2013</v>
          </cell>
          <cell r="C4" t="str">
            <v>06.02.2013</v>
          </cell>
          <cell r="D4">
            <v>7000</v>
          </cell>
          <cell r="E4">
            <v>0</v>
          </cell>
          <cell r="F4">
            <v>7000</v>
          </cell>
          <cell r="G4">
            <v>0</v>
          </cell>
          <cell r="H4">
            <v>10</v>
          </cell>
          <cell r="I4">
            <v>2916.666666666667</v>
          </cell>
          <cell r="J4">
            <v>2916.666666666667</v>
          </cell>
          <cell r="K4">
            <v>4083.333333333333</v>
          </cell>
        </row>
      </sheetData>
      <sheetData sheetId="6"/>
      <sheetData sheetId="7">
        <row r="4">
          <cell r="B4" t="str">
            <v>Kabell Teknik 2013</v>
          </cell>
          <cell r="C4" t="str">
            <v>07.01.2013</v>
          </cell>
          <cell r="D4">
            <v>94700</v>
          </cell>
          <cell r="E4">
            <v>0</v>
          </cell>
          <cell r="F4">
            <v>94700</v>
          </cell>
          <cell r="G4">
            <v>0</v>
          </cell>
          <cell r="H4">
            <v>11</v>
          </cell>
          <cell r="I4">
            <v>43404.166666666672</v>
          </cell>
          <cell r="J4">
            <v>43404.166666666672</v>
          </cell>
          <cell r="K4">
            <v>51295.833333333328</v>
          </cell>
        </row>
      </sheetData>
      <sheetData sheetId="8">
        <row r="4">
          <cell r="B4" t="str">
            <v>Boje Lyerje 2013</v>
          </cell>
          <cell r="C4" t="str">
            <v>12.01.2013</v>
          </cell>
          <cell r="D4">
            <v>8000</v>
          </cell>
          <cell r="E4">
            <v>0</v>
          </cell>
          <cell r="F4">
            <v>8000</v>
          </cell>
          <cell r="G4">
            <v>0</v>
          </cell>
          <cell r="H4">
            <v>11</v>
          </cell>
          <cell r="I4">
            <v>3666.6666666666665</v>
          </cell>
          <cell r="J4">
            <v>3666.6666666666665</v>
          </cell>
          <cell r="K4">
            <v>4333.3333333333339</v>
          </cell>
        </row>
      </sheetData>
      <sheetData sheetId="9">
        <row r="4">
          <cell r="B4" t="str">
            <v>Linoleum 2013</v>
          </cell>
          <cell r="C4" t="str">
            <v>01.04.2013</v>
          </cell>
          <cell r="D4">
            <v>18041</v>
          </cell>
          <cell r="E4">
            <v>0</v>
          </cell>
          <cell r="F4">
            <v>18041</v>
          </cell>
          <cell r="G4">
            <v>0</v>
          </cell>
          <cell r="H4">
            <v>8</v>
          </cell>
          <cell r="I4">
            <v>6013.666666666667</v>
          </cell>
          <cell r="J4">
            <v>6013.666666666667</v>
          </cell>
          <cell r="K4">
            <v>12027.333333333332</v>
          </cell>
        </row>
      </sheetData>
      <sheetData sheetId="10">
        <row r="4">
          <cell r="B4" t="str">
            <v>Profile, Vida 2013</v>
          </cell>
          <cell r="C4" t="str">
            <v>09.04.2013</v>
          </cell>
          <cell r="D4">
            <v>15600</v>
          </cell>
          <cell r="E4">
            <v>0</v>
          </cell>
          <cell r="F4">
            <v>15600</v>
          </cell>
          <cell r="G4">
            <v>0</v>
          </cell>
          <cell r="H4">
            <v>8</v>
          </cell>
          <cell r="I4">
            <v>5200</v>
          </cell>
          <cell r="J4">
            <v>5200</v>
          </cell>
          <cell r="K4">
            <v>10400</v>
          </cell>
        </row>
      </sheetData>
      <sheetData sheetId="11">
        <row r="4">
          <cell r="B4" t="str">
            <v>Ene Kuzhine , 2013</v>
          </cell>
          <cell r="C4" t="str">
            <v>18.04.2013</v>
          </cell>
          <cell r="D4">
            <v>144608</v>
          </cell>
          <cell r="E4">
            <v>0</v>
          </cell>
          <cell r="F4">
            <v>144608</v>
          </cell>
          <cell r="G4">
            <v>0</v>
          </cell>
          <cell r="H4">
            <v>8</v>
          </cell>
          <cell r="I4">
            <v>48202.666666666664</v>
          </cell>
          <cell r="J4">
            <v>48202.666666666664</v>
          </cell>
          <cell r="K4">
            <v>96405.333333333343</v>
          </cell>
        </row>
      </sheetData>
      <sheetData sheetId="12">
        <row r="4">
          <cell r="B4" t="str">
            <v>Boje Rul 2013</v>
          </cell>
          <cell r="C4" t="str">
            <v>18.04.2013</v>
          </cell>
          <cell r="D4">
            <v>12950</v>
          </cell>
          <cell r="E4">
            <v>0</v>
          </cell>
          <cell r="F4">
            <v>12950</v>
          </cell>
          <cell r="G4">
            <v>0</v>
          </cell>
          <cell r="H4">
            <v>8</v>
          </cell>
          <cell r="I4">
            <v>4316.666666666667</v>
          </cell>
          <cell r="J4">
            <v>4316.666666666667</v>
          </cell>
          <cell r="K4">
            <v>8633.3333333333321</v>
          </cell>
        </row>
      </sheetData>
      <sheetData sheetId="13">
        <row r="6">
          <cell r="B6" t="str">
            <v>Kabell teknika 2013</v>
          </cell>
          <cell r="C6" t="str">
            <v>01.05.13</v>
          </cell>
          <cell r="D6">
            <v>46170</v>
          </cell>
          <cell r="E6">
            <v>0</v>
          </cell>
          <cell r="F6">
            <v>46170</v>
          </cell>
          <cell r="G6">
            <v>0</v>
          </cell>
          <cell r="H6">
            <v>7</v>
          </cell>
          <cell r="I6">
            <v>13466.25</v>
          </cell>
          <cell r="J6">
            <v>13466.25</v>
          </cell>
          <cell r="K6">
            <v>32703.75</v>
          </cell>
        </row>
      </sheetData>
      <sheetData sheetId="14">
        <row r="4">
          <cell r="B4" t="str">
            <v>Moket Blu 2013</v>
          </cell>
          <cell r="C4" t="str">
            <v>04.05.2013</v>
          </cell>
          <cell r="D4">
            <v>15516</v>
          </cell>
          <cell r="E4">
            <v>0</v>
          </cell>
          <cell r="F4">
            <v>15516</v>
          </cell>
          <cell r="G4">
            <v>0</v>
          </cell>
          <cell r="H4">
            <v>7</v>
          </cell>
          <cell r="I4">
            <v>4525.5</v>
          </cell>
          <cell r="J4">
            <v>4525.5</v>
          </cell>
          <cell r="K4">
            <v>10990.5</v>
          </cell>
        </row>
      </sheetData>
      <sheetData sheetId="15">
        <row r="4">
          <cell r="B4" t="str">
            <v>Punime Studio 2013</v>
          </cell>
          <cell r="C4" t="str">
            <v>01.06.2013</v>
          </cell>
          <cell r="D4">
            <v>45600</v>
          </cell>
          <cell r="E4">
            <v>0</v>
          </cell>
          <cell r="F4">
            <v>45600</v>
          </cell>
          <cell r="G4">
            <v>0</v>
          </cell>
          <cell r="H4">
            <v>6</v>
          </cell>
          <cell r="I4">
            <v>11400</v>
          </cell>
          <cell r="J4">
            <v>11400</v>
          </cell>
          <cell r="K4">
            <v>34200</v>
          </cell>
        </row>
      </sheetData>
      <sheetData sheetId="16">
        <row r="4">
          <cell r="B4" t="str">
            <v>Ferrota 2013</v>
          </cell>
          <cell r="C4" t="str">
            <v>05.06.2013</v>
          </cell>
          <cell r="D4">
            <v>13500</v>
          </cell>
          <cell r="E4">
            <v>0</v>
          </cell>
          <cell r="F4">
            <v>13500</v>
          </cell>
          <cell r="G4">
            <v>0</v>
          </cell>
          <cell r="H4">
            <v>6</v>
          </cell>
          <cell r="I4">
            <v>3375</v>
          </cell>
          <cell r="J4">
            <v>3375</v>
          </cell>
          <cell r="K4">
            <v>10125</v>
          </cell>
        </row>
      </sheetData>
      <sheetData sheetId="17">
        <row r="4">
          <cell r="B4" t="str">
            <v>Led Shirit 2013</v>
          </cell>
          <cell r="C4" t="str">
            <v>08.05.2013</v>
          </cell>
          <cell r="D4">
            <v>11250</v>
          </cell>
          <cell r="E4">
            <v>0</v>
          </cell>
          <cell r="F4">
            <v>11250</v>
          </cell>
          <cell r="G4">
            <v>0</v>
          </cell>
          <cell r="H4">
            <v>7</v>
          </cell>
          <cell r="I4">
            <v>3281.25</v>
          </cell>
          <cell r="J4">
            <v>3281.25</v>
          </cell>
          <cell r="K4">
            <v>7968.75</v>
          </cell>
        </row>
      </sheetData>
      <sheetData sheetId="18">
        <row r="4">
          <cell r="B4" t="str">
            <v>Bateri Auto 2013</v>
          </cell>
          <cell r="C4" t="str">
            <v>08.07.2013</v>
          </cell>
          <cell r="D4">
            <v>10500</v>
          </cell>
          <cell r="E4">
            <v>0</v>
          </cell>
          <cell r="F4">
            <v>10500</v>
          </cell>
          <cell r="G4">
            <v>0</v>
          </cell>
          <cell r="H4">
            <v>5</v>
          </cell>
          <cell r="I4">
            <v>2187.5</v>
          </cell>
          <cell r="J4">
            <v>2187.5</v>
          </cell>
          <cell r="K4">
            <v>8312.5</v>
          </cell>
        </row>
      </sheetData>
      <sheetData sheetId="19">
        <row r="4">
          <cell r="B4" t="str">
            <v>Materiale Skenografi 2013</v>
          </cell>
          <cell r="C4" t="str">
            <v>10.08.2013</v>
          </cell>
          <cell r="D4">
            <v>12750</v>
          </cell>
          <cell r="E4">
            <v>0</v>
          </cell>
          <cell r="F4">
            <v>12750</v>
          </cell>
          <cell r="G4">
            <v>0</v>
          </cell>
          <cell r="H4">
            <v>4</v>
          </cell>
          <cell r="I4">
            <v>2125</v>
          </cell>
          <cell r="J4">
            <v>2125</v>
          </cell>
          <cell r="K4">
            <v>10625</v>
          </cell>
        </row>
      </sheetData>
      <sheetData sheetId="20">
        <row r="4">
          <cell r="B4" t="str">
            <v>Pleksiglass 2013</v>
          </cell>
          <cell r="C4" t="str">
            <v>19.08.2013</v>
          </cell>
          <cell r="D4">
            <v>139178</v>
          </cell>
          <cell r="E4">
            <v>0</v>
          </cell>
          <cell r="F4">
            <v>139178</v>
          </cell>
          <cell r="G4">
            <v>0</v>
          </cell>
          <cell r="H4">
            <v>4</v>
          </cell>
          <cell r="I4">
            <v>23196.333333333332</v>
          </cell>
          <cell r="J4">
            <v>23196.333333333332</v>
          </cell>
          <cell r="K4">
            <v>115981.66666666667</v>
          </cell>
        </row>
      </sheetData>
      <sheetData sheetId="21">
        <row r="4">
          <cell r="B4" t="str">
            <v>Skenografi 2013</v>
          </cell>
          <cell r="C4" t="str">
            <v>17.09.2013</v>
          </cell>
          <cell r="D4">
            <v>25850</v>
          </cell>
          <cell r="E4">
            <v>0</v>
          </cell>
          <cell r="F4">
            <v>25850</v>
          </cell>
          <cell r="G4">
            <v>0</v>
          </cell>
          <cell r="H4">
            <v>3</v>
          </cell>
          <cell r="I4">
            <v>3231.25</v>
          </cell>
          <cell r="J4">
            <v>3231.25</v>
          </cell>
          <cell r="K4">
            <v>22618.75</v>
          </cell>
        </row>
      </sheetData>
      <sheetData sheetId="22">
        <row r="4">
          <cell r="B4" t="str">
            <v>UPS 2013</v>
          </cell>
          <cell r="C4" t="str">
            <v>08.06.2013</v>
          </cell>
          <cell r="D4">
            <v>14105</v>
          </cell>
          <cell r="E4">
            <v>0</v>
          </cell>
          <cell r="F4">
            <v>14105</v>
          </cell>
          <cell r="G4">
            <v>0</v>
          </cell>
          <cell r="H4">
            <v>6</v>
          </cell>
          <cell r="I4">
            <v>3526.25</v>
          </cell>
          <cell r="J4">
            <v>3526.25</v>
          </cell>
          <cell r="K4">
            <v>10578.75</v>
          </cell>
        </row>
      </sheetData>
      <sheetData sheetId="23">
        <row r="4">
          <cell r="B4" t="str">
            <v>Ferrota 2013</v>
          </cell>
          <cell r="C4" t="str">
            <v>25.08.2013</v>
          </cell>
          <cell r="D4">
            <v>11000</v>
          </cell>
          <cell r="E4">
            <v>0</v>
          </cell>
          <cell r="F4">
            <v>11000</v>
          </cell>
          <cell r="G4">
            <v>0</v>
          </cell>
          <cell r="H4">
            <v>4</v>
          </cell>
          <cell r="I4">
            <v>1833.3333333333333</v>
          </cell>
          <cell r="J4">
            <v>1833.3333333333333</v>
          </cell>
          <cell r="K4">
            <v>9166.6666666666661</v>
          </cell>
        </row>
      </sheetData>
      <sheetData sheetId="24">
        <row r="4">
          <cell r="B4" t="str">
            <v>Ferrota 2013</v>
          </cell>
          <cell r="C4" t="str">
            <v>26.07.2013</v>
          </cell>
          <cell r="D4">
            <v>15000</v>
          </cell>
          <cell r="E4">
            <v>0</v>
          </cell>
          <cell r="F4">
            <v>15000</v>
          </cell>
          <cell r="G4">
            <v>0</v>
          </cell>
          <cell r="H4">
            <v>5</v>
          </cell>
          <cell r="I4">
            <v>3125</v>
          </cell>
          <cell r="J4">
            <v>3125</v>
          </cell>
          <cell r="K4">
            <v>11875</v>
          </cell>
        </row>
      </sheetData>
      <sheetData sheetId="25">
        <row r="4">
          <cell r="B4" t="str">
            <v>Materile Skenografi  2013</v>
          </cell>
          <cell r="C4" t="str">
            <v>20.09.2013</v>
          </cell>
          <cell r="D4">
            <v>226707</v>
          </cell>
          <cell r="E4">
            <v>0</v>
          </cell>
          <cell r="F4">
            <v>226707</v>
          </cell>
          <cell r="G4">
            <v>0</v>
          </cell>
          <cell r="H4">
            <v>3</v>
          </cell>
          <cell r="I4">
            <v>28338.375</v>
          </cell>
          <cell r="J4">
            <v>28338.375</v>
          </cell>
          <cell r="K4">
            <v>198368.625</v>
          </cell>
        </row>
      </sheetData>
      <sheetData sheetId="26">
        <row r="4">
          <cell r="B4" t="str">
            <v>Ferrota 2013</v>
          </cell>
          <cell r="C4" t="str">
            <v>05.09.2013</v>
          </cell>
          <cell r="D4">
            <v>11000</v>
          </cell>
          <cell r="E4">
            <v>0</v>
          </cell>
          <cell r="F4">
            <v>11000</v>
          </cell>
          <cell r="G4">
            <v>0</v>
          </cell>
          <cell r="H4">
            <v>3</v>
          </cell>
          <cell r="I4">
            <v>1375</v>
          </cell>
          <cell r="J4">
            <v>1375</v>
          </cell>
          <cell r="K4">
            <v>9625</v>
          </cell>
        </row>
      </sheetData>
      <sheetData sheetId="27">
        <row r="4">
          <cell r="B4" t="str">
            <v>Dinamo Auto 2013</v>
          </cell>
          <cell r="C4" t="str">
            <v>11.09.2013</v>
          </cell>
          <cell r="D4">
            <v>28008</v>
          </cell>
          <cell r="E4">
            <v>0</v>
          </cell>
          <cell r="F4">
            <v>28008</v>
          </cell>
          <cell r="G4">
            <v>0</v>
          </cell>
          <cell r="H4">
            <v>3</v>
          </cell>
          <cell r="I4">
            <v>3501</v>
          </cell>
          <cell r="J4">
            <v>3501</v>
          </cell>
          <cell r="K4">
            <v>24507</v>
          </cell>
        </row>
      </sheetData>
      <sheetData sheetId="28">
        <row r="4">
          <cell r="B4" t="str">
            <v>Linoleum 2013</v>
          </cell>
          <cell r="C4" t="str">
            <v>05.11.2013</v>
          </cell>
          <cell r="D4">
            <v>14652</v>
          </cell>
          <cell r="E4">
            <v>0</v>
          </cell>
          <cell r="F4">
            <v>14652</v>
          </cell>
          <cell r="G4">
            <v>0</v>
          </cell>
          <cell r="H4">
            <v>1</v>
          </cell>
          <cell r="I4">
            <v>610.5</v>
          </cell>
          <cell r="J4">
            <v>610.5</v>
          </cell>
          <cell r="K4">
            <v>14041.5</v>
          </cell>
        </row>
      </sheetData>
      <sheetData sheetId="29">
        <row r="4">
          <cell r="B4" t="str">
            <v>Sisteme Elektrike 2013</v>
          </cell>
          <cell r="C4" t="str">
            <v>12.03.2013</v>
          </cell>
          <cell r="D4">
            <v>242680</v>
          </cell>
          <cell r="E4">
            <v>0</v>
          </cell>
          <cell r="F4">
            <v>242680</v>
          </cell>
          <cell r="G4">
            <v>0</v>
          </cell>
          <cell r="H4">
            <v>9</v>
          </cell>
          <cell r="I4">
            <v>91005</v>
          </cell>
          <cell r="J4">
            <v>91005</v>
          </cell>
          <cell r="K4">
            <v>151675</v>
          </cell>
        </row>
      </sheetData>
      <sheetData sheetId="30"/>
      <sheetData sheetId="31">
        <row r="123">
          <cell r="D123">
            <v>4942987</v>
          </cell>
          <cell r="E123">
            <v>4047756.3551388886</v>
          </cell>
          <cell r="F123">
            <v>4942987</v>
          </cell>
          <cell r="G123">
            <v>0</v>
          </cell>
          <cell r="H123">
            <v>24</v>
          </cell>
          <cell r="I123">
            <v>1721052.1085277775</v>
          </cell>
          <cell r="J123">
            <v>2616282.7533888891</v>
          </cell>
          <cell r="K123">
            <v>2326704.2466111109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ZENTR VEP ART 13"/>
      <sheetName val="ZENTR PAISJE INFO 13"/>
      <sheetName val="ZENTR MOB PAISJE ZYRE 13"/>
      <sheetName val="ZENTR  MJET TRANSP 13"/>
      <sheetName val="ZENTR MAKIN PAISJE 13"/>
      <sheetName val="ZENTR INSTR VEGLA 13"/>
      <sheetName val="ZENTR INST TEKN 13"/>
      <sheetName val="ZENTRUM TOT 12"/>
      <sheetName val="ZENTRUM shpenz zhvillimi 12"/>
      <sheetName val="ZENTR SHPENZ SHPERND 13 "/>
      <sheetName val="ZENTR AMORT 2013"/>
    </sheetNames>
    <sheetDataSet>
      <sheetData sheetId="0">
        <row r="1">
          <cell r="D1" t="str">
            <v xml:space="preserve">VEPRA ARTI </v>
          </cell>
          <cell r="J1">
            <v>21881</v>
          </cell>
        </row>
        <row r="2">
          <cell r="C2" t="str">
            <v>viti ushtr</v>
          </cell>
          <cell r="D2" t="str">
            <v>vl fillestare</v>
          </cell>
          <cell r="E2" t="str">
            <v>vl fill mbet</v>
          </cell>
          <cell r="F2" t="str">
            <v>blerje</v>
          </cell>
          <cell r="G2" t="str">
            <v>% amort</v>
          </cell>
          <cell r="H2" t="str">
            <v>koha e perd</v>
          </cell>
          <cell r="I2" t="str">
            <v>amort ushtr</v>
          </cell>
          <cell r="J2" t="str">
            <v>amort tot</v>
          </cell>
          <cell r="K2" t="str">
            <v>vl mbetur</v>
          </cell>
        </row>
        <row r="3">
          <cell r="A3">
            <v>1</v>
          </cell>
          <cell r="B3" t="str">
            <v>Vepra Arti 2013</v>
          </cell>
          <cell r="C3" t="str">
            <v>15.01.2013</v>
          </cell>
          <cell r="D3">
            <v>25220</v>
          </cell>
          <cell r="E3">
            <v>0</v>
          </cell>
          <cell r="F3">
            <v>25220</v>
          </cell>
          <cell r="G3">
            <v>20</v>
          </cell>
          <cell r="H3">
            <v>11</v>
          </cell>
          <cell r="I3">
            <v>0</v>
          </cell>
          <cell r="J3">
            <v>0</v>
          </cell>
          <cell r="K3">
            <v>25220</v>
          </cell>
        </row>
        <row r="5">
          <cell r="B5" t="str">
            <v>TOT</v>
          </cell>
          <cell r="C5">
            <v>2013</v>
          </cell>
          <cell r="D5">
            <v>25220</v>
          </cell>
          <cell r="E5">
            <v>0</v>
          </cell>
          <cell r="F5">
            <v>25220</v>
          </cell>
          <cell r="G5">
            <v>20</v>
          </cell>
          <cell r="H5">
            <v>11</v>
          </cell>
          <cell r="I5">
            <v>0</v>
          </cell>
          <cell r="J5">
            <v>0</v>
          </cell>
          <cell r="K5">
            <v>25220</v>
          </cell>
        </row>
      </sheetData>
      <sheetData sheetId="1">
        <row r="1">
          <cell r="D1" t="str">
            <v xml:space="preserve">PAIJISJE INFORMATIKE </v>
          </cell>
          <cell r="J1">
            <v>2182</v>
          </cell>
        </row>
        <row r="2">
          <cell r="C2" t="str">
            <v>viti ushtr</v>
          </cell>
          <cell r="D2" t="str">
            <v>vl fillestare</v>
          </cell>
          <cell r="E2" t="str">
            <v>vl fill mbet</v>
          </cell>
          <cell r="F2" t="str">
            <v>blerje</v>
          </cell>
          <cell r="G2" t="str">
            <v>% amort</v>
          </cell>
          <cell r="H2" t="str">
            <v>koha e perd</v>
          </cell>
          <cell r="I2" t="str">
            <v>amort ushtr</v>
          </cell>
          <cell r="J2" t="str">
            <v>amort tot</v>
          </cell>
          <cell r="K2" t="str">
            <v>vl mbetur</v>
          </cell>
        </row>
        <row r="3">
          <cell r="A3">
            <v>1</v>
          </cell>
          <cell r="B3" t="str">
            <v>Bllok Ushqimi 2013</v>
          </cell>
          <cell r="C3" t="str">
            <v>21.10.2013</v>
          </cell>
          <cell r="D3">
            <v>4166</v>
          </cell>
          <cell r="E3">
            <v>0</v>
          </cell>
          <cell r="F3">
            <v>4166</v>
          </cell>
          <cell r="G3">
            <v>25</v>
          </cell>
          <cell r="H3">
            <v>2</v>
          </cell>
          <cell r="I3">
            <v>173.58333333333334</v>
          </cell>
          <cell r="J3">
            <v>173.58333333333334</v>
          </cell>
          <cell r="K3">
            <v>3992.4166666666665</v>
          </cell>
        </row>
        <row r="5">
          <cell r="A5">
            <v>2</v>
          </cell>
          <cell r="B5" t="str">
            <v>Komp Workstation 2013</v>
          </cell>
          <cell r="C5" t="str">
            <v>27.08.2013</v>
          </cell>
          <cell r="D5">
            <v>134166</v>
          </cell>
          <cell r="E5">
            <v>0</v>
          </cell>
          <cell r="F5">
            <v>134166</v>
          </cell>
          <cell r="G5">
            <v>25</v>
          </cell>
          <cell r="H5">
            <v>4</v>
          </cell>
          <cell r="I5">
            <v>11180.5</v>
          </cell>
          <cell r="J5">
            <v>11180.5</v>
          </cell>
          <cell r="K5">
            <v>122985.5</v>
          </cell>
        </row>
        <row r="7">
          <cell r="A7">
            <v>3</v>
          </cell>
          <cell r="B7" t="str">
            <v>Kompjuter 2013</v>
          </cell>
          <cell r="C7" t="str">
            <v>19.08.2013</v>
          </cell>
          <cell r="D7">
            <v>105000</v>
          </cell>
          <cell r="E7">
            <v>0</v>
          </cell>
          <cell r="F7">
            <v>105000</v>
          </cell>
          <cell r="G7">
            <v>25</v>
          </cell>
          <cell r="H7">
            <v>4</v>
          </cell>
          <cell r="I7">
            <v>8750</v>
          </cell>
          <cell r="J7">
            <v>8750</v>
          </cell>
          <cell r="K7">
            <v>96250</v>
          </cell>
        </row>
        <row r="9">
          <cell r="A9">
            <v>4</v>
          </cell>
          <cell r="B9" t="str">
            <v>HD Liveboard 2013</v>
          </cell>
          <cell r="C9" t="str">
            <v>11.06.2013</v>
          </cell>
          <cell r="D9">
            <v>7583</v>
          </cell>
          <cell r="E9">
            <v>0</v>
          </cell>
          <cell r="F9">
            <v>7583</v>
          </cell>
          <cell r="G9">
            <v>25</v>
          </cell>
          <cell r="H9">
            <v>6</v>
          </cell>
          <cell r="I9">
            <v>947.875</v>
          </cell>
          <cell r="J9">
            <v>947.875</v>
          </cell>
          <cell r="K9">
            <v>6635.125</v>
          </cell>
        </row>
        <row r="11">
          <cell r="A11">
            <v>5</v>
          </cell>
          <cell r="B11" t="str">
            <v>Printer 2013</v>
          </cell>
          <cell r="C11" t="str">
            <v>04.07.2013</v>
          </cell>
          <cell r="D11">
            <v>10417</v>
          </cell>
          <cell r="E11">
            <v>0</v>
          </cell>
          <cell r="F11">
            <v>10417</v>
          </cell>
          <cell r="G11">
            <v>25</v>
          </cell>
          <cell r="H11">
            <v>5</v>
          </cell>
          <cell r="I11">
            <v>1085.1041666666667</v>
          </cell>
          <cell r="J11">
            <v>1085.1041666666667</v>
          </cell>
          <cell r="K11">
            <v>9331.8958333333339</v>
          </cell>
        </row>
        <row r="13">
          <cell r="A13">
            <v>6</v>
          </cell>
          <cell r="B13" t="str">
            <v>Printer 2013</v>
          </cell>
          <cell r="C13" t="str">
            <v>04.07.2013</v>
          </cell>
          <cell r="D13">
            <v>34917</v>
          </cell>
          <cell r="E13">
            <v>0</v>
          </cell>
          <cell r="F13">
            <v>34917</v>
          </cell>
          <cell r="G13">
            <v>25</v>
          </cell>
          <cell r="H13">
            <v>5</v>
          </cell>
          <cell r="I13">
            <v>3637.1875</v>
          </cell>
          <cell r="J13">
            <v>3637.1875</v>
          </cell>
          <cell r="K13">
            <v>31279.8125</v>
          </cell>
        </row>
        <row r="15">
          <cell r="A15">
            <v>7</v>
          </cell>
          <cell r="B15" t="str">
            <v>Monitor 2013</v>
          </cell>
          <cell r="C15" t="str">
            <v>14.06.2013</v>
          </cell>
          <cell r="D15">
            <v>18667</v>
          </cell>
          <cell r="E15">
            <v>0</v>
          </cell>
          <cell r="F15">
            <v>18667</v>
          </cell>
          <cell r="G15">
            <v>25</v>
          </cell>
          <cell r="H15">
            <v>6</v>
          </cell>
          <cell r="I15">
            <v>2333.375</v>
          </cell>
          <cell r="J15">
            <v>2333.375</v>
          </cell>
          <cell r="K15">
            <v>16333.625</v>
          </cell>
        </row>
        <row r="17">
          <cell r="A17">
            <v>8</v>
          </cell>
          <cell r="B17" t="str">
            <v>Kompjuter 2013</v>
          </cell>
          <cell r="C17" t="str">
            <v>14.06.2013</v>
          </cell>
          <cell r="D17">
            <v>74667</v>
          </cell>
          <cell r="E17">
            <v>0</v>
          </cell>
          <cell r="F17">
            <v>74667</v>
          </cell>
          <cell r="G17">
            <v>25</v>
          </cell>
          <cell r="H17">
            <v>6</v>
          </cell>
          <cell r="I17">
            <v>9333.375</v>
          </cell>
          <cell r="J17">
            <v>9333.375</v>
          </cell>
          <cell r="K17">
            <v>65333.625</v>
          </cell>
        </row>
        <row r="19">
          <cell r="A19">
            <v>9</v>
          </cell>
          <cell r="B19" t="str">
            <v>HDD RAM 2013</v>
          </cell>
          <cell r="C19" t="str">
            <v>14.05.2013</v>
          </cell>
          <cell r="D19">
            <v>16833</v>
          </cell>
          <cell r="E19">
            <v>0</v>
          </cell>
          <cell r="F19">
            <v>16833</v>
          </cell>
          <cell r="G19">
            <v>25</v>
          </cell>
          <cell r="H19">
            <v>7</v>
          </cell>
          <cell r="I19">
            <v>2454.8125</v>
          </cell>
          <cell r="J19">
            <v>2454.8125</v>
          </cell>
          <cell r="K19">
            <v>14378.1875</v>
          </cell>
        </row>
        <row r="21">
          <cell r="A21">
            <v>10</v>
          </cell>
          <cell r="B21" t="str">
            <v>Karte Grafike 2013</v>
          </cell>
          <cell r="C21" t="str">
            <v>08.05.2013</v>
          </cell>
          <cell r="D21">
            <v>56667</v>
          </cell>
          <cell r="E21">
            <v>0</v>
          </cell>
          <cell r="F21">
            <v>56667</v>
          </cell>
          <cell r="G21">
            <v>25</v>
          </cell>
          <cell r="H21">
            <v>7</v>
          </cell>
          <cell r="I21">
            <v>8263.9375</v>
          </cell>
          <cell r="J21">
            <v>8263.9375</v>
          </cell>
          <cell r="K21">
            <v>48403.0625</v>
          </cell>
        </row>
        <row r="23">
          <cell r="A23">
            <v>11</v>
          </cell>
          <cell r="B23" t="str">
            <v>Karte rrjeti Wirles 2013</v>
          </cell>
          <cell r="C23" t="str">
            <v>01.05.2013</v>
          </cell>
          <cell r="D23">
            <v>29167</v>
          </cell>
          <cell r="E23">
            <v>0</v>
          </cell>
          <cell r="F23">
            <v>29167</v>
          </cell>
          <cell r="G23">
            <v>25</v>
          </cell>
          <cell r="H23">
            <v>7</v>
          </cell>
          <cell r="I23">
            <v>4253.5208333333339</v>
          </cell>
          <cell r="J23">
            <v>4253.5208333333339</v>
          </cell>
          <cell r="K23">
            <v>24913.479166666664</v>
          </cell>
        </row>
        <row r="25">
          <cell r="A25">
            <v>12</v>
          </cell>
          <cell r="B25" t="str">
            <v>HDD 2013</v>
          </cell>
          <cell r="C25" t="str">
            <v>21.05.2013</v>
          </cell>
          <cell r="D25">
            <v>31500</v>
          </cell>
          <cell r="E25">
            <v>0</v>
          </cell>
          <cell r="F25">
            <v>31500</v>
          </cell>
          <cell r="G25">
            <v>25</v>
          </cell>
          <cell r="H25">
            <v>7</v>
          </cell>
          <cell r="I25">
            <v>4593.75</v>
          </cell>
          <cell r="J25">
            <v>4593.75</v>
          </cell>
          <cell r="K25">
            <v>26906.25</v>
          </cell>
        </row>
        <row r="27">
          <cell r="A27">
            <v>13</v>
          </cell>
          <cell r="B27" t="str">
            <v>Laptop DELL 2013</v>
          </cell>
          <cell r="C27" t="str">
            <v>13.05.2013</v>
          </cell>
          <cell r="D27">
            <v>78250</v>
          </cell>
          <cell r="E27">
            <v>0</v>
          </cell>
          <cell r="F27">
            <v>78250</v>
          </cell>
          <cell r="G27">
            <v>25</v>
          </cell>
          <cell r="H27">
            <v>7</v>
          </cell>
          <cell r="I27">
            <v>11411.458333333332</v>
          </cell>
          <cell r="J27">
            <v>11411.458333333332</v>
          </cell>
          <cell r="K27">
            <v>66838.541666666672</v>
          </cell>
        </row>
        <row r="29">
          <cell r="A29">
            <v>14</v>
          </cell>
          <cell r="B29" t="str">
            <v>Kamera me Percjelles 2013</v>
          </cell>
          <cell r="C29" t="str">
            <v>04.05.2013</v>
          </cell>
          <cell r="D29">
            <v>17250</v>
          </cell>
          <cell r="E29">
            <v>0</v>
          </cell>
          <cell r="F29">
            <v>17250</v>
          </cell>
          <cell r="G29">
            <v>25</v>
          </cell>
          <cell r="H29">
            <v>7</v>
          </cell>
          <cell r="I29">
            <v>2515.625</v>
          </cell>
          <cell r="J29">
            <v>2515.625</v>
          </cell>
          <cell r="K29">
            <v>14734.375</v>
          </cell>
        </row>
        <row r="31">
          <cell r="A31">
            <v>15</v>
          </cell>
          <cell r="B31" t="str">
            <v>Inverter 2013</v>
          </cell>
          <cell r="C31" t="str">
            <v>04.05.2013</v>
          </cell>
          <cell r="D31">
            <v>35000</v>
          </cell>
          <cell r="E31">
            <v>0</v>
          </cell>
          <cell r="F31">
            <v>35000</v>
          </cell>
          <cell r="G31">
            <v>25</v>
          </cell>
          <cell r="H31">
            <v>7</v>
          </cell>
          <cell r="I31">
            <v>5104.1666666666661</v>
          </cell>
          <cell r="J31">
            <v>5104.1666666666661</v>
          </cell>
          <cell r="K31">
            <v>29895.833333333336</v>
          </cell>
        </row>
        <row r="33">
          <cell r="A33">
            <v>16</v>
          </cell>
          <cell r="B33" t="str">
            <v>Inverter 2013</v>
          </cell>
          <cell r="C33" t="str">
            <v>04.05.2013</v>
          </cell>
          <cell r="D33">
            <v>50000</v>
          </cell>
          <cell r="E33">
            <v>0</v>
          </cell>
          <cell r="F33">
            <v>50000</v>
          </cell>
          <cell r="G33">
            <v>25</v>
          </cell>
          <cell r="H33">
            <v>7</v>
          </cell>
          <cell r="I33">
            <v>7291.666666666667</v>
          </cell>
          <cell r="J33">
            <v>7291.666666666667</v>
          </cell>
          <cell r="K33">
            <v>42708.333333333336</v>
          </cell>
        </row>
        <row r="35">
          <cell r="A35">
            <v>17</v>
          </cell>
          <cell r="B35" t="str">
            <v>Kompjuter 2013</v>
          </cell>
          <cell r="C35" t="str">
            <v>17.05.2013</v>
          </cell>
          <cell r="D35">
            <v>48250</v>
          </cell>
          <cell r="E35">
            <v>0</v>
          </cell>
          <cell r="F35">
            <v>48250</v>
          </cell>
          <cell r="G35">
            <v>25</v>
          </cell>
          <cell r="H35">
            <v>7</v>
          </cell>
          <cell r="I35">
            <v>7036.4583333333339</v>
          </cell>
          <cell r="J35">
            <v>7036.4583333333339</v>
          </cell>
          <cell r="K35">
            <v>41213.541666666664</v>
          </cell>
        </row>
        <row r="37">
          <cell r="A37">
            <v>18</v>
          </cell>
          <cell r="B37" t="str">
            <v>DVR 2013</v>
          </cell>
          <cell r="C37" t="str">
            <v>14.05.2013</v>
          </cell>
          <cell r="D37">
            <v>18667</v>
          </cell>
          <cell r="E37">
            <v>0</v>
          </cell>
          <cell r="F37">
            <v>18667</v>
          </cell>
          <cell r="G37">
            <v>25</v>
          </cell>
          <cell r="H37">
            <v>7</v>
          </cell>
          <cell r="I37">
            <v>2722.270833333333</v>
          </cell>
          <cell r="J37">
            <v>2722.270833333333</v>
          </cell>
          <cell r="K37">
            <v>15944.729166666668</v>
          </cell>
        </row>
        <row r="39">
          <cell r="A39">
            <v>19</v>
          </cell>
          <cell r="B39" t="str">
            <v>Switch 2013</v>
          </cell>
          <cell r="C39" t="str">
            <v>10.01.2013</v>
          </cell>
          <cell r="D39">
            <v>5600</v>
          </cell>
          <cell r="E39">
            <v>0</v>
          </cell>
          <cell r="F39">
            <v>5600</v>
          </cell>
          <cell r="G39">
            <v>25</v>
          </cell>
          <cell r="H39">
            <v>11</v>
          </cell>
          <cell r="I39">
            <v>1283.3333333333335</v>
          </cell>
          <cell r="J39">
            <v>1283.3333333333335</v>
          </cell>
          <cell r="K39">
            <v>4316.6666666666661</v>
          </cell>
        </row>
        <row r="41">
          <cell r="A41">
            <v>20</v>
          </cell>
          <cell r="B41" t="str">
            <v>WEBCAM 2013</v>
          </cell>
          <cell r="C41" t="str">
            <v>06.02.2013</v>
          </cell>
          <cell r="D41">
            <v>4083</v>
          </cell>
          <cell r="E41">
            <v>0</v>
          </cell>
          <cell r="F41">
            <v>4083</v>
          </cell>
          <cell r="G41">
            <v>25</v>
          </cell>
          <cell r="H41">
            <v>10</v>
          </cell>
          <cell r="I41">
            <v>850.625</v>
          </cell>
          <cell r="J41">
            <v>850.625</v>
          </cell>
          <cell r="K41">
            <v>3232.375</v>
          </cell>
        </row>
        <row r="43">
          <cell r="A43">
            <v>21</v>
          </cell>
          <cell r="B43" t="str">
            <v>Kompjuter 2013</v>
          </cell>
          <cell r="C43" t="str">
            <v>06.02.2013</v>
          </cell>
          <cell r="D43">
            <v>117833</v>
          </cell>
          <cell r="E43">
            <v>0</v>
          </cell>
          <cell r="F43">
            <v>117833</v>
          </cell>
          <cell r="G43">
            <v>25</v>
          </cell>
          <cell r="H43">
            <v>10</v>
          </cell>
          <cell r="I43">
            <v>24548.541666666664</v>
          </cell>
          <cell r="J43">
            <v>24548.541666666664</v>
          </cell>
          <cell r="K43">
            <v>93284.458333333343</v>
          </cell>
        </row>
        <row r="45">
          <cell r="A45">
            <v>22</v>
          </cell>
          <cell r="B45" t="str">
            <v>Monitor 22 " 2013</v>
          </cell>
          <cell r="C45" t="str">
            <v>07.02.2013</v>
          </cell>
          <cell r="D45">
            <v>9333</v>
          </cell>
          <cell r="E45">
            <v>0</v>
          </cell>
          <cell r="F45">
            <v>9333</v>
          </cell>
          <cell r="G45">
            <v>25</v>
          </cell>
          <cell r="H45">
            <v>10</v>
          </cell>
          <cell r="I45">
            <v>1944.375</v>
          </cell>
          <cell r="J45">
            <v>1944.375</v>
          </cell>
          <cell r="K45">
            <v>7388.625</v>
          </cell>
        </row>
        <row r="47">
          <cell r="A47">
            <v>23</v>
          </cell>
          <cell r="B47" t="str">
            <v>Router 2013</v>
          </cell>
          <cell r="C47" t="str">
            <v>08.02.2013</v>
          </cell>
          <cell r="D47">
            <v>7000</v>
          </cell>
          <cell r="E47">
            <v>0</v>
          </cell>
          <cell r="F47">
            <v>7000</v>
          </cell>
          <cell r="G47">
            <v>25</v>
          </cell>
          <cell r="H47">
            <v>10</v>
          </cell>
          <cell r="I47">
            <v>1458.3333333333335</v>
          </cell>
          <cell r="J47">
            <v>1458.3333333333335</v>
          </cell>
          <cell r="K47">
            <v>5541.6666666666661</v>
          </cell>
        </row>
        <row r="49">
          <cell r="A49">
            <v>24</v>
          </cell>
          <cell r="B49" t="str">
            <v>Karte zeri 2013</v>
          </cell>
          <cell r="C49" t="str">
            <v>23.02.2013</v>
          </cell>
          <cell r="D49">
            <v>4082</v>
          </cell>
          <cell r="E49">
            <v>0</v>
          </cell>
          <cell r="F49">
            <v>4082</v>
          </cell>
          <cell r="G49">
            <v>25</v>
          </cell>
          <cell r="H49">
            <v>10</v>
          </cell>
          <cell r="I49">
            <v>850.41666666666674</v>
          </cell>
          <cell r="J49">
            <v>850.41666666666674</v>
          </cell>
          <cell r="K49">
            <v>3231.583333333333</v>
          </cell>
        </row>
        <row r="51">
          <cell r="A51">
            <v>25</v>
          </cell>
          <cell r="B51" t="str">
            <v>X devel 2013</v>
          </cell>
          <cell r="C51" t="str">
            <v>29.03.2013</v>
          </cell>
          <cell r="D51">
            <v>267868</v>
          </cell>
          <cell r="E51">
            <v>0</v>
          </cell>
          <cell r="F51">
            <v>267868</v>
          </cell>
          <cell r="G51">
            <v>25</v>
          </cell>
          <cell r="H51">
            <v>9</v>
          </cell>
          <cell r="I51">
            <v>50225.25</v>
          </cell>
          <cell r="J51">
            <v>50225.25</v>
          </cell>
          <cell r="K51">
            <v>217642.75</v>
          </cell>
        </row>
        <row r="53">
          <cell r="A53">
            <v>26</v>
          </cell>
          <cell r="B53" t="str">
            <v>Mini Converter 2013</v>
          </cell>
          <cell r="C53" t="str">
            <v>23.01.2013</v>
          </cell>
          <cell r="D53">
            <v>35700</v>
          </cell>
          <cell r="E53">
            <v>0</v>
          </cell>
          <cell r="F53">
            <v>35700</v>
          </cell>
          <cell r="G53">
            <v>25</v>
          </cell>
          <cell r="H53">
            <v>11</v>
          </cell>
          <cell r="I53">
            <v>8181.25</v>
          </cell>
          <cell r="J53">
            <v>8181.25</v>
          </cell>
          <cell r="K53">
            <v>27518.75</v>
          </cell>
        </row>
        <row r="55">
          <cell r="A55">
            <v>27</v>
          </cell>
          <cell r="B55" t="str">
            <v>Kompjuter HDD 2013</v>
          </cell>
          <cell r="C55" t="str">
            <v>23.01.2013</v>
          </cell>
          <cell r="D55">
            <v>125417</v>
          </cell>
          <cell r="E55">
            <v>0</v>
          </cell>
          <cell r="F55">
            <v>125417</v>
          </cell>
          <cell r="G55">
            <v>25</v>
          </cell>
          <cell r="H55">
            <v>11</v>
          </cell>
          <cell r="I55">
            <v>28741.395833333332</v>
          </cell>
          <cell r="J55">
            <v>28741.395833333332</v>
          </cell>
          <cell r="K55">
            <v>96675.604166666672</v>
          </cell>
        </row>
        <row r="57">
          <cell r="C57">
            <v>2013</v>
          </cell>
        </row>
      </sheetData>
      <sheetData sheetId="2">
        <row r="1">
          <cell r="D1" t="str">
            <v xml:space="preserve">MOBILJE DHE PAJISJE ZYRE </v>
          </cell>
          <cell r="J1">
            <v>2181</v>
          </cell>
        </row>
        <row r="2">
          <cell r="C2" t="str">
            <v>viti ushtr</v>
          </cell>
          <cell r="D2" t="str">
            <v>vl fillestare</v>
          </cell>
          <cell r="E2" t="str">
            <v>vl fill mbet</v>
          </cell>
          <cell r="F2" t="str">
            <v>blerje</v>
          </cell>
          <cell r="G2" t="str">
            <v>% amort</v>
          </cell>
          <cell r="H2" t="str">
            <v>koha e perd</v>
          </cell>
          <cell r="I2" t="str">
            <v>amort ushtr</v>
          </cell>
          <cell r="J2" t="str">
            <v>amort tot</v>
          </cell>
          <cell r="K2" t="str">
            <v>vl mbetur</v>
          </cell>
        </row>
        <row r="3">
          <cell r="A3">
            <v>1</v>
          </cell>
          <cell r="B3" t="str">
            <v>Mobilje zyra 2013</v>
          </cell>
          <cell r="C3" t="str">
            <v>20.12.2013</v>
          </cell>
          <cell r="D3">
            <v>47000</v>
          </cell>
          <cell r="E3">
            <v>0</v>
          </cell>
          <cell r="F3">
            <v>47000</v>
          </cell>
          <cell r="G3">
            <v>20</v>
          </cell>
          <cell r="H3">
            <v>0</v>
          </cell>
          <cell r="I3">
            <v>0</v>
          </cell>
          <cell r="J3">
            <v>0</v>
          </cell>
          <cell r="K3">
            <v>47000</v>
          </cell>
        </row>
        <row r="5">
          <cell r="A5">
            <v>2</v>
          </cell>
          <cell r="B5" t="str">
            <v>Karrige e zeze 2013</v>
          </cell>
          <cell r="C5" t="str">
            <v>04.05.2013</v>
          </cell>
          <cell r="D5">
            <v>6658</v>
          </cell>
          <cell r="E5">
            <v>0</v>
          </cell>
          <cell r="F5">
            <v>6658</v>
          </cell>
          <cell r="G5">
            <v>20</v>
          </cell>
          <cell r="H5">
            <v>7</v>
          </cell>
          <cell r="I5">
            <v>776.76666666666677</v>
          </cell>
          <cell r="J5">
            <v>776.76666666666677</v>
          </cell>
          <cell r="K5">
            <v>5881.2333333333336</v>
          </cell>
        </row>
        <row r="7">
          <cell r="A7">
            <v>3</v>
          </cell>
          <cell r="B7" t="str">
            <v>Karrige e kuqe 2013</v>
          </cell>
          <cell r="C7" t="str">
            <v>04.05.2013</v>
          </cell>
          <cell r="D7">
            <v>21633</v>
          </cell>
          <cell r="E7">
            <v>0</v>
          </cell>
          <cell r="F7">
            <v>21633</v>
          </cell>
          <cell r="G7">
            <v>20</v>
          </cell>
          <cell r="H7">
            <v>7</v>
          </cell>
          <cell r="I7">
            <v>2523.85</v>
          </cell>
          <cell r="J7">
            <v>2523.85</v>
          </cell>
          <cell r="K7">
            <v>19109.150000000001</v>
          </cell>
        </row>
        <row r="9">
          <cell r="A9">
            <v>4</v>
          </cell>
          <cell r="B9" t="str">
            <v>Karrige 2013</v>
          </cell>
          <cell r="C9" t="str">
            <v>04.03.2013</v>
          </cell>
          <cell r="D9">
            <v>5245</v>
          </cell>
          <cell r="E9">
            <v>0</v>
          </cell>
          <cell r="F9">
            <v>5245</v>
          </cell>
          <cell r="G9">
            <v>20</v>
          </cell>
          <cell r="H9">
            <v>9</v>
          </cell>
          <cell r="I9">
            <v>786.75</v>
          </cell>
          <cell r="J9">
            <v>786.75</v>
          </cell>
          <cell r="K9">
            <v>4458.25</v>
          </cell>
        </row>
        <row r="11">
          <cell r="A11">
            <v>5</v>
          </cell>
          <cell r="B11" t="str">
            <v>Tavoline Karrige 2013</v>
          </cell>
          <cell r="C11" t="str">
            <v>25.01.2013</v>
          </cell>
          <cell r="D11">
            <v>15000</v>
          </cell>
          <cell r="E11">
            <v>0</v>
          </cell>
          <cell r="F11">
            <v>15000</v>
          </cell>
          <cell r="G11">
            <v>20</v>
          </cell>
          <cell r="H11">
            <v>11</v>
          </cell>
          <cell r="I11">
            <v>2750</v>
          </cell>
          <cell r="J11">
            <v>2750</v>
          </cell>
          <cell r="K11">
            <v>12250</v>
          </cell>
        </row>
        <row r="13">
          <cell r="B13" t="str">
            <v>TOT</v>
          </cell>
          <cell r="C13">
            <v>2013</v>
          </cell>
        </row>
      </sheetData>
      <sheetData sheetId="3">
        <row r="1">
          <cell r="D1" t="str">
            <v xml:space="preserve">MJETE TRANSPORTI </v>
          </cell>
          <cell r="J1">
            <v>215</v>
          </cell>
        </row>
        <row r="2">
          <cell r="C2" t="str">
            <v>viti ushtr</v>
          </cell>
          <cell r="D2" t="str">
            <v>vl fillestare</v>
          </cell>
          <cell r="E2" t="str">
            <v>vl fill mbet</v>
          </cell>
          <cell r="F2" t="str">
            <v>blerje</v>
          </cell>
          <cell r="G2" t="str">
            <v>% amort</v>
          </cell>
          <cell r="H2" t="str">
            <v>koha e perd</v>
          </cell>
          <cell r="I2" t="str">
            <v>amort ushtr</v>
          </cell>
          <cell r="J2" t="str">
            <v>amort tot</v>
          </cell>
          <cell r="K2" t="str">
            <v>vl mbetur</v>
          </cell>
        </row>
        <row r="3">
          <cell r="A3">
            <v>1</v>
          </cell>
          <cell r="B3" t="str">
            <v>VW TR 7422 U 2013</v>
          </cell>
          <cell r="C3" t="str">
            <v>09.04.2013</v>
          </cell>
          <cell r="D3">
            <v>998750</v>
          </cell>
          <cell r="E3">
            <v>0</v>
          </cell>
          <cell r="F3">
            <v>998750</v>
          </cell>
          <cell r="G3">
            <v>20</v>
          </cell>
          <cell r="H3">
            <v>8</v>
          </cell>
          <cell r="I3">
            <v>133166.66666666666</v>
          </cell>
          <cell r="J3">
            <v>133166.66666666666</v>
          </cell>
          <cell r="K3">
            <v>865583.33333333337</v>
          </cell>
        </row>
        <row r="5">
          <cell r="A5">
            <v>2</v>
          </cell>
          <cell r="B5" t="str">
            <v>VW TR 7466 U 2013</v>
          </cell>
          <cell r="C5" t="str">
            <v>09.04.2013</v>
          </cell>
          <cell r="D5">
            <v>998750</v>
          </cell>
          <cell r="E5">
            <v>0</v>
          </cell>
          <cell r="F5">
            <v>998750</v>
          </cell>
          <cell r="G5">
            <v>20</v>
          </cell>
          <cell r="H5">
            <v>8</v>
          </cell>
          <cell r="I5">
            <v>133166.66666666666</v>
          </cell>
          <cell r="J5">
            <v>133166.66666666666</v>
          </cell>
          <cell r="K5">
            <v>865583.33333333337</v>
          </cell>
        </row>
        <row r="7">
          <cell r="A7">
            <v>3</v>
          </cell>
          <cell r="B7" t="str">
            <v>VW AA846 DP 2013</v>
          </cell>
          <cell r="C7" t="str">
            <v>09.04.2013</v>
          </cell>
          <cell r="D7">
            <v>1938750</v>
          </cell>
          <cell r="E7">
            <v>0</v>
          </cell>
          <cell r="F7">
            <v>1938750</v>
          </cell>
          <cell r="G7">
            <v>20</v>
          </cell>
          <cell r="H7">
            <v>8</v>
          </cell>
          <cell r="I7">
            <v>258500</v>
          </cell>
          <cell r="J7">
            <v>258500</v>
          </cell>
          <cell r="K7">
            <v>1680250</v>
          </cell>
        </row>
        <row r="9">
          <cell r="A9">
            <v>4</v>
          </cell>
          <cell r="B9" t="str">
            <v>VW AA 847 DP 2013</v>
          </cell>
          <cell r="C9" t="str">
            <v>09.04.2013</v>
          </cell>
          <cell r="D9">
            <v>1938750</v>
          </cell>
          <cell r="E9">
            <v>0</v>
          </cell>
          <cell r="F9">
            <v>1938750</v>
          </cell>
          <cell r="G9">
            <v>20</v>
          </cell>
          <cell r="H9">
            <v>8</v>
          </cell>
          <cell r="I9">
            <v>258500</v>
          </cell>
          <cell r="J9">
            <v>258500</v>
          </cell>
          <cell r="K9">
            <v>1680250</v>
          </cell>
        </row>
        <row r="11">
          <cell r="A11">
            <v>5</v>
          </cell>
          <cell r="B11" t="str">
            <v>VW AA837 DP 2013</v>
          </cell>
          <cell r="C11" t="str">
            <v>09.04.2013</v>
          </cell>
          <cell r="D11">
            <v>1938750</v>
          </cell>
          <cell r="E11">
            <v>0</v>
          </cell>
          <cell r="F11">
            <v>1938750</v>
          </cell>
          <cell r="G11">
            <v>20</v>
          </cell>
          <cell r="H11">
            <v>8</v>
          </cell>
          <cell r="I11">
            <v>258500</v>
          </cell>
          <cell r="J11">
            <v>258500</v>
          </cell>
          <cell r="K11">
            <v>1680250</v>
          </cell>
        </row>
        <row r="13">
          <cell r="A13">
            <v>6</v>
          </cell>
          <cell r="B13" t="str">
            <v>VW AA839 DP  2013</v>
          </cell>
          <cell r="C13" t="str">
            <v>09.04.2013</v>
          </cell>
          <cell r="D13">
            <v>1938750</v>
          </cell>
          <cell r="E13">
            <v>0</v>
          </cell>
          <cell r="F13">
            <v>1938750</v>
          </cell>
          <cell r="G13">
            <v>20</v>
          </cell>
          <cell r="H13">
            <v>8</v>
          </cell>
          <cell r="I13">
            <v>258500</v>
          </cell>
          <cell r="J13">
            <v>258500</v>
          </cell>
          <cell r="K13">
            <v>1680250</v>
          </cell>
        </row>
        <row r="15">
          <cell r="B15" t="str">
            <v>TOT</v>
          </cell>
          <cell r="C15">
            <v>2013</v>
          </cell>
        </row>
      </sheetData>
      <sheetData sheetId="4">
        <row r="2">
          <cell r="D2" t="str">
            <v xml:space="preserve">MAKINERI DHE PAJISJE PUNE </v>
          </cell>
          <cell r="J2">
            <v>2134</v>
          </cell>
        </row>
        <row r="3">
          <cell r="C3" t="str">
            <v>viti ushtr</v>
          </cell>
          <cell r="D3" t="str">
            <v>vl fillestare</v>
          </cell>
          <cell r="E3" t="str">
            <v>vl fill mbet</v>
          </cell>
          <cell r="F3" t="str">
            <v>blerje</v>
          </cell>
          <cell r="G3" t="str">
            <v>% amort</v>
          </cell>
          <cell r="H3" t="str">
            <v>koha e perd</v>
          </cell>
          <cell r="I3" t="str">
            <v>amort ushtr</v>
          </cell>
          <cell r="J3" t="str">
            <v>amort tot</v>
          </cell>
          <cell r="K3" t="str">
            <v>vl mbetur</v>
          </cell>
        </row>
        <row r="4">
          <cell r="A4">
            <v>1</v>
          </cell>
          <cell r="B4" t="str">
            <v>BMD - Perd 2013</v>
          </cell>
          <cell r="C4" t="str">
            <v>01.06.2013</v>
          </cell>
          <cell r="D4">
            <v>246417</v>
          </cell>
          <cell r="E4">
            <v>0</v>
          </cell>
          <cell r="F4">
            <v>246417</v>
          </cell>
          <cell r="G4">
            <v>20</v>
          </cell>
          <cell r="H4">
            <v>6</v>
          </cell>
          <cell r="I4">
            <v>24641.699999999997</v>
          </cell>
          <cell r="J4">
            <v>24641.699999999997</v>
          </cell>
          <cell r="K4">
            <v>221775.3</v>
          </cell>
        </row>
        <row r="6">
          <cell r="A6">
            <v>2</v>
          </cell>
          <cell r="B6" t="str">
            <v>Mikser Zeri 2013</v>
          </cell>
          <cell r="C6" t="str">
            <v>07.01.2013</v>
          </cell>
          <cell r="D6">
            <v>334875</v>
          </cell>
          <cell r="E6">
            <v>0</v>
          </cell>
          <cell r="F6">
            <v>334875</v>
          </cell>
          <cell r="G6">
            <v>20</v>
          </cell>
          <cell r="H6">
            <v>11</v>
          </cell>
          <cell r="I6">
            <v>61393.75</v>
          </cell>
          <cell r="J6">
            <v>61393.75</v>
          </cell>
          <cell r="K6">
            <v>273481.25</v>
          </cell>
        </row>
        <row r="8">
          <cell r="A8">
            <v>3</v>
          </cell>
          <cell r="B8" t="str">
            <v>Kamer 2013</v>
          </cell>
          <cell r="C8" t="str">
            <v>03.01.2013</v>
          </cell>
          <cell r="D8">
            <v>418830</v>
          </cell>
          <cell r="E8">
            <v>0</v>
          </cell>
          <cell r="F8">
            <v>418830</v>
          </cell>
          <cell r="G8">
            <v>20</v>
          </cell>
          <cell r="H8">
            <v>11</v>
          </cell>
          <cell r="I8">
            <v>76785.5</v>
          </cell>
          <cell r="J8">
            <v>76785.5</v>
          </cell>
          <cell r="K8">
            <v>342044.5</v>
          </cell>
        </row>
        <row r="10">
          <cell r="B10" t="str">
            <v>TOT</v>
          </cell>
          <cell r="C10">
            <v>2013</v>
          </cell>
        </row>
      </sheetData>
      <sheetData sheetId="5">
        <row r="2">
          <cell r="D2" t="str">
            <v xml:space="preserve">INSTRUMENTE DHE VEGLA </v>
          </cell>
          <cell r="J2">
            <v>2135</v>
          </cell>
        </row>
        <row r="3">
          <cell r="C3" t="str">
            <v>viti ushtr</v>
          </cell>
          <cell r="D3" t="str">
            <v>vl fillestare</v>
          </cell>
          <cell r="E3" t="str">
            <v>vl fill mbet</v>
          </cell>
          <cell r="F3" t="str">
            <v>blerje</v>
          </cell>
          <cell r="G3" t="str">
            <v>% amort</v>
          </cell>
          <cell r="H3" t="str">
            <v>koha e perd</v>
          </cell>
          <cell r="I3" t="str">
            <v>amort ushtr</v>
          </cell>
          <cell r="J3" t="str">
            <v>amort tot</v>
          </cell>
          <cell r="K3" t="str">
            <v>vl mbetur</v>
          </cell>
        </row>
        <row r="4">
          <cell r="A4">
            <v>1</v>
          </cell>
          <cell r="B4" t="str">
            <v>ROE NTG  2013</v>
          </cell>
          <cell r="C4" t="str">
            <v>05.02.2013</v>
          </cell>
          <cell r="D4">
            <v>21150</v>
          </cell>
          <cell r="E4">
            <v>0</v>
          </cell>
          <cell r="F4">
            <v>21150</v>
          </cell>
          <cell r="G4">
            <v>20</v>
          </cell>
          <cell r="H4">
            <v>10</v>
          </cell>
          <cell r="I4">
            <v>3525</v>
          </cell>
          <cell r="J4">
            <v>3525</v>
          </cell>
          <cell r="K4">
            <v>17625</v>
          </cell>
        </row>
        <row r="6">
          <cell r="A6">
            <v>2</v>
          </cell>
          <cell r="B6" t="str">
            <v>Mikrofon Shure 2013</v>
          </cell>
          <cell r="C6" t="str">
            <v>26.02.2013</v>
          </cell>
          <cell r="D6">
            <v>66035</v>
          </cell>
          <cell r="E6">
            <v>0</v>
          </cell>
          <cell r="F6">
            <v>66035</v>
          </cell>
          <cell r="G6">
            <v>20</v>
          </cell>
          <cell r="H6">
            <v>10</v>
          </cell>
          <cell r="I6">
            <v>11005.833333333332</v>
          </cell>
          <cell r="J6">
            <v>11005.833333333332</v>
          </cell>
          <cell r="K6">
            <v>55029.166666666672</v>
          </cell>
        </row>
        <row r="8">
          <cell r="A8">
            <v>3</v>
          </cell>
          <cell r="B8" t="str">
            <v>Mikrofon Shure 13</v>
          </cell>
          <cell r="C8" t="str">
            <v>26.02.2013</v>
          </cell>
          <cell r="D8">
            <v>53815</v>
          </cell>
          <cell r="E8">
            <v>0</v>
          </cell>
          <cell r="F8">
            <v>53815</v>
          </cell>
          <cell r="G8">
            <v>20</v>
          </cell>
          <cell r="H8">
            <v>10</v>
          </cell>
          <cell r="I8">
            <v>8969.1666666666661</v>
          </cell>
          <cell r="J8">
            <v>8969.1666666666661</v>
          </cell>
          <cell r="K8">
            <v>44845.833333333336</v>
          </cell>
        </row>
        <row r="10">
          <cell r="A10">
            <v>4</v>
          </cell>
          <cell r="B10" t="str">
            <v>Kitare 2013</v>
          </cell>
          <cell r="C10" t="str">
            <v>28.01.2013</v>
          </cell>
          <cell r="D10">
            <v>12925</v>
          </cell>
          <cell r="E10">
            <v>0</v>
          </cell>
          <cell r="F10">
            <v>12925</v>
          </cell>
          <cell r="G10">
            <v>20</v>
          </cell>
          <cell r="H10">
            <v>11</v>
          </cell>
          <cell r="I10">
            <v>2369.583333333333</v>
          </cell>
          <cell r="J10">
            <v>2369.583333333333</v>
          </cell>
          <cell r="K10">
            <v>10555.416666666668</v>
          </cell>
        </row>
        <row r="12">
          <cell r="B12" t="str">
            <v>TOT</v>
          </cell>
          <cell r="C12">
            <v>2013</v>
          </cell>
          <cell r="G12">
            <v>20</v>
          </cell>
          <cell r="H12">
            <v>41</v>
          </cell>
        </row>
      </sheetData>
      <sheetData sheetId="6">
        <row r="2">
          <cell r="D2" t="str">
            <v>INSTALIME TEKNIKE</v>
          </cell>
          <cell r="J2">
            <v>2131</v>
          </cell>
        </row>
        <row r="3">
          <cell r="C3" t="str">
            <v>viti ushtr</v>
          </cell>
          <cell r="D3" t="str">
            <v>vl fillestare</v>
          </cell>
          <cell r="E3" t="str">
            <v>vl fill mbet</v>
          </cell>
          <cell r="F3" t="str">
            <v>blerje</v>
          </cell>
          <cell r="G3" t="str">
            <v>% amort</v>
          </cell>
          <cell r="H3" t="str">
            <v>koha e perd</v>
          </cell>
          <cell r="I3" t="str">
            <v>amort ushtr</v>
          </cell>
          <cell r="J3" t="str">
            <v>amort tot</v>
          </cell>
          <cell r="K3" t="str">
            <v>vl mbetur</v>
          </cell>
        </row>
        <row r="4">
          <cell r="A4">
            <v>1</v>
          </cell>
          <cell r="B4" t="str">
            <v>Stabilizator 2013</v>
          </cell>
          <cell r="C4" t="str">
            <v>09.07.2013</v>
          </cell>
          <cell r="D4">
            <v>42000</v>
          </cell>
          <cell r="E4">
            <v>0</v>
          </cell>
          <cell r="F4">
            <v>42000</v>
          </cell>
          <cell r="G4">
            <v>20</v>
          </cell>
          <cell r="H4">
            <v>5</v>
          </cell>
          <cell r="I4">
            <v>3500</v>
          </cell>
          <cell r="J4">
            <v>3500</v>
          </cell>
          <cell r="K4">
            <v>38500</v>
          </cell>
        </row>
        <row r="6">
          <cell r="A6">
            <v>2</v>
          </cell>
          <cell r="B6" t="str">
            <v>Mixer RGB 2013</v>
          </cell>
          <cell r="C6" t="str">
            <v>08.05.2013</v>
          </cell>
          <cell r="D6">
            <v>4500</v>
          </cell>
          <cell r="E6">
            <v>0</v>
          </cell>
          <cell r="F6">
            <v>4500</v>
          </cell>
          <cell r="G6">
            <v>20</v>
          </cell>
          <cell r="H6">
            <v>7</v>
          </cell>
          <cell r="I6">
            <v>525</v>
          </cell>
          <cell r="J6">
            <v>525</v>
          </cell>
          <cell r="K6">
            <v>3975</v>
          </cell>
        </row>
        <row r="8">
          <cell r="A8">
            <v>3</v>
          </cell>
          <cell r="B8" t="str">
            <v>Kondicioner 2013</v>
          </cell>
          <cell r="C8" t="str">
            <v>19.06.2013</v>
          </cell>
          <cell r="D8">
            <v>82000</v>
          </cell>
          <cell r="E8">
            <v>0</v>
          </cell>
          <cell r="F8">
            <v>82000</v>
          </cell>
          <cell r="G8">
            <v>20</v>
          </cell>
          <cell r="H8">
            <v>6</v>
          </cell>
          <cell r="I8">
            <v>8200</v>
          </cell>
          <cell r="J8">
            <v>8200</v>
          </cell>
          <cell r="K8">
            <v>73800</v>
          </cell>
        </row>
        <row r="10">
          <cell r="A10">
            <v>4</v>
          </cell>
          <cell r="B10" t="str">
            <v>Link Digital 2013</v>
          </cell>
          <cell r="C10" t="str">
            <v>13.06.2013</v>
          </cell>
          <cell r="D10">
            <v>2091862</v>
          </cell>
          <cell r="E10">
            <v>0</v>
          </cell>
          <cell r="F10">
            <v>2091862</v>
          </cell>
          <cell r="G10">
            <v>20</v>
          </cell>
          <cell r="H10">
            <v>6</v>
          </cell>
          <cell r="I10">
            <v>209186.2</v>
          </cell>
          <cell r="J10">
            <v>209186.2</v>
          </cell>
          <cell r="K10">
            <v>1882675.8</v>
          </cell>
        </row>
        <row r="12">
          <cell r="A12">
            <v>5</v>
          </cell>
          <cell r="B12" t="str">
            <v>Stabilizator 2013</v>
          </cell>
          <cell r="C12" t="str">
            <v>12.06.2013</v>
          </cell>
          <cell r="D12">
            <v>119382</v>
          </cell>
          <cell r="E12">
            <v>0</v>
          </cell>
          <cell r="F12">
            <v>119382</v>
          </cell>
          <cell r="G12">
            <v>20</v>
          </cell>
          <cell r="H12">
            <v>6</v>
          </cell>
          <cell r="I12">
            <v>11938.2</v>
          </cell>
          <cell r="J12">
            <v>11938.2</v>
          </cell>
          <cell r="K12">
            <v>107443.8</v>
          </cell>
        </row>
        <row r="14">
          <cell r="A14">
            <v>6</v>
          </cell>
          <cell r="B14" t="str">
            <v>Kondicioner 2013</v>
          </cell>
          <cell r="C14" t="str">
            <v>13.05.2013</v>
          </cell>
          <cell r="D14">
            <v>107000</v>
          </cell>
          <cell r="E14">
            <v>0</v>
          </cell>
          <cell r="F14">
            <v>107000</v>
          </cell>
          <cell r="G14">
            <v>20</v>
          </cell>
          <cell r="H14">
            <v>7</v>
          </cell>
          <cell r="I14">
            <v>12483.333333333332</v>
          </cell>
          <cell r="J14">
            <v>12483.333333333332</v>
          </cell>
          <cell r="K14">
            <v>94516.666666666672</v>
          </cell>
        </row>
        <row r="16">
          <cell r="A16">
            <v>7</v>
          </cell>
          <cell r="B16" t="str">
            <v>Mikrofon 2013</v>
          </cell>
          <cell r="C16" t="str">
            <v>14.05.2013</v>
          </cell>
          <cell r="D16">
            <v>23500</v>
          </cell>
          <cell r="E16">
            <v>0</v>
          </cell>
          <cell r="F16">
            <v>23500</v>
          </cell>
          <cell r="G16">
            <v>20</v>
          </cell>
          <cell r="H16">
            <v>7</v>
          </cell>
          <cell r="I16">
            <v>2741.666666666667</v>
          </cell>
          <cell r="J16">
            <v>2741.666666666667</v>
          </cell>
          <cell r="K16">
            <v>20758.333333333332</v>
          </cell>
        </row>
        <row r="18">
          <cell r="A18">
            <v>8</v>
          </cell>
          <cell r="B18" t="str">
            <v>Radio Anten 2013</v>
          </cell>
          <cell r="C18" t="str">
            <v>04.04.2013</v>
          </cell>
          <cell r="D18">
            <v>28116</v>
          </cell>
          <cell r="E18">
            <v>0</v>
          </cell>
          <cell r="F18">
            <v>28116</v>
          </cell>
          <cell r="G18">
            <v>20</v>
          </cell>
          <cell r="H18">
            <v>8</v>
          </cell>
          <cell r="I18">
            <v>3748.8000000000006</v>
          </cell>
          <cell r="J18">
            <v>3748.8000000000006</v>
          </cell>
          <cell r="K18">
            <v>24367.200000000001</v>
          </cell>
        </row>
        <row r="20">
          <cell r="A20">
            <v>9</v>
          </cell>
          <cell r="B20" t="str">
            <v>Kondicioner 2013</v>
          </cell>
          <cell r="C20" t="str">
            <v>21.03.2013</v>
          </cell>
          <cell r="D20">
            <v>123667</v>
          </cell>
          <cell r="E20">
            <v>0</v>
          </cell>
          <cell r="F20">
            <v>123667</v>
          </cell>
          <cell r="G20">
            <v>20</v>
          </cell>
          <cell r="H20">
            <v>9</v>
          </cell>
          <cell r="I20">
            <v>18550.050000000003</v>
          </cell>
          <cell r="J20">
            <v>18550.050000000003</v>
          </cell>
          <cell r="K20">
            <v>105116.95</v>
          </cell>
        </row>
        <row r="22">
          <cell r="A22">
            <v>10</v>
          </cell>
          <cell r="B22" t="str">
            <v>Dekoder Satelitor  2013</v>
          </cell>
          <cell r="C22" t="str">
            <v>20.07.2013</v>
          </cell>
          <cell r="D22">
            <v>14000</v>
          </cell>
          <cell r="E22">
            <v>0</v>
          </cell>
          <cell r="F22">
            <v>14000</v>
          </cell>
          <cell r="G22">
            <v>20</v>
          </cell>
          <cell r="H22">
            <v>5</v>
          </cell>
          <cell r="I22">
            <v>1166.6666666666667</v>
          </cell>
          <cell r="J22">
            <v>1166.6666666666667</v>
          </cell>
          <cell r="K22">
            <v>12833.333333333334</v>
          </cell>
        </row>
        <row r="24">
          <cell r="B24" t="str">
            <v>TOT</v>
          </cell>
          <cell r="C24">
            <v>2013</v>
          </cell>
        </row>
      </sheetData>
      <sheetData sheetId="7">
        <row r="156">
          <cell r="A156">
            <v>0</v>
          </cell>
          <cell r="D156">
            <v>12222398.699999999</v>
          </cell>
          <cell r="F156">
            <v>12222398.699999999</v>
          </cell>
          <cell r="G156">
            <v>25</v>
          </cell>
          <cell r="H156">
            <v>12</v>
          </cell>
          <cell r="I156">
            <v>2628447.788702257</v>
          </cell>
          <cell r="J156">
            <v>4337055.3338932293</v>
          </cell>
          <cell r="K156">
            <v>7885343.36610677</v>
          </cell>
        </row>
        <row r="210">
          <cell r="D210">
            <v>2487515.98</v>
          </cell>
          <cell r="F210">
            <v>2487515.98</v>
          </cell>
          <cell r="G210">
            <v>25</v>
          </cell>
          <cell r="H210">
            <v>12</v>
          </cell>
          <cell r="I210">
            <v>441164.62701111112</v>
          </cell>
          <cell r="J210">
            <v>722857.47195555549</v>
          </cell>
          <cell r="K210">
            <v>1764658.5080444445</v>
          </cell>
        </row>
        <row r="214">
          <cell r="D214" t="str">
            <v>MAKINERI PAISJE ENERGJITIKE</v>
          </cell>
          <cell r="J214">
            <v>2133</v>
          </cell>
        </row>
        <row r="215">
          <cell r="C215" t="str">
            <v>viti ushtr</v>
          </cell>
          <cell r="D215" t="str">
            <v>vl fillestare</v>
          </cell>
          <cell r="E215" t="str">
            <v>vl fill mbet</v>
          </cell>
          <cell r="F215" t="str">
            <v>blerje</v>
          </cell>
          <cell r="G215" t="str">
            <v>% amort</v>
          </cell>
          <cell r="H215" t="str">
            <v>koha e perd</v>
          </cell>
          <cell r="I215" t="str">
            <v>amort ushtr</v>
          </cell>
          <cell r="J215" t="str">
            <v>amort tot</v>
          </cell>
          <cell r="K215" t="str">
            <v>vl mbetur</v>
          </cell>
        </row>
        <row r="243">
          <cell r="D243">
            <v>928667</v>
          </cell>
          <cell r="F243">
            <v>928667</v>
          </cell>
          <cell r="G243">
            <v>180</v>
          </cell>
          <cell r="H243">
            <v>12</v>
          </cell>
          <cell r="I243">
            <v>166868.66000000003</v>
          </cell>
          <cell r="J243">
            <v>261192.36000000002</v>
          </cell>
          <cell r="K243">
            <v>667474.64</v>
          </cell>
        </row>
        <row r="246">
          <cell r="D246" t="str">
            <v>PAISJE TE TJERA</v>
          </cell>
          <cell r="H246" t="str">
            <v>vl mbetur</v>
          </cell>
          <cell r="J246">
            <v>2188</v>
          </cell>
        </row>
        <row r="247">
          <cell r="C247" t="str">
            <v>viti ushtr</v>
          </cell>
          <cell r="D247" t="str">
            <v>vl fillestare</v>
          </cell>
          <cell r="E247" t="str">
            <v>vl fill mbet</v>
          </cell>
          <cell r="F247" t="str">
            <v>blerje</v>
          </cell>
          <cell r="G247" t="str">
            <v>% amort</v>
          </cell>
          <cell r="H247" t="str">
            <v>koha e perd</v>
          </cell>
          <cell r="I247" t="str">
            <v>amort ushtr</v>
          </cell>
          <cell r="J247" t="str">
            <v>amort tot</v>
          </cell>
          <cell r="K247" t="str">
            <v>vl mbetur</v>
          </cell>
        </row>
        <row r="256">
          <cell r="D256">
            <v>148399</v>
          </cell>
          <cell r="E256">
            <v>142329.93333333335</v>
          </cell>
          <cell r="F256">
            <v>148399</v>
          </cell>
          <cell r="G256">
            <v>20</v>
          </cell>
          <cell r="H256">
            <v>12</v>
          </cell>
          <cell r="I256">
            <v>28465.986666666671</v>
          </cell>
          <cell r="J256">
            <v>34535.053333333337</v>
          </cell>
          <cell r="K256">
            <v>113863.94666666666</v>
          </cell>
        </row>
        <row r="267">
          <cell r="A267">
            <v>0</v>
          </cell>
          <cell r="B267" t="str">
            <v>TOT</v>
          </cell>
          <cell r="D267">
            <v>33500</v>
          </cell>
          <cell r="E267">
            <v>0</v>
          </cell>
          <cell r="F267">
            <v>33500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33500</v>
          </cell>
        </row>
        <row r="288">
          <cell r="D288">
            <v>277167</v>
          </cell>
          <cell r="F288">
            <v>277167</v>
          </cell>
          <cell r="G288">
            <v>20</v>
          </cell>
          <cell r="H288">
            <v>12</v>
          </cell>
          <cell r="I288">
            <v>52873.393333333341</v>
          </cell>
          <cell r="J288">
            <v>65673.426666666666</v>
          </cell>
          <cell r="K288">
            <v>211493.57333333333</v>
          </cell>
        </row>
        <row r="315">
          <cell r="D315">
            <v>743714</v>
          </cell>
          <cell r="F315">
            <v>743714</v>
          </cell>
          <cell r="G315">
            <v>20</v>
          </cell>
          <cell r="H315">
            <v>12</v>
          </cell>
          <cell r="I315">
            <v>138836.79999999999</v>
          </cell>
          <cell r="J315">
            <v>188366.8</v>
          </cell>
          <cell r="K315">
            <v>555347.19999999995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67"/>
  <sheetViews>
    <sheetView workbookViewId="0">
      <selection activeCell="B5" sqref="B5"/>
    </sheetView>
  </sheetViews>
  <sheetFormatPr defaultRowHeight="12.75"/>
  <cols>
    <col min="1" max="1" width="3.42578125" customWidth="1"/>
    <col min="2" max="2" width="23.7109375" bestFit="1" customWidth="1"/>
    <col min="3" max="3" width="11" customWidth="1"/>
    <col min="6" max="6" width="8.7109375" bestFit="1" customWidth="1"/>
    <col min="7" max="7" width="29.140625" bestFit="1" customWidth="1"/>
    <col min="8" max="8" width="21.85546875" bestFit="1" customWidth="1"/>
    <col min="9" max="9" width="12.5703125" customWidth="1"/>
  </cols>
  <sheetData>
    <row r="1" spans="1:8" ht="15.75">
      <c r="C1" s="384" t="s">
        <v>144</v>
      </c>
    </row>
    <row r="2" spans="1:8">
      <c r="C2" s="385" t="s">
        <v>145</v>
      </c>
      <c r="H2" s="385" t="s">
        <v>149</v>
      </c>
    </row>
    <row r="3" spans="1:8">
      <c r="A3" s="386"/>
      <c r="B3" s="386" t="s">
        <v>150</v>
      </c>
      <c r="C3" s="386" t="s">
        <v>151</v>
      </c>
      <c r="F3" s="386"/>
      <c r="G3" s="386" t="s">
        <v>150</v>
      </c>
      <c r="H3" s="386" t="s">
        <v>151</v>
      </c>
    </row>
    <row r="4" spans="1:8">
      <c r="A4" s="387"/>
      <c r="B4" t="s">
        <v>152</v>
      </c>
      <c r="C4" s="425">
        <v>66667</v>
      </c>
      <c r="D4" s="425"/>
      <c r="F4" s="387"/>
      <c r="G4" t="s">
        <v>153</v>
      </c>
      <c r="H4" s="425">
        <v>194919</v>
      </c>
    </row>
    <row r="5" spans="1:8">
      <c r="A5" s="387"/>
      <c r="C5" s="425"/>
      <c r="D5" s="425"/>
      <c r="F5" s="387"/>
      <c r="G5" t="s">
        <v>154</v>
      </c>
      <c r="H5" s="425">
        <v>89281</v>
      </c>
    </row>
    <row r="6" spans="1:8">
      <c r="A6" s="387"/>
      <c r="C6" s="427">
        <f>SUM(C4:C5)</f>
        <v>66667</v>
      </c>
      <c r="D6" s="425"/>
      <c r="F6" s="389"/>
      <c r="G6" t="s">
        <v>155</v>
      </c>
      <c r="H6" s="425">
        <v>19030</v>
      </c>
    </row>
    <row r="7" spans="1:8">
      <c r="A7" s="387"/>
      <c r="C7" s="425"/>
      <c r="D7" s="425"/>
      <c r="F7" s="387"/>
      <c r="G7" t="s">
        <v>156</v>
      </c>
      <c r="H7" s="425">
        <v>26042</v>
      </c>
    </row>
    <row r="8" spans="1:8">
      <c r="A8" s="387"/>
      <c r="C8" s="425"/>
      <c r="D8" s="425"/>
      <c r="F8" s="387"/>
      <c r="G8" t="s">
        <v>157</v>
      </c>
      <c r="H8" s="425">
        <v>9896</v>
      </c>
    </row>
    <row r="9" spans="1:8">
      <c r="A9" s="387"/>
      <c r="F9" s="387"/>
      <c r="G9" t="s">
        <v>158</v>
      </c>
      <c r="H9" s="425">
        <v>20833</v>
      </c>
    </row>
    <row r="10" spans="1:8">
      <c r="F10" s="387"/>
      <c r="G10" t="s">
        <v>159</v>
      </c>
      <c r="H10" s="425">
        <v>33333</v>
      </c>
    </row>
    <row r="11" spans="1:8">
      <c r="C11" s="385" t="s">
        <v>467</v>
      </c>
      <c r="F11" s="387"/>
      <c r="G11" t="s">
        <v>160</v>
      </c>
      <c r="H11" s="425">
        <v>6145</v>
      </c>
    </row>
    <row r="12" spans="1:8">
      <c r="A12" s="386"/>
      <c r="B12" s="386" t="s">
        <v>150</v>
      </c>
      <c r="C12" s="386" t="s">
        <v>151</v>
      </c>
      <c r="F12" s="387"/>
      <c r="G12" t="s">
        <v>161</v>
      </c>
      <c r="H12" s="425">
        <v>33250</v>
      </c>
    </row>
    <row r="13" spans="1:8">
      <c r="A13" s="389"/>
      <c r="B13" t="s">
        <v>468</v>
      </c>
      <c r="C13" s="425">
        <v>109250</v>
      </c>
      <c r="D13" s="425"/>
      <c r="F13" s="387"/>
      <c r="G13" t="s">
        <v>162</v>
      </c>
      <c r="H13" s="425">
        <v>144271</v>
      </c>
    </row>
    <row r="14" spans="1:8" ht="14.25" customHeight="1">
      <c r="A14" s="387"/>
      <c r="B14" t="s">
        <v>469</v>
      </c>
      <c r="C14" s="425">
        <v>37500</v>
      </c>
      <c r="D14" s="425"/>
      <c r="F14" s="387"/>
      <c r="G14" s="390" t="s">
        <v>163</v>
      </c>
      <c r="H14" s="426">
        <v>180870</v>
      </c>
    </row>
    <row r="15" spans="1:8">
      <c r="A15" s="389"/>
      <c r="B15" t="s">
        <v>470</v>
      </c>
      <c r="C15" s="425">
        <v>30000</v>
      </c>
      <c r="D15" s="425"/>
      <c r="F15" s="387"/>
      <c r="G15" t="s">
        <v>164</v>
      </c>
      <c r="H15" s="425">
        <v>4224</v>
      </c>
    </row>
    <row r="16" spans="1:8">
      <c r="A16" s="389"/>
      <c r="B16" t="s">
        <v>471</v>
      </c>
      <c r="C16" s="425">
        <v>12950</v>
      </c>
      <c r="D16" s="425"/>
      <c r="F16" s="387"/>
      <c r="G16" t="s">
        <v>166</v>
      </c>
      <c r="H16" s="425">
        <v>56678</v>
      </c>
    </row>
    <row r="17" spans="1:8" ht="15" customHeight="1">
      <c r="A17" s="387"/>
      <c r="C17" s="425"/>
      <c r="D17" s="425"/>
      <c r="F17" s="387"/>
      <c r="G17" t="s">
        <v>167</v>
      </c>
      <c r="H17" s="425">
        <v>74828</v>
      </c>
    </row>
    <row r="18" spans="1:8">
      <c r="C18" s="427">
        <f>SUM(C13:C17)</f>
        <v>189700</v>
      </c>
      <c r="D18" s="425"/>
      <c r="F18" s="387"/>
      <c r="G18" t="s">
        <v>169</v>
      </c>
      <c r="H18" s="425">
        <v>10042</v>
      </c>
    </row>
    <row r="19" spans="1:8">
      <c r="A19" s="387"/>
      <c r="C19" s="425"/>
      <c r="D19" s="425"/>
      <c r="F19" s="387"/>
      <c r="G19" t="s">
        <v>171</v>
      </c>
      <c r="H19" s="425">
        <v>16644</v>
      </c>
    </row>
    <row r="20" spans="1:8">
      <c r="A20" s="387"/>
      <c r="C20" s="425"/>
      <c r="D20" s="425"/>
      <c r="F20" s="387"/>
      <c r="G20" t="s">
        <v>173</v>
      </c>
      <c r="H20" s="425">
        <v>62202</v>
      </c>
    </row>
    <row r="21" spans="1:8">
      <c r="A21" s="387"/>
      <c r="F21" s="387"/>
      <c r="G21" t="s">
        <v>175</v>
      </c>
      <c r="H21" s="425">
        <v>27223</v>
      </c>
    </row>
    <row r="22" spans="1:8">
      <c r="A22" s="387"/>
      <c r="F22" s="387"/>
      <c r="H22" s="425"/>
    </row>
    <row r="23" spans="1:8">
      <c r="A23" s="387"/>
      <c r="F23" s="387"/>
      <c r="H23" s="427">
        <f>SUM(H4:H21)</f>
        <v>1009711</v>
      </c>
    </row>
    <row r="24" spans="1:8">
      <c r="A24" s="387"/>
      <c r="F24" s="387"/>
      <c r="H24" s="425"/>
    </row>
    <row r="25" spans="1:8">
      <c r="A25" s="387"/>
    </row>
    <row r="26" spans="1:8">
      <c r="A26" s="387"/>
    </row>
    <row r="27" spans="1:8">
      <c r="C27" s="385" t="s">
        <v>165</v>
      </c>
      <c r="H27" s="385" t="s">
        <v>183</v>
      </c>
    </row>
    <row r="28" spans="1:8">
      <c r="A28" s="386"/>
      <c r="B28" s="386" t="s">
        <v>150</v>
      </c>
      <c r="C28" s="386" t="s">
        <v>151</v>
      </c>
      <c r="F28" s="386"/>
      <c r="G28" s="386" t="s">
        <v>150</v>
      </c>
      <c r="H28" s="386" t="s">
        <v>151</v>
      </c>
    </row>
    <row r="29" spans="1:8">
      <c r="A29" s="391"/>
      <c r="B29" s="392" t="s">
        <v>168</v>
      </c>
      <c r="C29" s="425">
        <v>40000</v>
      </c>
      <c r="D29" s="425"/>
      <c r="F29" s="393"/>
      <c r="G29" t="s">
        <v>186</v>
      </c>
      <c r="H29" s="425">
        <v>3000000</v>
      </c>
    </row>
    <row r="30" spans="1:8">
      <c r="B30" t="s">
        <v>170</v>
      </c>
      <c r="C30" s="425">
        <v>28000</v>
      </c>
      <c r="D30" s="425"/>
      <c r="F30" s="387"/>
      <c r="G30" t="s">
        <v>188</v>
      </c>
      <c r="H30" s="425">
        <v>22295</v>
      </c>
    </row>
    <row r="31" spans="1:8">
      <c r="B31" t="s">
        <v>172</v>
      </c>
      <c r="C31" s="425">
        <v>44000</v>
      </c>
      <c r="D31" s="425"/>
      <c r="F31" s="387"/>
      <c r="G31" t="s">
        <v>190</v>
      </c>
      <c r="H31" s="425">
        <v>130800</v>
      </c>
    </row>
    <row r="32" spans="1:8">
      <c r="B32" t="s">
        <v>174</v>
      </c>
      <c r="C32" s="425">
        <v>30000</v>
      </c>
      <c r="D32" s="425"/>
      <c r="F32" s="387"/>
      <c r="G32" s="390" t="s">
        <v>192</v>
      </c>
      <c r="H32" s="426">
        <v>74635</v>
      </c>
    </row>
    <row r="33" spans="1:8">
      <c r="B33" t="s">
        <v>176</v>
      </c>
      <c r="C33" s="425">
        <v>27000</v>
      </c>
      <c r="D33" s="425"/>
      <c r="F33" s="387"/>
      <c r="G33" t="s">
        <v>194</v>
      </c>
      <c r="H33" s="425">
        <v>7100</v>
      </c>
    </row>
    <row r="34" spans="1:8">
      <c r="B34" t="s">
        <v>177</v>
      </c>
      <c r="C34" s="425">
        <v>7000</v>
      </c>
      <c r="D34" s="425"/>
      <c r="F34" s="387"/>
      <c r="G34" t="s">
        <v>196</v>
      </c>
      <c r="H34" s="425">
        <v>30000</v>
      </c>
    </row>
    <row r="35" spans="1:8">
      <c r="B35" t="s">
        <v>178</v>
      </c>
      <c r="C35" s="425">
        <v>4500</v>
      </c>
      <c r="D35" s="425"/>
      <c r="F35" s="387"/>
      <c r="G35" t="s">
        <v>458</v>
      </c>
      <c r="H35" s="425">
        <v>368137</v>
      </c>
    </row>
    <row r="36" spans="1:8">
      <c r="B36" t="s">
        <v>179</v>
      </c>
      <c r="C36" s="425">
        <v>57000</v>
      </c>
      <c r="D36" s="425"/>
      <c r="F36" s="387"/>
      <c r="G36" t="s">
        <v>460</v>
      </c>
      <c r="H36" s="425">
        <v>68000</v>
      </c>
    </row>
    <row r="37" spans="1:8">
      <c r="B37" t="s">
        <v>180</v>
      </c>
      <c r="C37" s="425">
        <v>13500</v>
      </c>
      <c r="D37" s="425"/>
      <c r="F37" s="387"/>
      <c r="G37" t="s">
        <v>462</v>
      </c>
      <c r="H37" s="425">
        <v>11000</v>
      </c>
    </row>
    <row r="38" spans="1:8">
      <c r="B38" t="s">
        <v>181</v>
      </c>
      <c r="C38" s="425">
        <v>14400</v>
      </c>
      <c r="D38" s="425"/>
      <c r="F38" s="387"/>
      <c r="G38" t="s">
        <v>464</v>
      </c>
      <c r="H38" s="425">
        <v>3410000</v>
      </c>
    </row>
    <row r="39" spans="1:8">
      <c r="B39" t="s">
        <v>182</v>
      </c>
      <c r="C39" s="425">
        <v>20000</v>
      </c>
      <c r="D39" s="425"/>
      <c r="G39" t="s">
        <v>465</v>
      </c>
      <c r="H39" s="425">
        <v>8630800</v>
      </c>
    </row>
    <row r="40" spans="1:8">
      <c r="B40" t="s">
        <v>184</v>
      </c>
      <c r="C40" s="425">
        <v>12000</v>
      </c>
      <c r="D40" s="425"/>
      <c r="G40" t="s">
        <v>466</v>
      </c>
      <c r="H40" s="425">
        <v>4198000</v>
      </c>
    </row>
    <row r="41" spans="1:8">
      <c r="B41" t="s">
        <v>185</v>
      </c>
      <c r="C41" s="425">
        <v>6000</v>
      </c>
      <c r="D41" s="425"/>
      <c r="H41" s="425"/>
    </row>
    <row r="42" spans="1:8">
      <c r="B42" t="s">
        <v>187</v>
      </c>
      <c r="C42" s="425">
        <v>24000</v>
      </c>
      <c r="D42" s="425"/>
      <c r="F42" s="392"/>
      <c r="H42" s="427">
        <f>SUM(H29:H41)</f>
        <v>19950767</v>
      </c>
    </row>
    <row r="43" spans="1:8">
      <c r="B43" t="s">
        <v>189</v>
      </c>
      <c r="C43" s="425">
        <v>26000</v>
      </c>
      <c r="D43" s="425"/>
      <c r="H43" s="425"/>
    </row>
    <row r="44" spans="1:8">
      <c r="A44" s="387"/>
      <c r="B44" s="392" t="s">
        <v>191</v>
      </c>
      <c r="C44" s="425">
        <v>6800</v>
      </c>
      <c r="D44" s="425"/>
      <c r="H44" s="425"/>
    </row>
    <row r="45" spans="1:8">
      <c r="A45" s="387"/>
      <c r="B45" s="392" t="s">
        <v>193</v>
      </c>
      <c r="C45" s="425">
        <v>11300</v>
      </c>
      <c r="D45" s="425"/>
    </row>
    <row r="46" spans="1:8">
      <c r="A46" s="387"/>
      <c r="B46" s="392" t="s">
        <v>195</v>
      </c>
      <c r="C46" s="425">
        <v>40000</v>
      </c>
      <c r="D46" s="425"/>
      <c r="H46" s="425"/>
    </row>
    <row r="47" spans="1:8">
      <c r="A47" s="387"/>
      <c r="B47" s="392" t="s">
        <v>457</v>
      </c>
      <c r="C47" s="425">
        <v>11500</v>
      </c>
      <c r="D47" s="425"/>
      <c r="H47" s="425"/>
    </row>
    <row r="48" spans="1:8">
      <c r="A48" s="387"/>
      <c r="B48" s="392" t="s">
        <v>459</v>
      </c>
      <c r="C48" s="425">
        <v>6000</v>
      </c>
      <c r="D48" s="425"/>
      <c r="H48" s="425"/>
    </row>
    <row r="49" spans="1:8">
      <c r="A49" s="387"/>
      <c r="B49" s="392" t="s">
        <v>461</v>
      </c>
      <c r="C49" s="425">
        <v>3000</v>
      </c>
      <c r="D49" s="425"/>
      <c r="H49" s="425"/>
    </row>
    <row r="50" spans="1:8">
      <c r="A50" s="387"/>
      <c r="B50" s="392" t="s">
        <v>463</v>
      </c>
      <c r="C50" s="425">
        <v>5300</v>
      </c>
      <c r="D50" s="425"/>
      <c r="G50" s="394" t="s">
        <v>472</v>
      </c>
      <c r="H50" s="428">
        <f>C6+C52+C18+H23+H42</f>
        <v>21654145</v>
      </c>
    </row>
    <row r="51" spans="1:8">
      <c r="A51" s="387"/>
      <c r="C51" s="425"/>
      <c r="D51" s="425"/>
      <c r="H51" s="425"/>
    </row>
    <row r="52" spans="1:8">
      <c r="A52" s="389"/>
      <c r="B52" s="392"/>
      <c r="C52" s="427">
        <f>SUM(C29:C51)</f>
        <v>437300</v>
      </c>
      <c r="D52" s="425"/>
    </row>
    <row r="67" spans="3:3">
      <c r="C67" s="388"/>
    </row>
  </sheetData>
  <phoneticPr fontId="0" type="noConversion"/>
  <printOptions gridLines="1"/>
  <pageMargins left="0.75" right="0.36" top="0.74" bottom="0.74" header="0.5" footer="0.5"/>
  <pageSetup paperSize="9" orientation="landscape" r:id="rId1"/>
  <headerFooter alignWithMargins="0">
    <oddHeader>&amp;LFM SUPREME SHPK&amp;R&amp;P</oddHeader>
    <oddFooter>&amp;L&amp;D&amp;C&amp;F  &amp;A&amp;R&amp;T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FFCCCC"/>
  </sheetPr>
  <dimension ref="B3:L127"/>
  <sheetViews>
    <sheetView showGridLines="0" view="pageBreakPreview" topLeftCell="A70" zoomScale="85" zoomScaleSheetLayoutView="85" workbookViewId="0">
      <selection activeCell="D64" sqref="D64"/>
    </sheetView>
  </sheetViews>
  <sheetFormatPr defaultRowHeight="12.75"/>
  <cols>
    <col min="1" max="1" width="2.85546875" style="59" customWidth="1"/>
    <col min="2" max="2" width="3.7109375" style="59" customWidth="1"/>
    <col min="3" max="3" width="3" style="263" customWidth="1"/>
    <col min="4" max="4" width="50" style="59" customWidth="1"/>
    <col min="5" max="5" width="9" style="59" customWidth="1"/>
    <col min="6" max="6" width="13.85546875" style="59" customWidth="1"/>
    <col min="7" max="7" width="4.85546875" style="60" customWidth="1"/>
    <col min="8" max="8" width="14.5703125" style="61" customWidth="1"/>
    <col min="9" max="9" width="7.85546875" style="60" hidden="1" customWidth="1"/>
    <col min="10" max="10" width="14.85546875" style="59" hidden="1" customWidth="1"/>
    <col min="11" max="11" width="3.42578125" style="59" hidden="1" customWidth="1"/>
    <col min="12" max="12" width="16.85546875" style="59" hidden="1" customWidth="1"/>
    <col min="13" max="13" width="2.7109375" style="59" customWidth="1"/>
    <col min="14" max="14" width="2.28515625" style="59" customWidth="1"/>
    <col min="15" max="15" width="3.140625" style="59" customWidth="1"/>
    <col min="16" max="16384" width="9.140625" style="59"/>
  </cols>
  <sheetData>
    <row r="3" spans="2:12">
      <c r="B3" s="261">
        <v>16</v>
      </c>
      <c r="D3" s="1750" t="s">
        <v>489</v>
      </c>
      <c r="E3" s="268"/>
      <c r="F3" s="184">
        <v>2013</v>
      </c>
      <c r="G3" s="790"/>
      <c r="H3" s="184">
        <v>2012</v>
      </c>
      <c r="I3" s="790"/>
      <c r="J3" s="184">
        <v>2011</v>
      </c>
      <c r="K3" s="1746"/>
      <c r="L3" s="184">
        <v>2009</v>
      </c>
    </row>
    <row r="4" spans="2:12">
      <c r="D4" s="1750"/>
      <c r="E4" s="268"/>
      <c r="F4" s="354" t="s">
        <v>299</v>
      </c>
      <c r="G4" s="790"/>
      <c r="H4" s="354" t="s">
        <v>299</v>
      </c>
      <c r="I4" s="312"/>
      <c r="J4" s="354" t="s">
        <v>299</v>
      </c>
      <c r="K4" s="1746"/>
      <c r="L4" s="185" t="s">
        <v>7</v>
      </c>
    </row>
    <row r="5" spans="2:12">
      <c r="D5" s="186"/>
      <c r="E5" s="186"/>
      <c r="F5" s="186"/>
      <c r="G5" s="290"/>
      <c r="H5" s="805"/>
      <c r="I5" s="290"/>
      <c r="J5" s="186"/>
      <c r="K5" s="186"/>
      <c r="L5" s="186"/>
    </row>
    <row r="6" spans="2:12">
      <c r="C6" s="980" t="s">
        <v>1320</v>
      </c>
      <c r="D6" s="187" t="s">
        <v>1525</v>
      </c>
      <c r="E6" s="187"/>
      <c r="F6" s="187"/>
      <c r="G6" s="791"/>
      <c r="H6" s="806"/>
      <c r="I6" s="791"/>
      <c r="J6" s="321"/>
      <c r="K6" s="289"/>
      <c r="L6" s="321"/>
    </row>
    <row r="7" spans="2:12">
      <c r="C7" s="294"/>
      <c r="D7" s="187" t="s">
        <v>146</v>
      </c>
      <c r="F7" s="61">
        <f>'P&amp;L13'!F89</f>
        <v>29487625.153988</v>
      </c>
      <c r="H7" s="61">
        <f>'P&amp;L13'!G89</f>
        <v>12821946.656514</v>
      </c>
      <c r="J7" s="421">
        <f>'P&amp;L13'!H89</f>
        <v>541520</v>
      </c>
      <c r="K7" s="289"/>
      <c r="L7" s="421">
        <f>'P&amp;L13'!I89</f>
        <v>202743647</v>
      </c>
    </row>
    <row r="8" spans="2:12" ht="12.75" customHeight="1">
      <c r="C8" s="294"/>
      <c r="D8" s="187"/>
      <c r="J8" s="421"/>
      <c r="K8" s="289"/>
      <c r="L8" s="421"/>
    </row>
    <row r="9" spans="2:12">
      <c r="C9" s="294"/>
      <c r="D9" s="187"/>
      <c r="E9" s="320"/>
      <c r="F9" s="320"/>
      <c r="G9" s="792"/>
      <c r="H9" s="807"/>
      <c r="I9" s="792"/>
      <c r="J9" s="421"/>
      <c r="K9" s="289"/>
      <c r="L9" s="421"/>
    </row>
    <row r="10" spans="2:12">
      <c r="C10" s="980" t="s">
        <v>1321</v>
      </c>
      <c r="D10" s="187" t="s">
        <v>1526</v>
      </c>
      <c r="E10" s="310"/>
      <c r="F10" s="310"/>
      <c r="G10" s="793"/>
      <c r="H10" s="808"/>
      <c r="I10" s="793"/>
      <c r="K10" s="289"/>
    </row>
    <row r="11" spans="2:12">
      <c r="C11" s="294"/>
      <c r="D11" s="187" t="s">
        <v>1176</v>
      </c>
      <c r="J11" s="421"/>
      <c r="K11" s="191"/>
      <c r="L11" s="421"/>
    </row>
    <row r="12" spans="2:12">
      <c r="C12" s="294"/>
      <c r="D12" s="187" t="s">
        <v>1527</v>
      </c>
      <c r="K12" s="191"/>
    </row>
    <row r="13" spans="2:12">
      <c r="C13" s="294"/>
      <c r="D13" s="187"/>
      <c r="F13" s="789"/>
      <c r="H13" s="471"/>
      <c r="K13" s="191"/>
    </row>
    <row r="14" spans="2:12" ht="13.5" thickBot="1">
      <c r="D14" s="194"/>
      <c r="E14" s="194"/>
      <c r="F14" s="809">
        <f>SUM(F7:F13)</f>
        <v>29487625.153988</v>
      </c>
      <c r="G14" s="1388"/>
      <c r="H14" s="809">
        <f>SUM(H7:H13)</f>
        <v>12821946.656514</v>
      </c>
      <c r="I14" s="313"/>
      <c r="J14" s="190">
        <f>SUM(J7:J13)</f>
        <v>541520</v>
      </c>
      <c r="K14" s="197"/>
      <c r="L14" s="190">
        <f>SUM(L6:L12)</f>
        <v>202743647</v>
      </c>
    </row>
    <row r="15" spans="2:12" ht="13.5" thickTop="1">
      <c r="D15" s="194"/>
      <c r="E15" s="194"/>
      <c r="F15" s="194"/>
      <c r="G15" s="794"/>
      <c r="H15" s="810"/>
      <c r="I15" s="794"/>
      <c r="J15" s="313"/>
      <c r="K15" s="197"/>
      <c r="L15" s="313"/>
    </row>
    <row r="16" spans="2:12">
      <c r="B16" s="261">
        <v>17</v>
      </c>
      <c r="D16" s="1750" t="s">
        <v>1536</v>
      </c>
      <c r="E16" s="268"/>
      <c r="F16" s="184">
        <v>2013</v>
      </c>
      <c r="G16" s="790"/>
      <c r="H16" s="184">
        <v>2012</v>
      </c>
      <c r="I16" s="790"/>
      <c r="J16" s="184">
        <v>2011</v>
      </c>
      <c r="K16" s="199"/>
      <c r="L16" s="198">
        <v>2009</v>
      </c>
    </row>
    <row r="17" spans="2:12">
      <c r="D17" s="1750"/>
      <c r="E17" s="268"/>
      <c r="F17" s="354" t="s">
        <v>299</v>
      </c>
      <c r="G17" s="790"/>
      <c r="H17" s="354" t="s">
        <v>299</v>
      </c>
      <c r="I17" s="312"/>
      <c r="J17" s="354" t="s">
        <v>299</v>
      </c>
      <c r="K17" s="199"/>
      <c r="L17" s="185" t="s">
        <v>7</v>
      </c>
    </row>
    <row r="18" spans="2:12">
      <c r="D18" s="187"/>
      <c r="E18" s="187"/>
      <c r="F18" s="187"/>
      <c r="G18" s="791"/>
      <c r="H18" s="806"/>
      <c r="I18" s="791"/>
      <c r="J18" s="326"/>
      <c r="K18" s="289"/>
      <c r="L18" s="326"/>
    </row>
    <row r="19" spans="2:12">
      <c r="C19" s="980" t="s">
        <v>1320</v>
      </c>
      <c r="D19" s="187" t="s">
        <v>1382</v>
      </c>
      <c r="E19" s="187"/>
      <c r="F19" s="187"/>
      <c r="G19" s="791"/>
      <c r="H19" s="811">
        <f>'PASH MC 12'!D41+'PASH MC 12'!D42</f>
        <v>951318.53999999992</v>
      </c>
      <c r="I19" s="791"/>
      <c r="J19" s="321"/>
      <c r="K19" s="289"/>
      <c r="L19" s="321"/>
    </row>
    <row r="20" spans="2:12">
      <c r="C20" s="294"/>
      <c r="D20" s="187" t="s">
        <v>1383</v>
      </c>
      <c r="H20" s="61">
        <f>'PASH MC 12'!D42+'PASH MC 12'!D43+'PASH MC 12'!D44+'PASH MC 12'!D45+'PASH MC 12'!D46</f>
        <v>1135288.9099999999</v>
      </c>
      <c r="J20" s="421"/>
      <c r="K20" s="191"/>
      <c r="L20" s="421"/>
    </row>
    <row r="21" spans="2:12">
      <c r="B21" s="322"/>
      <c r="C21" s="294"/>
      <c r="D21" s="266"/>
      <c r="J21" s="421"/>
      <c r="K21" s="191"/>
      <c r="L21" s="421"/>
    </row>
    <row r="22" spans="2:12">
      <c r="C22" s="294"/>
      <c r="D22" s="187"/>
      <c r="J22" s="288"/>
      <c r="K22" s="191"/>
      <c r="L22" s="288"/>
    </row>
    <row r="23" spans="2:12">
      <c r="C23" s="59"/>
      <c r="E23" s="187"/>
      <c r="F23" s="187"/>
      <c r="G23" s="791"/>
      <c r="H23" s="806"/>
      <c r="I23" s="791"/>
      <c r="J23" s="321"/>
      <c r="K23" s="191"/>
      <c r="L23" s="321"/>
    </row>
    <row r="24" spans="2:12">
      <c r="C24" s="291"/>
      <c r="D24" s="187" t="s">
        <v>491</v>
      </c>
      <c r="J24" s="421"/>
      <c r="L24" s="421"/>
    </row>
    <row r="25" spans="2:12">
      <c r="B25" s="322"/>
      <c r="C25" s="294" t="s">
        <v>1321</v>
      </c>
      <c r="D25" s="266" t="s">
        <v>1379</v>
      </c>
      <c r="F25" s="421">
        <f>'PASH 13'!D22</f>
        <v>2605439</v>
      </c>
      <c r="H25" s="61">
        <f>'PASH MC 12'!D20</f>
        <v>1204562</v>
      </c>
      <c r="J25" s="421"/>
      <c r="K25" s="191"/>
      <c r="L25" s="421"/>
    </row>
    <row r="26" spans="2:12">
      <c r="B26" s="322"/>
      <c r="C26" s="294" t="s">
        <v>1323</v>
      </c>
      <c r="D26" s="266" t="s">
        <v>1380</v>
      </c>
      <c r="F26" s="421">
        <f>'PASH 13'!D15</f>
        <v>3543156.66</v>
      </c>
      <c r="H26" s="61">
        <f>'PASH MC 12'!D13</f>
        <v>1644160</v>
      </c>
      <c r="J26" s="421"/>
      <c r="K26" s="191"/>
      <c r="L26" s="421"/>
    </row>
    <row r="27" spans="2:12">
      <c r="B27" s="322"/>
      <c r="C27" s="294" t="s">
        <v>1324</v>
      </c>
      <c r="D27" s="266" t="s">
        <v>1413</v>
      </c>
      <c r="F27" s="421">
        <f>'PASH 13'!D36+'PASH 13'!D37+'PASH 13'!D38</f>
        <v>1105597.1599999999</v>
      </c>
      <c r="H27" s="61">
        <f>'PASH MC 12'!D33+'PASH MC 12'!D34+'PASH MC 12'!D35</f>
        <v>280955.46000000002</v>
      </c>
      <c r="J27" s="421"/>
      <c r="K27" s="191"/>
      <c r="L27" s="421"/>
    </row>
    <row r="28" spans="2:12">
      <c r="B28" s="322"/>
      <c r="C28" s="294" t="s">
        <v>1539</v>
      </c>
      <c r="D28" s="266" t="s">
        <v>1412</v>
      </c>
      <c r="F28" s="421">
        <f>'PASH 13'!D47+'PASH 13'!D48+'PASH 13'!D49+'PASH 13'!D50+'PASH 13'!D45</f>
        <v>1568082.9699999995</v>
      </c>
      <c r="H28" s="61">
        <f>'PASH MC 12'!D42</f>
        <v>185335.68999999997</v>
      </c>
      <c r="J28" s="421">
        <v>21028</v>
      </c>
      <c r="K28" s="191"/>
      <c r="L28" s="421"/>
    </row>
    <row r="29" spans="2:12">
      <c r="B29" s="322"/>
      <c r="C29" s="294" t="s">
        <v>1271</v>
      </c>
      <c r="D29" s="266" t="s">
        <v>1384</v>
      </c>
      <c r="F29" s="421">
        <f>'PASH 13'!D46</f>
        <v>1195883.1400000001</v>
      </c>
      <c r="H29" s="61">
        <f>'PASH MC 12'!D24+'PASH MC 12'!D23</f>
        <v>45284.7</v>
      </c>
      <c r="J29" s="421">
        <v>238141</v>
      </c>
      <c r="K29" s="191"/>
      <c r="L29" s="421"/>
    </row>
    <row r="30" spans="2:12">
      <c r="B30" s="322"/>
      <c r="C30" s="294" t="s">
        <v>1272</v>
      </c>
      <c r="D30" s="266" t="s">
        <v>965</v>
      </c>
      <c r="F30" s="421">
        <f>'PASH 13'!D24+'PASH 13'!D25+'PASH 13'!D26+'PASH 13'!D27+'PASH 13'!D42</f>
        <v>415116.80999999994</v>
      </c>
      <c r="H30" s="61">
        <f>'PASH MC 12'!D22</f>
        <v>177336.66</v>
      </c>
      <c r="J30" s="421"/>
      <c r="K30" s="191"/>
      <c r="L30" s="421"/>
    </row>
    <row r="31" spans="2:12">
      <c r="B31" s="322"/>
      <c r="C31" s="294" t="s">
        <v>1691</v>
      </c>
      <c r="D31" s="266" t="s">
        <v>1381</v>
      </c>
      <c r="F31" s="421">
        <f>'PASH 13'!D20+'PASH 13'!D21+'PASH 13'!D23</f>
        <v>1973986</v>
      </c>
      <c r="H31" s="61">
        <f>'PASH MC 12'!D19+'PASH MC 12'!D21</f>
        <v>1096212</v>
      </c>
      <c r="J31" s="421">
        <v>555016</v>
      </c>
      <c r="K31" s="191"/>
      <c r="L31" s="421"/>
    </row>
    <row r="32" spans="2:12">
      <c r="B32" s="322"/>
      <c r="C32" s="294" t="s">
        <v>1692</v>
      </c>
      <c r="D32" s="266" t="s">
        <v>1410</v>
      </c>
      <c r="F32" s="421">
        <f>'PASH 13'!D31</f>
        <v>3431409.5200000009</v>
      </c>
      <c r="H32" s="61">
        <f>'PASH MC 12'!D28</f>
        <v>930602.16</v>
      </c>
      <c r="J32" s="421"/>
      <c r="K32" s="191"/>
      <c r="L32" s="421"/>
    </row>
    <row r="33" spans="2:12">
      <c r="B33" s="322"/>
      <c r="C33" s="294" t="s">
        <v>873</v>
      </c>
      <c r="D33" s="266" t="s">
        <v>1528</v>
      </c>
      <c r="F33" s="421">
        <f>'PASH 13'!D33</f>
        <v>162245.89000000001</v>
      </c>
      <c r="H33" s="61">
        <f>'PASH MC 12'!D29</f>
        <v>118630.92000000004</v>
      </c>
      <c r="J33" s="421">
        <v>48106.3</v>
      </c>
      <c r="K33" s="191"/>
      <c r="L33" s="421"/>
    </row>
    <row r="34" spans="2:12">
      <c r="B34" s="322"/>
      <c r="C34" s="294" t="s">
        <v>874</v>
      </c>
      <c r="D34" s="266" t="s">
        <v>1386</v>
      </c>
      <c r="F34" s="421">
        <f>'PASH 13'!D30</f>
        <v>1873550</v>
      </c>
      <c r="H34" s="61">
        <f>'PASH MC 12'!D27</f>
        <v>1007430</v>
      </c>
      <c r="J34" s="421">
        <v>273781</v>
      </c>
      <c r="K34" s="191"/>
      <c r="L34" s="421"/>
    </row>
    <row r="35" spans="2:12">
      <c r="B35" s="322"/>
      <c r="C35" s="294" t="s">
        <v>1710</v>
      </c>
      <c r="D35" s="266" t="s">
        <v>870</v>
      </c>
      <c r="F35" s="421">
        <f>'PASH 13'!D18</f>
        <v>12268080</v>
      </c>
      <c r="H35" s="61">
        <f>'PASH MC 12'!D17</f>
        <v>6943333.3200000003</v>
      </c>
      <c r="J35" s="421"/>
      <c r="K35" s="191"/>
      <c r="L35" s="421"/>
    </row>
    <row r="36" spans="2:12">
      <c r="B36" s="322"/>
      <c r="C36" s="294" t="s">
        <v>875</v>
      </c>
      <c r="D36" s="266" t="s">
        <v>323</v>
      </c>
      <c r="E36" s="269"/>
      <c r="F36" s="288">
        <f>'PASH 13'!D19+'PASH 13'!D29</f>
        <v>117034</v>
      </c>
      <c r="G36" s="795"/>
      <c r="H36" s="811">
        <f>'PASH MC 12'!D18</f>
        <v>3333333.31</v>
      </c>
      <c r="J36" s="421"/>
      <c r="K36" s="191"/>
      <c r="L36" s="421"/>
    </row>
    <row r="37" spans="2:12">
      <c r="B37" s="322"/>
      <c r="C37" s="294" t="s">
        <v>1711</v>
      </c>
      <c r="D37" s="59" t="s">
        <v>324</v>
      </c>
      <c r="F37" s="421">
        <v>343955</v>
      </c>
      <c r="H37" s="61">
        <v>889738</v>
      </c>
      <c r="J37" s="421">
        <v>726527</v>
      </c>
      <c r="K37" s="191"/>
      <c r="L37" s="421">
        <f>-'P&amp;L13'!I93</f>
        <v>86396255</v>
      </c>
    </row>
    <row r="38" spans="2:12">
      <c r="D38" s="269"/>
      <c r="H38" s="59"/>
      <c r="I38" s="795"/>
      <c r="J38" s="821"/>
      <c r="K38" s="191"/>
      <c r="L38" s="192"/>
    </row>
    <row r="39" spans="2:12">
      <c r="D39" s="201" t="s">
        <v>11</v>
      </c>
      <c r="E39" s="269"/>
      <c r="F39" s="1395"/>
      <c r="G39" s="795"/>
      <c r="H39" s="823"/>
      <c r="I39" s="795"/>
      <c r="J39" s="192"/>
      <c r="K39" s="191"/>
      <c r="L39" s="821"/>
    </row>
    <row r="40" spans="2:12" ht="13.5" thickBot="1">
      <c r="D40" s="201"/>
      <c r="E40" s="201"/>
      <c r="F40" s="822">
        <f>SUM(F19:F39)</f>
        <v>30603536.150000002</v>
      </c>
      <c r="G40" s="1092"/>
      <c r="H40" s="822">
        <f>SUM(H19:H39)</f>
        <v>19943521.669999998</v>
      </c>
      <c r="I40" s="1092"/>
      <c r="J40" s="822">
        <f>SUM(J19:J39)</f>
        <v>1862599.3</v>
      </c>
      <c r="K40" s="197"/>
      <c r="L40" s="195">
        <f>SUM(L20:L38)</f>
        <v>86396255</v>
      </c>
    </row>
    <row r="41" spans="2:12" ht="13.5" thickTop="1">
      <c r="D41" s="266"/>
      <c r="E41" s="201"/>
      <c r="F41" s="201"/>
      <c r="G41" s="796"/>
      <c r="H41" s="812"/>
      <c r="I41" s="796"/>
      <c r="J41" s="293"/>
      <c r="K41" s="197"/>
      <c r="L41" s="293"/>
    </row>
    <row r="42" spans="2:12">
      <c r="B42" s="322"/>
      <c r="C42" s="294"/>
      <c r="D42" s="1752" t="s">
        <v>1414</v>
      </c>
      <c r="J42" s="321"/>
      <c r="K42" s="191"/>
      <c r="L42" s="200"/>
    </row>
    <row r="43" spans="2:12">
      <c r="B43" s="261" t="s">
        <v>1393</v>
      </c>
      <c r="D43" s="1750"/>
      <c r="E43" s="268"/>
      <c r="F43" s="184">
        <v>2013</v>
      </c>
      <c r="G43" s="790"/>
      <c r="H43" s="184">
        <v>2012</v>
      </c>
      <c r="I43" s="790"/>
      <c r="J43" s="184">
        <v>2011</v>
      </c>
      <c r="K43" s="199"/>
      <c r="L43" s="198">
        <v>2009</v>
      </c>
    </row>
    <row r="44" spans="2:12">
      <c r="D44" s="268"/>
      <c r="E44" s="268"/>
      <c r="F44" s="354" t="s">
        <v>299</v>
      </c>
      <c r="G44" s="790"/>
      <c r="H44" s="354" t="s">
        <v>299</v>
      </c>
      <c r="I44" s="312"/>
      <c r="J44" s="354" t="s">
        <v>299</v>
      </c>
      <c r="K44" s="199"/>
      <c r="L44" s="185" t="s">
        <v>7</v>
      </c>
    </row>
    <row r="45" spans="2:12">
      <c r="D45" s="302" t="s">
        <v>1532</v>
      </c>
      <c r="E45" s="268"/>
      <c r="F45" s="268"/>
      <c r="G45" s="790"/>
      <c r="H45" s="804"/>
      <c r="I45" s="790"/>
      <c r="J45" s="300"/>
      <c r="K45" s="199"/>
      <c r="L45" s="300"/>
    </row>
    <row r="46" spans="2:12">
      <c r="C46" s="294" t="s">
        <v>1320</v>
      </c>
      <c r="D46" s="187" t="s">
        <v>1529</v>
      </c>
      <c r="E46" s="187"/>
      <c r="F46" s="187"/>
      <c r="G46" s="791"/>
      <c r="H46" s="806"/>
      <c r="I46" s="791"/>
      <c r="J46" s="321"/>
      <c r="K46" s="289"/>
      <c r="L46" s="321"/>
    </row>
    <row r="47" spans="2:12">
      <c r="C47" s="294" t="s">
        <v>1321</v>
      </c>
      <c r="D47" s="187" t="s">
        <v>1530</v>
      </c>
      <c r="F47" s="1394">
        <f>'PASH 13'!D35</f>
        <v>25120</v>
      </c>
      <c r="H47" s="61">
        <f>'PASH MC 12'!D32</f>
        <v>53224.99</v>
      </c>
      <c r="J47" s="421"/>
      <c r="K47" s="191"/>
      <c r="L47" s="421"/>
    </row>
    <row r="48" spans="2:12">
      <c r="C48" s="368" t="s">
        <v>1323</v>
      </c>
      <c r="D48" s="187" t="s">
        <v>1275</v>
      </c>
      <c r="J48" s="421"/>
      <c r="K48" s="191"/>
      <c r="L48" s="421"/>
    </row>
    <row r="49" spans="2:12" ht="12" customHeight="1">
      <c r="C49" s="368" t="s">
        <v>1324</v>
      </c>
      <c r="D49" s="187" t="s">
        <v>1191</v>
      </c>
      <c r="J49" s="421"/>
      <c r="K49" s="191"/>
      <c r="L49" s="421"/>
    </row>
    <row r="50" spans="2:12" ht="12" customHeight="1">
      <c r="C50" s="368" t="s">
        <v>1539</v>
      </c>
      <c r="D50" s="187" t="s">
        <v>1190</v>
      </c>
      <c r="F50" s="421">
        <f>'PASH 13'!E43</f>
        <v>2310780.79</v>
      </c>
      <c r="H50" s="61">
        <f>'PASH MC 12'!D40</f>
        <v>6870962.540000001</v>
      </c>
      <c r="J50" s="421"/>
      <c r="K50" s="191"/>
      <c r="L50" s="421"/>
    </row>
    <row r="51" spans="2:12">
      <c r="C51" s="294" t="s">
        <v>1271</v>
      </c>
      <c r="D51" s="187" t="s">
        <v>1415</v>
      </c>
      <c r="J51" s="421"/>
      <c r="K51" s="191"/>
      <c r="L51" s="421"/>
    </row>
    <row r="52" spans="2:12">
      <c r="D52" s="187"/>
      <c r="E52" s="187"/>
      <c r="F52" s="187"/>
      <c r="G52" s="791"/>
      <c r="H52" s="806"/>
      <c r="I52" s="791"/>
      <c r="J52" s="321"/>
      <c r="K52" s="191"/>
      <c r="L52" s="200"/>
    </row>
    <row r="53" spans="2:12">
      <c r="D53" s="201" t="s">
        <v>11</v>
      </c>
      <c r="E53" s="187"/>
      <c r="F53" s="187"/>
      <c r="G53" s="791"/>
      <c r="H53" s="806"/>
      <c r="I53" s="791"/>
      <c r="J53" s="200"/>
      <c r="K53" s="191"/>
      <c r="L53" s="200"/>
    </row>
    <row r="54" spans="2:12" ht="13.5" thickBot="1">
      <c r="D54" s="201"/>
      <c r="E54" s="201"/>
      <c r="F54" s="813">
        <f>SUM(F46:F52)</f>
        <v>2335900.79</v>
      </c>
      <c r="G54" s="1092"/>
      <c r="H54" s="813">
        <f>SUM(H46:H52)</f>
        <v>6924187.5300000012</v>
      </c>
      <c r="I54" s="293"/>
      <c r="J54" s="264">
        <f>SUM(J46:J52)</f>
        <v>0</v>
      </c>
      <c r="K54" s="197"/>
      <c r="L54" s="264">
        <f>SUM(L46:L52)</f>
        <v>0</v>
      </c>
    </row>
    <row r="55" spans="2:12" ht="13.5" thickTop="1">
      <c r="D55" s="548"/>
      <c r="E55" s="201"/>
      <c r="F55" s="201"/>
      <c r="G55" s="796"/>
      <c r="H55" s="812"/>
      <c r="I55" s="796"/>
      <c r="J55" s="293"/>
      <c r="K55" s="197"/>
      <c r="L55" s="293"/>
    </row>
    <row r="56" spans="2:12">
      <c r="D56" s="301"/>
      <c r="E56" s="201"/>
      <c r="F56" s="201"/>
      <c r="G56" s="796"/>
      <c r="H56" s="812"/>
      <c r="I56" s="796"/>
      <c r="J56" s="293"/>
      <c r="K56" s="197"/>
      <c r="L56" s="293"/>
    </row>
    <row r="57" spans="2:12">
      <c r="D57" s="268" t="s">
        <v>1533</v>
      </c>
      <c r="E57" s="201"/>
      <c r="F57" s="201"/>
      <c r="G57" s="796"/>
      <c r="H57" s="812"/>
      <c r="I57" s="796"/>
      <c r="J57" s="293"/>
      <c r="K57" s="197"/>
      <c r="L57" s="293"/>
    </row>
    <row r="58" spans="2:12">
      <c r="B58" s="261">
        <v>18</v>
      </c>
      <c r="E58" s="201"/>
      <c r="F58" s="184">
        <v>2013</v>
      </c>
      <c r="G58" s="796"/>
      <c r="H58" s="184">
        <v>2012</v>
      </c>
      <c r="I58" s="790"/>
      <c r="J58" s="184">
        <v>2011</v>
      </c>
      <c r="K58" s="197"/>
      <c r="L58" s="198">
        <v>2009</v>
      </c>
    </row>
    <row r="59" spans="2:12">
      <c r="D59" s="187"/>
      <c r="E59" s="268"/>
      <c r="F59" s="354" t="s">
        <v>299</v>
      </c>
      <c r="G59" s="790"/>
      <c r="H59" s="354" t="s">
        <v>299</v>
      </c>
      <c r="I59" s="312"/>
      <c r="J59" s="354" t="s">
        <v>299</v>
      </c>
      <c r="K59" s="199"/>
      <c r="L59" s="185" t="s">
        <v>7</v>
      </c>
    </row>
    <row r="60" spans="2:12">
      <c r="D60" s="187" t="s">
        <v>1388</v>
      </c>
      <c r="E60" s="187"/>
      <c r="F60" s="187"/>
      <c r="G60" s="791"/>
      <c r="H60" s="806"/>
      <c r="I60" s="791"/>
      <c r="J60" s="193"/>
      <c r="K60" s="191"/>
      <c r="L60" s="193"/>
    </row>
    <row r="61" spans="2:12">
      <c r="C61" s="294" t="s">
        <v>1320</v>
      </c>
      <c r="D61" s="187" t="s">
        <v>508</v>
      </c>
      <c r="E61" s="187"/>
      <c r="F61" s="288">
        <f>-'P&amp;L13'!F96</f>
        <v>20290215</v>
      </c>
      <c r="G61" s="791"/>
      <c r="H61" s="806">
        <f>-'P&amp;L13'!G96</f>
        <v>7984265</v>
      </c>
      <c r="I61" s="791"/>
      <c r="J61" s="321">
        <f>-'P&amp;L13'!H96</f>
        <v>564826</v>
      </c>
      <c r="K61" s="289"/>
      <c r="L61" s="321"/>
    </row>
    <row r="62" spans="2:12">
      <c r="C62" s="294" t="s">
        <v>1321</v>
      </c>
      <c r="D62" s="302" t="s">
        <v>1534</v>
      </c>
      <c r="F62" s="1385">
        <f>-'P&amp;L13'!F97</f>
        <v>3374813</v>
      </c>
      <c r="H62" s="61">
        <f>-'P&amp;L13'!G97</f>
        <v>1330859</v>
      </c>
      <c r="J62" s="421">
        <f>-'P&amp;L13'!H97</f>
        <v>69027</v>
      </c>
      <c r="K62" s="191"/>
      <c r="L62" s="421">
        <f>-'P&amp;L13'!I96</f>
        <v>36615640</v>
      </c>
    </row>
    <row r="63" spans="2:12">
      <c r="C63" s="294" t="s">
        <v>1323</v>
      </c>
      <c r="D63" s="547" t="s">
        <v>1741</v>
      </c>
      <c r="F63" s="1385">
        <f>-'P&amp;L13'!F98</f>
        <v>5012289</v>
      </c>
      <c r="H63" s="61">
        <f>-'P&amp;L13'!G98</f>
        <v>2037990</v>
      </c>
      <c r="J63" s="421"/>
      <c r="K63" s="191"/>
      <c r="L63" s="421">
        <f>-'P&amp;L13'!I97</f>
        <v>7491125</v>
      </c>
    </row>
    <row r="64" spans="2:12">
      <c r="D64" s="187"/>
      <c r="J64" s="421"/>
      <c r="K64" s="191"/>
      <c r="L64" s="421">
        <f>-'P&amp;L13'!I98</f>
        <v>33993096</v>
      </c>
    </row>
    <row r="65" spans="2:12">
      <c r="D65" s="187"/>
      <c r="E65" s="187"/>
      <c r="F65" s="187"/>
      <c r="G65" s="791"/>
      <c r="H65" s="806"/>
      <c r="I65" s="791"/>
      <c r="J65" s="200"/>
      <c r="K65" s="191"/>
      <c r="L65" s="200"/>
    </row>
    <row r="66" spans="2:12">
      <c r="D66" s="201" t="s">
        <v>11</v>
      </c>
      <c r="E66" s="187"/>
      <c r="F66" s="187"/>
      <c r="G66" s="791"/>
      <c r="H66" s="806"/>
      <c r="I66" s="791"/>
      <c r="J66" s="200"/>
      <c r="K66" s="191"/>
      <c r="L66" s="200"/>
    </row>
    <row r="67" spans="2:12" ht="13.5" thickBot="1">
      <c r="D67" s="201"/>
      <c r="E67" s="201"/>
      <c r="F67" s="813">
        <f>SUM(F60:F66)</f>
        <v>28677317</v>
      </c>
      <c r="G67" s="1092"/>
      <c r="H67" s="813">
        <f>SUM(H60:H66)</f>
        <v>11353114</v>
      </c>
      <c r="I67" s="796"/>
      <c r="J67" s="264">
        <f>SUM(J60:J66)</f>
        <v>633853</v>
      </c>
      <c r="K67" s="197"/>
      <c r="L67" s="264">
        <f>SUM(L61:L66)</f>
        <v>78099861</v>
      </c>
    </row>
    <row r="68" spans="2:12" ht="13.5" thickTop="1">
      <c r="E68" s="201"/>
      <c r="F68" s="201"/>
      <c r="G68" s="796"/>
      <c r="H68" s="812"/>
      <c r="I68" s="796"/>
      <c r="J68" s="293"/>
      <c r="K68" s="197"/>
      <c r="L68" s="293"/>
    </row>
    <row r="69" spans="2:12">
      <c r="D69" s="1752" t="s">
        <v>490</v>
      </c>
    </row>
    <row r="70" spans="2:12">
      <c r="B70" s="261" t="s">
        <v>640</v>
      </c>
      <c r="D70" s="1750"/>
      <c r="E70" s="202"/>
      <c r="F70" s="184">
        <v>2013</v>
      </c>
      <c r="G70" s="797"/>
      <c r="H70" s="184">
        <v>2012</v>
      </c>
      <c r="I70" s="790"/>
      <c r="J70" s="184">
        <v>2011</v>
      </c>
      <c r="K70" s="199"/>
      <c r="L70" s="198">
        <v>2009</v>
      </c>
    </row>
    <row r="71" spans="2:12">
      <c r="D71" s="268"/>
      <c r="E71" s="202"/>
      <c r="F71" s="354" t="s">
        <v>299</v>
      </c>
      <c r="G71" s="797"/>
      <c r="H71" s="354" t="s">
        <v>299</v>
      </c>
      <c r="I71" s="312"/>
      <c r="J71" s="354" t="s">
        <v>299</v>
      </c>
      <c r="K71" s="199"/>
      <c r="L71" s="185" t="s">
        <v>7</v>
      </c>
    </row>
    <row r="72" spans="2:12">
      <c r="D72" s="302" t="s">
        <v>1588</v>
      </c>
      <c r="E72" s="202"/>
      <c r="F72" s="202"/>
      <c r="G72" s="797"/>
      <c r="H72" s="814"/>
      <c r="I72" s="797"/>
      <c r="J72" s="300"/>
      <c r="K72" s="199"/>
      <c r="L72" s="300"/>
    </row>
    <row r="73" spans="2:12">
      <c r="C73" s="1620" t="s">
        <v>1320</v>
      </c>
      <c r="D73" s="187" t="s">
        <v>516</v>
      </c>
      <c r="E73" s="187"/>
      <c r="F73" s="1401">
        <f>'PASH 13'!E53</f>
        <v>5632852</v>
      </c>
      <c r="G73" s="791"/>
      <c r="H73" s="806">
        <f>'PASH MC 12'!D48</f>
        <v>1837369</v>
      </c>
      <c r="I73" s="791"/>
      <c r="J73" s="323"/>
      <c r="K73" s="324"/>
      <c r="L73" s="325"/>
    </row>
    <row r="74" spans="2:12">
      <c r="C74" s="1620" t="s">
        <v>1321</v>
      </c>
      <c r="D74" s="187" t="s">
        <v>147</v>
      </c>
      <c r="F74" s="77">
        <f>'PASH 13'!E54</f>
        <v>2084568</v>
      </c>
      <c r="H74" s="61">
        <f>'PASH MC 12'!D49</f>
        <v>833577</v>
      </c>
      <c r="J74" s="421">
        <f>'P&amp;L13'!H23</f>
        <v>0</v>
      </c>
      <c r="K74" s="191"/>
      <c r="L74" s="421">
        <f>-'P&amp;L13'!I99</f>
        <v>17674675</v>
      </c>
    </row>
    <row r="75" spans="2:12">
      <c r="C75" s="294"/>
      <c r="D75" s="187"/>
      <c r="F75" s="77"/>
      <c r="J75" s="421">
        <f>'P&amp;L13'!H27</f>
        <v>0</v>
      </c>
      <c r="K75" s="191"/>
      <c r="L75" s="421"/>
    </row>
    <row r="76" spans="2:12">
      <c r="D76" s="201" t="s">
        <v>11</v>
      </c>
      <c r="E76" s="187"/>
      <c r="F76" s="824"/>
      <c r="G76" s="791"/>
      <c r="H76" s="824"/>
      <c r="I76" s="791"/>
      <c r="J76" s="192"/>
      <c r="K76" s="191"/>
      <c r="L76" s="192"/>
    </row>
    <row r="77" spans="2:12" ht="13.5" thickBot="1">
      <c r="D77" s="201"/>
      <c r="E77" s="201"/>
      <c r="F77" s="822">
        <f>SUM(F73:F76)</f>
        <v>7717420</v>
      </c>
      <c r="G77" s="1092"/>
      <c r="H77" s="822">
        <f>SUM(H73:H76)</f>
        <v>2670946</v>
      </c>
      <c r="I77" s="796"/>
      <c r="J77" s="195">
        <f>SUM(J73:J76)</f>
        <v>0</v>
      </c>
      <c r="K77" s="197"/>
      <c r="L77" s="195">
        <f>SUM(L73:L76)</f>
        <v>17674675</v>
      </c>
    </row>
    <row r="78" spans="2:12" ht="13.5" thickTop="1">
      <c r="D78" s="201"/>
      <c r="E78" s="201"/>
      <c r="F78" s="1092"/>
      <c r="G78" s="1092"/>
      <c r="H78" s="1092"/>
      <c r="I78" s="796"/>
      <c r="J78" s="293"/>
      <c r="K78" s="197"/>
      <c r="L78" s="293"/>
    </row>
    <row r="79" spans="2:12">
      <c r="D79" s="507" t="s">
        <v>1535</v>
      </c>
      <c r="E79" s="201"/>
      <c r="F79" s="201"/>
      <c r="G79" s="796"/>
      <c r="H79" s="812"/>
      <c r="I79" s="796"/>
      <c r="J79" s="293"/>
      <c r="K79" s="197"/>
      <c r="L79" s="293"/>
    </row>
    <row r="80" spans="2:12">
      <c r="D80" s="507" t="s">
        <v>148</v>
      </c>
      <c r="E80" s="201"/>
      <c r="F80" s="201"/>
      <c r="G80" s="796"/>
      <c r="H80" s="812"/>
      <c r="I80" s="796"/>
      <c r="J80" s="293"/>
      <c r="K80" s="197"/>
      <c r="L80" s="293"/>
    </row>
    <row r="81" spans="2:12">
      <c r="D81" s="1058" t="s">
        <v>871</v>
      </c>
      <c r="E81" s="201"/>
      <c r="F81" s="201"/>
      <c r="G81" s="796"/>
      <c r="H81" s="812"/>
      <c r="I81" s="796"/>
      <c r="J81" s="293"/>
      <c r="K81" s="197"/>
      <c r="L81" s="293"/>
    </row>
    <row r="82" spans="2:12">
      <c r="D82" s="1058" t="s">
        <v>872</v>
      </c>
    </row>
    <row r="85" spans="2:12">
      <c r="F85" s="184">
        <v>2013</v>
      </c>
      <c r="H85" s="184">
        <v>2012</v>
      </c>
      <c r="I85" s="790"/>
      <c r="J85" s="184">
        <v>2011</v>
      </c>
      <c r="K85" s="464"/>
      <c r="L85" s="464">
        <v>2009</v>
      </c>
    </row>
    <row r="86" spans="2:12">
      <c r="B86" s="261">
        <v>19</v>
      </c>
      <c r="D86" s="355"/>
      <c r="E86" s="364"/>
      <c r="F86" s="354" t="s">
        <v>299</v>
      </c>
      <c r="G86" s="1389"/>
      <c r="H86" s="354" t="s">
        <v>299</v>
      </c>
      <c r="I86" s="312"/>
      <c r="J86" s="354" t="s">
        <v>299</v>
      </c>
      <c r="L86" s="354" t="s">
        <v>7</v>
      </c>
    </row>
    <row r="87" spans="2:12">
      <c r="D87" s="365" t="s">
        <v>1517</v>
      </c>
      <c r="E87" s="355"/>
      <c r="F87" s="1397"/>
      <c r="G87" s="798"/>
      <c r="H87" s="815"/>
      <c r="I87" s="798"/>
      <c r="J87" s="355"/>
      <c r="K87" s="355"/>
      <c r="L87" s="355"/>
    </row>
    <row r="88" spans="2:12">
      <c r="D88" s="187" t="s">
        <v>1518</v>
      </c>
      <c r="E88" s="365"/>
      <c r="F88" s="1398"/>
      <c r="G88" s="1390"/>
      <c r="H88" s="1094"/>
      <c r="I88" s="799"/>
      <c r="J88" s="509"/>
      <c r="K88" s="509"/>
      <c r="L88" s="510"/>
    </row>
    <row r="89" spans="2:12">
      <c r="D89" s="187" t="s">
        <v>1520</v>
      </c>
      <c r="E89" s="187"/>
      <c r="F89" s="1399"/>
      <c r="G89" s="791"/>
      <c r="H89" s="806"/>
      <c r="I89" s="791"/>
      <c r="J89" s="323"/>
      <c r="K89" s="324"/>
      <c r="L89" s="323">
        <f>'P&amp;L13'!$J$108</f>
        <v>0</v>
      </c>
    </row>
    <row r="90" spans="2:12">
      <c r="D90" s="187" t="s">
        <v>1192</v>
      </c>
      <c r="E90" s="187"/>
      <c r="F90" s="1399"/>
      <c r="G90" s="791"/>
      <c r="H90" s="806">
        <f>'P&amp;L13'!G105</f>
        <v>110000</v>
      </c>
      <c r="I90" s="791"/>
      <c r="J90" s="323"/>
      <c r="K90" s="324"/>
      <c r="L90" s="323">
        <v>0</v>
      </c>
    </row>
    <row r="91" spans="2:12">
      <c r="D91" s="187" t="s">
        <v>1042</v>
      </c>
      <c r="E91" s="187"/>
      <c r="F91" s="1399"/>
      <c r="G91" s="791"/>
      <c r="H91" s="806"/>
      <c r="I91" s="791"/>
      <c r="J91" s="323"/>
      <c r="K91" s="324"/>
      <c r="L91" s="323">
        <v>0</v>
      </c>
    </row>
    <row r="92" spans="2:12">
      <c r="D92" s="187" t="s">
        <v>1409</v>
      </c>
      <c r="E92" s="187"/>
      <c r="F92" s="1399"/>
      <c r="G92" s="791"/>
      <c r="H92" s="806"/>
      <c r="I92" s="791"/>
      <c r="J92" s="323"/>
      <c r="K92" s="324"/>
      <c r="L92" s="323"/>
    </row>
    <row r="93" spans="2:12">
      <c r="D93" s="366"/>
      <c r="E93" s="187"/>
      <c r="F93" s="1399"/>
      <c r="G93" s="791"/>
      <c r="H93" s="806"/>
      <c r="I93" s="791"/>
      <c r="J93" s="323"/>
      <c r="K93" s="324"/>
      <c r="L93" s="323"/>
    </row>
    <row r="94" spans="2:12">
      <c r="D94" s="362" t="s">
        <v>1519</v>
      </c>
      <c r="E94" s="366"/>
      <c r="F94" s="1399"/>
      <c r="G94" s="800"/>
      <c r="H94" s="816"/>
      <c r="I94" s="800"/>
      <c r="J94" s="511"/>
      <c r="K94" s="324"/>
      <c r="L94" s="511"/>
    </row>
    <row r="95" spans="2:12">
      <c r="D95" s="187" t="s">
        <v>1736</v>
      </c>
      <c r="E95" s="366"/>
      <c r="F95" s="1624">
        <f>-'P&amp;L13'!F106</f>
        <v>1798177.7</v>
      </c>
      <c r="G95" s="800"/>
      <c r="H95" s="816">
        <f>-'P&amp;L13'!G106</f>
        <v>680039.54999999993</v>
      </c>
      <c r="I95" s="800"/>
      <c r="J95" s="511"/>
      <c r="K95" s="324"/>
      <c r="L95" s="511"/>
    </row>
    <row r="96" spans="2:12">
      <c r="D96" s="187" t="s">
        <v>1521</v>
      </c>
      <c r="E96" s="362"/>
      <c r="F96" s="1400"/>
      <c r="G96" s="801"/>
      <c r="H96" s="817"/>
      <c r="I96" s="801"/>
      <c r="J96" s="511"/>
      <c r="K96" s="324"/>
      <c r="L96" s="511"/>
    </row>
    <row r="97" spans="2:12">
      <c r="D97" s="187" t="s">
        <v>1737</v>
      </c>
      <c r="E97" s="187"/>
      <c r="F97" s="1624">
        <f>-'P&amp;L13'!F107</f>
        <v>180926.6</v>
      </c>
      <c r="G97" s="791"/>
      <c r="H97" s="806">
        <f>'PASH MC 12'!D47</f>
        <v>173117.08</v>
      </c>
      <c r="I97" s="791"/>
      <c r="J97" s="323"/>
      <c r="K97" s="324"/>
      <c r="L97" s="323">
        <v>0</v>
      </c>
    </row>
    <row r="98" spans="2:12">
      <c r="D98" s="187" t="s">
        <v>1193</v>
      </c>
      <c r="E98" s="187"/>
      <c r="F98" s="1399"/>
      <c r="G98" s="791"/>
      <c r="H98" s="806"/>
      <c r="I98" s="791"/>
      <c r="J98" s="512"/>
      <c r="K98" s="324"/>
      <c r="L98" s="323">
        <f>'P&amp;L13'!$I$104</f>
        <v>662352</v>
      </c>
    </row>
    <row r="99" spans="2:12">
      <c r="E99" s="187"/>
      <c r="F99" s="187"/>
      <c r="G99" s="791"/>
      <c r="H99" s="806"/>
      <c r="I99" s="791"/>
      <c r="J99" s="263"/>
      <c r="K99" s="324"/>
      <c r="L99" s="323">
        <v>0</v>
      </c>
    </row>
    <row r="100" spans="2:12">
      <c r="D100" s="358"/>
      <c r="E100" s="187"/>
      <c r="F100" s="1396"/>
      <c r="G100" s="791"/>
      <c r="H100" s="824"/>
      <c r="I100" s="791"/>
      <c r="J100" s="789"/>
      <c r="K100" s="355"/>
      <c r="L100" s="270"/>
    </row>
    <row r="101" spans="2:12" ht="13.5" thickBot="1">
      <c r="D101" s="358"/>
      <c r="E101" s="358"/>
      <c r="F101" s="979">
        <f>SUM(F89:F99)</f>
        <v>1979104.3</v>
      </c>
      <c r="G101" s="1391"/>
      <c r="H101" s="979">
        <f>SUM(H94:H99)-H90</f>
        <v>743156.62999999989</v>
      </c>
      <c r="I101" s="802"/>
      <c r="J101" s="361">
        <f>SUM(J89:J99)</f>
        <v>0</v>
      </c>
      <c r="K101" s="415"/>
      <c r="L101" s="361">
        <f>SUM(L97:L100,L89:L90)</f>
        <v>662352</v>
      </c>
    </row>
    <row r="102" spans="2:12" ht="13.5" thickTop="1">
      <c r="D102" s="417" t="s">
        <v>1449</v>
      </c>
      <c r="E102" s="358"/>
      <c r="F102" s="358"/>
      <c r="G102" s="802"/>
      <c r="H102" s="818"/>
      <c r="I102" s="802"/>
      <c r="J102" s="508"/>
      <c r="K102" s="415"/>
      <c r="L102" s="508"/>
    </row>
    <row r="103" spans="2:12">
      <c r="B103" s="261">
        <v>20</v>
      </c>
      <c r="D103" s="303"/>
      <c r="E103" s="60"/>
      <c r="F103" s="77"/>
      <c r="H103" s="77"/>
      <c r="J103" s="99"/>
      <c r="K103" s="60"/>
      <c r="L103" s="99"/>
    </row>
    <row r="104" spans="2:12">
      <c r="D104" s="416" t="s">
        <v>1450</v>
      </c>
      <c r="E104" s="60"/>
      <c r="F104" s="77">
        <f>'P&amp;L13'!F111</f>
        <v>-41825652.766011983</v>
      </c>
      <c r="H104" s="77">
        <f>'P&amp;L13'!G111</f>
        <v>-28812979.633486006</v>
      </c>
      <c r="J104" s="522">
        <f>'P&amp;L13'!H111</f>
        <v>-2543305.87</v>
      </c>
      <c r="K104" s="60"/>
      <c r="L104" s="99"/>
    </row>
    <row r="105" spans="2:12">
      <c r="D105" s="416" t="s">
        <v>1452</v>
      </c>
      <c r="E105" s="60"/>
      <c r="F105" s="77"/>
      <c r="K105" s="523"/>
      <c r="L105" s="522">
        <f>'P&amp;L13'!I109</f>
        <v>18657479</v>
      </c>
    </row>
    <row r="106" spans="2:12">
      <c r="D106" s="416" t="s">
        <v>127</v>
      </c>
      <c r="F106" s="61"/>
      <c r="J106" s="522">
        <f>'P&amp;L13'!H55</f>
        <v>0</v>
      </c>
      <c r="K106" s="523"/>
      <c r="L106" s="522">
        <f>'P&amp;L13'!I55</f>
        <v>0</v>
      </c>
    </row>
    <row r="107" spans="2:12">
      <c r="D107" s="416" t="s">
        <v>454</v>
      </c>
      <c r="E107" s="60"/>
      <c r="F107" s="77">
        <f>'P&amp;L13'!F21</f>
        <v>2310780.79</v>
      </c>
      <c r="H107" s="77">
        <f>'PASH MC 12'!E40</f>
        <v>6870962.540000001</v>
      </c>
      <c r="J107" s="512">
        <v>563814</v>
      </c>
      <c r="K107" s="523"/>
      <c r="L107" s="522">
        <v>0</v>
      </c>
    </row>
    <row r="108" spans="2:12">
      <c r="D108" s="416" t="s">
        <v>1416</v>
      </c>
      <c r="E108" s="60"/>
      <c r="F108" s="77"/>
      <c r="H108" s="77"/>
      <c r="J108" s="522"/>
      <c r="K108" s="523"/>
      <c r="L108" s="522">
        <f>'P&amp;L13'!I56</f>
        <v>0</v>
      </c>
    </row>
    <row r="109" spans="2:12">
      <c r="D109" s="416" t="s">
        <v>1417</v>
      </c>
      <c r="E109" s="60"/>
      <c r="F109" s="77"/>
      <c r="H109" s="77"/>
      <c r="J109" s="522"/>
      <c r="K109" s="523"/>
      <c r="L109" s="522">
        <f>'P&amp;L13'!I58</f>
        <v>0</v>
      </c>
    </row>
    <row r="110" spans="2:12">
      <c r="D110" s="303"/>
      <c r="E110" s="60"/>
      <c r="F110" s="60"/>
      <c r="H110" s="77"/>
      <c r="J110" s="522">
        <f>'P&amp;L13'!H54</f>
        <v>0</v>
      </c>
      <c r="K110" s="523"/>
      <c r="L110" s="522">
        <f>'P&amp;L13'!I54</f>
        <v>0</v>
      </c>
    </row>
    <row r="111" spans="2:12">
      <c r="D111" s="303"/>
      <c r="E111" s="60"/>
      <c r="F111" s="60"/>
      <c r="H111" s="77"/>
      <c r="J111" s="418"/>
      <c r="K111" s="419"/>
      <c r="L111" s="418"/>
    </row>
    <row r="112" spans="2:12">
      <c r="D112" s="363" t="s">
        <v>1522</v>
      </c>
      <c r="E112" s="60"/>
      <c r="F112" s="60"/>
      <c r="H112" s="77"/>
      <c r="J112" s="418"/>
      <c r="K112" s="419"/>
      <c r="L112" s="418"/>
    </row>
    <row r="113" spans="4:12">
      <c r="E113" s="363"/>
      <c r="F113" s="819">
        <f>SUM(F104:F112)</f>
        <v>-39514871.976011984</v>
      </c>
      <c r="G113" s="1392"/>
      <c r="H113" s="819">
        <f>SUM(H104:H112)</f>
        <v>-21942017.093486004</v>
      </c>
      <c r="I113" s="803"/>
      <c r="J113" s="367">
        <f>SUM(J104:J112)</f>
        <v>-1979491.87</v>
      </c>
      <c r="K113" s="367"/>
      <c r="L113" s="367">
        <f>SUM(L105:L112)</f>
        <v>18657479</v>
      </c>
    </row>
    <row r="114" spans="4:12">
      <c r="D114" s="59" t="s">
        <v>515</v>
      </c>
    </row>
    <row r="115" spans="4:12">
      <c r="F115" s="420">
        <f>F113</f>
        <v>-39514871.976011984</v>
      </c>
      <c r="G115" s="419"/>
      <c r="H115" s="420">
        <f>H113</f>
        <v>-21942017.093486004</v>
      </c>
      <c r="J115" s="420">
        <f>J113</f>
        <v>-1979491.87</v>
      </c>
      <c r="L115" s="420">
        <f>L113</f>
        <v>18657479</v>
      </c>
    </row>
    <row r="116" spans="4:12">
      <c r="D116" s="322" t="s">
        <v>1523</v>
      </c>
    </row>
    <row r="117" spans="4:12">
      <c r="F117" s="968">
        <v>0</v>
      </c>
      <c r="G117" s="1393"/>
      <c r="H117" s="968">
        <v>0</v>
      </c>
      <c r="J117" s="423">
        <v>0</v>
      </c>
      <c r="K117" s="424"/>
      <c r="L117" s="423">
        <v>0.1</v>
      </c>
    </row>
    <row r="118" spans="4:12">
      <c r="D118" s="59" t="s">
        <v>1524</v>
      </c>
      <c r="J118" s="421"/>
      <c r="K118" s="421"/>
      <c r="L118" s="421"/>
    </row>
    <row r="119" spans="4:12" ht="13.5" thickBot="1">
      <c r="F119" s="820">
        <f>F115*F117</f>
        <v>0</v>
      </c>
      <c r="G119" s="77"/>
      <c r="H119" s="820">
        <f>H115*H117</f>
        <v>0</v>
      </c>
      <c r="J119" s="422">
        <f>J115*J117</f>
        <v>0</v>
      </c>
      <c r="K119" s="422"/>
      <c r="L119" s="422">
        <f>L115*L117</f>
        <v>1865747.9000000001</v>
      </c>
    </row>
    <row r="120" spans="4:12" ht="13.5" thickTop="1">
      <c r="J120" s="421"/>
      <c r="K120" s="421"/>
      <c r="L120" s="421"/>
    </row>
    <row r="121" spans="4:12">
      <c r="J121" s="421"/>
      <c r="K121" s="421"/>
      <c r="L121" s="421"/>
    </row>
    <row r="122" spans="4:12">
      <c r="J122" s="421"/>
      <c r="K122" s="421"/>
      <c r="L122" s="421"/>
    </row>
    <row r="123" spans="4:12">
      <c r="J123" s="421"/>
      <c r="K123" s="421"/>
      <c r="L123" s="421"/>
    </row>
    <row r="124" spans="4:12">
      <c r="J124" s="421"/>
      <c r="K124" s="421"/>
      <c r="L124" s="421"/>
    </row>
    <row r="125" spans="4:12">
      <c r="J125" s="421"/>
      <c r="K125" s="421"/>
      <c r="L125" s="421"/>
    </row>
    <row r="126" spans="4:12">
      <c r="J126" s="421"/>
      <c r="K126" s="421"/>
      <c r="L126" s="421"/>
    </row>
    <row r="127" spans="4:12">
      <c r="J127" s="421"/>
      <c r="K127" s="421"/>
      <c r="L127" s="421"/>
    </row>
  </sheetData>
  <mergeCells count="5">
    <mergeCell ref="D69:D70"/>
    <mergeCell ref="D3:D4"/>
    <mergeCell ref="K3:K4"/>
    <mergeCell ref="D42:D43"/>
    <mergeCell ref="D16:D17"/>
  </mergeCells>
  <phoneticPr fontId="58" type="noConversion"/>
  <pageMargins left="0.70866141732283472" right="0.70866141732283472" top="0.47244094488188981" bottom="0.39370078740157483" header="0.31496062992125984" footer="0.31496062992125984"/>
  <pageSetup paperSize="9" scale="82" orientation="portrait" horizontalDpi="4294967295" r:id="rId1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48"/>
  </sheetPr>
  <dimension ref="B1:P23"/>
  <sheetViews>
    <sheetView showGridLines="0" defaultGridColor="0" colorId="12" workbookViewId="0">
      <selection activeCell="D34" sqref="D34"/>
    </sheetView>
  </sheetViews>
  <sheetFormatPr defaultRowHeight="12.75"/>
  <cols>
    <col min="1" max="1" width="2.140625" customWidth="1"/>
    <col min="2" max="2" width="4.140625" customWidth="1"/>
    <col min="3" max="3" width="12.42578125" customWidth="1"/>
    <col min="4" max="4" width="11.7109375" bestFit="1" customWidth="1"/>
    <col min="5" max="5" width="8.7109375" bestFit="1" customWidth="1"/>
    <col min="6" max="6" width="13.140625" customWidth="1"/>
    <col min="7" max="7" width="9.42578125" customWidth="1"/>
    <col min="8" max="8" width="13.28515625" customWidth="1"/>
    <col min="9" max="9" width="13.5703125" bestFit="1" customWidth="1"/>
    <col min="10" max="11" width="11.28515625" bestFit="1" customWidth="1"/>
    <col min="12" max="12" width="11.85546875" bestFit="1" customWidth="1"/>
    <col min="13" max="13" width="13.7109375" bestFit="1" customWidth="1"/>
    <col min="14" max="14" width="14.140625" bestFit="1" customWidth="1"/>
    <col min="15" max="15" width="11.7109375" customWidth="1"/>
    <col min="16" max="16" width="0" hidden="1" customWidth="1"/>
  </cols>
  <sheetData>
    <row r="1" spans="2:16" ht="15.75">
      <c r="B1" s="1"/>
      <c r="C1" s="56" t="s">
        <v>435</v>
      </c>
      <c r="D1" s="57" t="s">
        <v>340</v>
      </c>
    </row>
    <row r="4" spans="2:16">
      <c r="D4" s="2"/>
      <c r="E4" s="3"/>
      <c r="F4" s="4"/>
      <c r="G4" s="5"/>
      <c r="H4" s="5"/>
      <c r="I4" s="6" t="s">
        <v>436</v>
      </c>
      <c r="J4" s="2"/>
      <c r="K4" s="2"/>
      <c r="L4" s="2"/>
      <c r="M4" s="2"/>
      <c r="N4" s="2"/>
      <c r="O4" s="2"/>
      <c r="P4" s="2"/>
    </row>
    <row r="5" spans="2:16" ht="13.5" thickBot="1">
      <c r="D5" s="2"/>
      <c r="E5" s="3"/>
      <c r="F5" s="2"/>
      <c r="G5" s="2"/>
      <c r="H5" s="2"/>
      <c r="I5" s="3"/>
      <c r="J5" s="2"/>
      <c r="K5" s="2"/>
      <c r="L5" s="2"/>
      <c r="M5" s="2"/>
      <c r="N5" s="2"/>
      <c r="O5" s="2"/>
      <c r="P5" s="2"/>
    </row>
    <row r="6" spans="2:16" ht="13.5" thickTop="1">
      <c r="B6" s="1754" t="s">
        <v>1244</v>
      </c>
      <c r="C6" s="1756" t="s">
        <v>1245</v>
      </c>
      <c r="D6" s="1758" t="s">
        <v>1246</v>
      </c>
      <c r="E6" s="1759"/>
      <c r="F6" s="1760"/>
      <c r="G6" s="1761" t="s">
        <v>1247</v>
      </c>
      <c r="H6" s="1759"/>
      <c r="I6" s="1762"/>
      <c r="J6" s="1758" t="s">
        <v>1248</v>
      </c>
      <c r="K6" s="1759"/>
      <c r="L6" s="1760"/>
      <c r="M6" s="1765" t="s">
        <v>1249</v>
      </c>
      <c r="N6" s="1767" t="s">
        <v>1250</v>
      </c>
      <c r="O6" s="1769" t="s">
        <v>1251</v>
      </c>
      <c r="P6" s="1763"/>
    </row>
    <row r="7" spans="2:16" ht="13.5" thickBot="1">
      <c r="B7" s="1755"/>
      <c r="C7" s="1757"/>
      <c r="D7" s="50" t="s">
        <v>1252</v>
      </c>
      <c r="E7" s="51" t="s">
        <v>1253</v>
      </c>
      <c r="F7" s="52" t="s">
        <v>1254</v>
      </c>
      <c r="G7" s="53" t="s">
        <v>1255</v>
      </c>
      <c r="H7" s="51" t="s">
        <v>1256</v>
      </c>
      <c r="I7" s="54" t="s">
        <v>1257</v>
      </c>
      <c r="J7" s="50" t="s">
        <v>1258</v>
      </c>
      <c r="K7" s="51" t="s">
        <v>1259</v>
      </c>
      <c r="L7" s="52" t="s">
        <v>1260</v>
      </c>
      <c r="M7" s="1766"/>
      <c r="N7" s="1768"/>
      <c r="O7" s="1770"/>
      <c r="P7" s="1764"/>
    </row>
    <row r="8" spans="2:16" ht="13.5" thickTop="1">
      <c r="B8" s="7">
        <v>1</v>
      </c>
      <c r="C8" s="8" t="s">
        <v>437</v>
      </c>
      <c r="D8" s="9"/>
      <c r="E8" s="10"/>
      <c r="F8" s="11"/>
      <c r="G8" s="12"/>
      <c r="H8" s="10"/>
      <c r="I8" s="13"/>
      <c r="J8" s="9"/>
      <c r="K8" s="10"/>
      <c r="L8" s="11">
        <f t="shared" ref="L8:L21" si="0">J8-K8</f>
        <v>0</v>
      </c>
      <c r="M8" s="14">
        <f>L8</f>
        <v>0</v>
      </c>
      <c r="N8" s="10"/>
      <c r="O8" s="12"/>
      <c r="P8" s="11"/>
    </row>
    <row r="9" spans="2:16">
      <c r="B9" s="15">
        <f t="shared" ref="B9:B21" si="1">B8+1</f>
        <v>2</v>
      </c>
      <c r="C9" s="16" t="s">
        <v>438</v>
      </c>
      <c r="D9" s="17">
        <v>0</v>
      </c>
      <c r="E9" s="18">
        <v>0</v>
      </c>
      <c r="F9" s="19"/>
      <c r="G9" s="20"/>
      <c r="H9" s="18"/>
      <c r="I9" s="21"/>
      <c r="J9" s="22">
        <f>(F9*0.2)</f>
        <v>0</v>
      </c>
      <c r="K9" s="23">
        <f t="shared" ref="K9:K21" si="2">(H9+I9)*0.2</f>
        <v>0</v>
      </c>
      <c r="L9" s="24">
        <f t="shared" si="0"/>
        <v>0</v>
      </c>
      <c r="M9" s="25">
        <f t="shared" ref="M9:M21" si="3">M8+L9-N8</f>
        <v>0</v>
      </c>
      <c r="N9" s="18">
        <f t="shared" ref="N9:N17" si="4">M9</f>
        <v>0</v>
      </c>
      <c r="O9" s="26">
        <f t="shared" ref="O9:O17" si="5">M9-N9</f>
        <v>0</v>
      </c>
      <c r="P9" s="19"/>
    </row>
    <row r="10" spans="2:16">
      <c r="B10" s="27">
        <f t="shared" si="1"/>
        <v>3</v>
      </c>
      <c r="C10" s="28" t="s">
        <v>439</v>
      </c>
      <c r="D10" s="22"/>
      <c r="E10" s="23"/>
      <c r="F10" s="24"/>
      <c r="G10" s="26"/>
      <c r="H10" s="23"/>
      <c r="I10" s="29"/>
      <c r="J10" s="22">
        <f t="shared" ref="J10:J21" si="6">(F10*0.2)</f>
        <v>0</v>
      </c>
      <c r="K10" s="23">
        <f t="shared" si="2"/>
        <v>0</v>
      </c>
      <c r="L10" s="24">
        <f t="shared" si="0"/>
        <v>0</v>
      </c>
      <c r="M10" s="30">
        <f t="shared" si="3"/>
        <v>0</v>
      </c>
      <c r="N10" s="23">
        <f t="shared" si="4"/>
        <v>0</v>
      </c>
      <c r="O10" s="26">
        <f t="shared" si="5"/>
        <v>0</v>
      </c>
      <c r="P10" s="24"/>
    </row>
    <row r="11" spans="2:16">
      <c r="B11" s="15">
        <f t="shared" si="1"/>
        <v>4</v>
      </c>
      <c r="C11" s="28" t="s">
        <v>1261</v>
      </c>
      <c r="D11" s="22"/>
      <c r="E11" s="23"/>
      <c r="F11" s="24"/>
      <c r="G11" s="26"/>
      <c r="H11" s="23"/>
      <c r="I11" s="29"/>
      <c r="J11" s="22">
        <f t="shared" si="6"/>
        <v>0</v>
      </c>
      <c r="K11" s="23">
        <f t="shared" si="2"/>
        <v>0</v>
      </c>
      <c r="L11" s="24">
        <f t="shared" si="0"/>
        <v>0</v>
      </c>
      <c r="M11" s="25">
        <f t="shared" si="3"/>
        <v>0</v>
      </c>
      <c r="N11" s="23">
        <f t="shared" si="4"/>
        <v>0</v>
      </c>
      <c r="O11" s="26">
        <f t="shared" si="5"/>
        <v>0</v>
      </c>
      <c r="P11" s="24"/>
    </row>
    <row r="12" spans="2:16">
      <c r="B12" s="27">
        <f t="shared" si="1"/>
        <v>5</v>
      </c>
      <c r="C12" s="28" t="s">
        <v>1262</v>
      </c>
      <c r="D12" s="22"/>
      <c r="E12" s="23"/>
      <c r="F12" s="24"/>
      <c r="G12" s="26"/>
      <c r="H12" s="23"/>
      <c r="I12" s="29"/>
      <c r="J12" s="22">
        <f t="shared" si="6"/>
        <v>0</v>
      </c>
      <c r="K12" s="23">
        <f t="shared" si="2"/>
        <v>0</v>
      </c>
      <c r="L12" s="24">
        <f t="shared" si="0"/>
        <v>0</v>
      </c>
      <c r="M12" s="25">
        <f t="shared" si="3"/>
        <v>0</v>
      </c>
      <c r="N12" s="23">
        <f t="shared" si="4"/>
        <v>0</v>
      </c>
      <c r="O12" s="26">
        <f t="shared" si="5"/>
        <v>0</v>
      </c>
      <c r="P12" s="24"/>
    </row>
    <row r="13" spans="2:16">
      <c r="B13" s="15">
        <f t="shared" si="1"/>
        <v>6</v>
      </c>
      <c r="C13" s="28" t="s">
        <v>1263</v>
      </c>
      <c r="D13" s="22"/>
      <c r="E13" s="23"/>
      <c r="F13" s="31"/>
      <c r="G13" s="26"/>
      <c r="H13" s="23"/>
      <c r="I13" s="29"/>
      <c r="J13" s="22">
        <f t="shared" si="6"/>
        <v>0</v>
      </c>
      <c r="K13" s="23">
        <f t="shared" si="2"/>
        <v>0</v>
      </c>
      <c r="L13" s="24">
        <f t="shared" si="0"/>
        <v>0</v>
      </c>
      <c r="M13" s="25">
        <f t="shared" si="3"/>
        <v>0</v>
      </c>
      <c r="N13" s="23">
        <f t="shared" si="4"/>
        <v>0</v>
      </c>
      <c r="O13" s="26">
        <f t="shared" si="5"/>
        <v>0</v>
      </c>
      <c r="P13" s="24"/>
    </row>
    <row r="14" spans="2:16">
      <c r="B14" s="27">
        <f t="shared" si="1"/>
        <v>7</v>
      </c>
      <c r="C14" s="28" t="s">
        <v>1264</v>
      </c>
      <c r="D14" s="22"/>
      <c r="E14" s="23"/>
      <c r="F14" s="24"/>
      <c r="G14" s="26"/>
      <c r="H14" s="23"/>
      <c r="I14" s="29"/>
      <c r="J14" s="22">
        <f t="shared" si="6"/>
        <v>0</v>
      </c>
      <c r="K14" s="23">
        <f t="shared" si="2"/>
        <v>0</v>
      </c>
      <c r="L14" s="24">
        <f t="shared" si="0"/>
        <v>0</v>
      </c>
      <c r="M14" s="25">
        <f t="shared" si="3"/>
        <v>0</v>
      </c>
      <c r="N14" s="23">
        <f t="shared" si="4"/>
        <v>0</v>
      </c>
      <c r="O14" s="26">
        <f t="shared" si="5"/>
        <v>0</v>
      </c>
      <c r="P14" s="24"/>
    </row>
    <row r="15" spans="2:16">
      <c r="B15" s="15">
        <f t="shared" si="1"/>
        <v>8</v>
      </c>
      <c r="C15" s="28" t="s">
        <v>1265</v>
      </c>
      <c r="D15" s="22"/>
      <c r="E15" s="23"/>
      <c r="F15" s="24"/>
      <c r="G15" s="26"/>
      <c r="H15" s="23"/>
      <c r="I15" s="29"/>
      <c r="J15" s="22">
        <f t="shared" si="6"/>
        <v>0</v>
      </c>
      <c r="K15" s="23">
        <f t="shared" si="2"/>
        <v>0</v>
      </c>
      <c r="L15" s="24">
        <f t="shared" si="0"/>
        <v>0</v>
      </c>
      <c r="M15" s="25">
        <f t="shared" si="3"/>
        <v>0</v>
      </c>
      <c r="N15" s="23">
        <f t="shared" si="4"/>
        <v>0</v>
      </c>
      <c r="O15" s="26">
        <f t="shared" si="5"/>
        <v>0</v>
      </c>
      <c r="P15" s="24"/>
    </row>
    <row r="16" spans="2:16">
      <c r="B16" s="27">
        <f t="shared" si="1"/>
        <v>9</v>
      </c>
      <c r="C16" s="28" t="s">
        <v>1266</v>
      </c>
      <c r="D16" s="22"/>
      <c r="E16" s="32"/>
      <c r="F16" s="24"/>
      <c r="G16" s="26"/>
      <c r="H16" s="23"/>
      <c r="I16" s="29"/>
      <c r="J16" s="22">
        <f t="shared" si="6"/>
        <v>0</v>
      </c>
      <c r="K16" s="23">
        <f t="shared" si="2"/>
        <v>0</v>
      </c>
      <c r="L16" s="24">
        <f t="shared" si="0"/>
        <v>0</v>
      </c>
      <c r="M16" s="25">
        <f t="shared" si="3"/>
        <v>0</v>
      </c>
      <c r="N16" s="23">
        <f t="shared" si="4"/>
        <v>0</v>
      </c>
      <c r="O16" s="26">
        <f t="shared" si="5"/>
        <v>0</v>
      </c>
      <c r="P16" s="24"/>
    </row>
    <row r="17" spans="2:16">
      <c r="B17" s="15">
        <f t="shared" si="1"/>
        <v>10</v>
      </c>
      <c r="C17" s="28" t="s">
        <v>1267</v>
      </c>
      <c r="D17" s="22"/>
      <c r="E17" s="23"/>
      <c r="F17" s="24"/>
      <c r="G17" s="26"/>
      <c r="H17" s="23"/>
      <c r="I17" s="29"/>
      <c r="J17" s="22">
        <f t="shared" si="6"/>
        <v>0</v>
      </c>
      <c r="K17" s="23">
        <f t="shared" si="2"/>
        <v>0</v>
      </c>
      <c r="L17" s="24">
        <f t="shared" si="0"/>
        <v>0</v>
      </c>
      <c r="M17" s="22">
        <f t="shared" si="3"/>
        <v>0</v>
      </c>
      <c r="N17" s="23">
        <f t="shared" si="4"/>
        <v>0</v>
      </c>
      <c r="O17" s="26">
        <f t="shared" si="5"/>
        <v>0</v>
      </c>
      <c r="P17" s="24"/>
    </row>
    <row r="18" spans="2:16">
      <c r="B18" s="15">
        <f t="shared" si="1"/>
        <v>11</v>
      </c>
      <c r="C18" s="28" t="s">
        <v>1268</v>
      </c>
      <c r="D18" s="22"/>
      <c r="E18" s="23"/>
      <c r="F18" s="24"/>
      <c r="G18" s="26"/>
      <c r="H18" s="23"/>
      <c r="I18" s="29"/>
      <c r="J18" s="22">
        <f t="shared" si="6"/>
        <v>0</v>
      </c>
      <c r="K18" s="23">
        <f t="shared" si="2"/>
        <v>0</v>
      </c>
      <c r="L18" s="24">
        <f t="shared" si="0"/>
        <v>0</v>
      </c>
      <c r="M18" s="17">
        <f t="shared" si="3"/>
        <v>0</v>
      </c>
      <c r="N18" s="23"/>
      <c r="O18" s="26">
        <f>M18</f>
        <v>0</v>
      </c>
      <c r="P18" s="24"/>
    </row>
    <row r="19" spans="2:16">
      <c r="B19" s="27">
        <f t="shared" si="1"/>
        <v>12</v>
      </c>
      <c r="C19" s="28" t="s">
        <v>1269</v>
      </c>
      <c r="D19" s="22"/>
      <c r="E19" s="23"/>
      <c r="F19" s="24"/>
      <c r="G19" s="26"/>
      <c r="H19" s="23"/>
      <c r="I19" s="29"/>
      <c r="J19" s="22">
        <f t="shared" si="6"/>
        <v>0</v>
      </c>
      <c r="K19" s="23">
        <f t="shared" si="2"/>
        <v>0</v>
      </c>
      <c r="L19" s="24">
        <f t="shared" si="0"/>
        <v>0</v>
      </c>
      <c r="M19" s="17">
        <f t="shared" si="3"/>
        <v>0</v>
      </c>
      <c r="N19" s="23">
        <f>M19</f>
        <v>0</v>
      </c>
      <c r="O19" s="26">
        <f>M19-N19</f>
        <v>0</v>
      </c>
      <c r="P19" s="24"/>
    </row>
    <row r="20" spans="2:16">
      <c r="B20" s="27">
        <f t="shared" si="1"/>
        <v>13</v>
      </c>
      <c r="C20" s="28" t="s">
        <v>440</v>
      </c>
      <c r="D20" s="22"/>
      <c r="E20" s="23"/>
      <c r="F20" s="24"/>
      <c r="G20" s="26"/>
      <c r="H20" s="23"/>
      <c r="I20" s="29"/>
      <c r="J20" s="22">
        <f t="shared" si="6"/>
        <v>0</v>
      </c>
      <c r="K20" s="23">
        <f t="shared" si="2"/>
        <v>0</v>
      </c>
      <c r="L20" s="24">
        <f t="shared" si="0"/>
        <v>0</v>
      </c>
      <c r="M20" s="17">
        <f t="shared" si="3"/>
        <v>0</v>
      </c>
      <c r="N20" s="23">
        <f>M20</f>
        <v>0</v>
      </c>
      <c r="O20" s="26">
        <f>M20-N20</f>
        <v>0</v>
      </c>
      <c r="P20" s="24"/>
    </row>
    <row r="21" spans="2:16" ht="13.5" thickBot="1">
      <c r="B21" s="27">
        <f t="shared" si="1"/>
        <v>14</v>
      </c>
      <c r="C21" s="33" t="s">
        <v>438</v>
      </c>
      <c r="D21" s="34"/>
      <c r="E21" s="35"/>
      <c r="F21" s="36"/>
      <c r="G21" s="37"/>
      <c r="H21" s="35"/>
      <c r="I21" s="38"/>
      <c r="J21" s="34">
        <f t="shared" si="6"/>
        <v>0</v>
      </c>
      <c r="K21" s="35">
        <f t="shared" si="2"/>
        <v>0</v>
      </c>
      <c r="L21" s="36">
        <f t="shared" si="0"/>
        <v>0</v>
      </c>
      <c r="M21" s="55">
        <f t="shared" si="3"/>
        <v>0</v>
      </c>
      <c r="N21" s="35"/>
      <c r="O21" s="37"/>
      <c r="P21" s="36"/>
    </row>
    <row r="22" spans="2:16" ht="14.25" thickTop="1" thickBot="1">
      <c r="B22" s="39"/>
      <c r="C22" s="40"/>
      <c r="D22" s="41"/>
      <c r="E22" s="41">
        <f>SUM(E8:E21)</f>
        <v>0</v>
      </c>
      <c r="F22" s="42">
        <f>SUM(F8:F21)</f>
        <v>0</v>
      </c>
      <c r="G22" s="43"/>
      <c r="H22" s="41">
        <f>SUM(H8:H21)</f>
        <v>0</v>
      </c>
      <c r="I22" s="44">
        <f>SUM(I8:I21)</f>
        <v>0</v>
      </c>
      <c r="J22" s="45">
        <f>SUM(J8:J21)</f>
        <v>0</v>
      </c>
      <c r="K22" s="46">
        <f>SUM(K8:K21)</f>
        <v>0</v>
      </c>
      <c r="L22" s="47"/>
      <c r="M22" s="48"/>
      <c r="N22" s="46">
        <f>SUM(N8:N21)</f>
        <v>0</v>
      </c>
      <c r="O22" s="49"/>
      <c r="P22" s="47"/>
    </row>
    <row r="23" spans="2:16" ht="13.5" thickTop="1"/>
  </sheetData>
  <mergeCells count="9">
    <mergeCell ref="B6:B7"/>
    <mergeCell ref="C6:C7"/>
    <mergeCell ref="D6:F6"/>
    <mergeCell ref="G6:I6"/>
    <mergeCell ref="P6:P7"/>
    <mergeCell ref="J6:L6"/>
    <mergeCell ref="M6:M7"/>
    <mergeCell ref="N6:N7"/>
    <mergeCell ref="O6:O7"/>
  </mergeCells>
  <phoneticPr fontId="7" type="noConversion"/>
  <pageMargins left="0.75" right="0.75" top="1" bottom="1" header="0.5" footer="0.5"/>
  <pageSetup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31"/>
  <sheetViews>
    <sheetView showGridLines="0" workbookViewId="0">
      <selection activeCell="G35" sqref="G35"/>
    </sheetView>
  </sheetViews>
  <sheetFormatPr defaultColWidth="16.5703125" defaultRowHeight="12.75"/>
  <cols>
    <col min="1" max="1" width="44.42578125" style="73" customWidth="1"/>
    <col min="2" max="2" width="16.85546875" style="73" customWidth="1"/>
    <col min="3" max="3" width="19.28515625" style="73" customWidth="1"/>
    <col min="4" max="4" width="16.5703125" style="114" customWidth="1"/>
    <col min="5" max="5" width="16.5703125" style="114" hidden="1" customWidth="1"/>
    <col min="6" max="16384" width="16.5703125" style="73"/>
  </cols>
  <sheetData>
    <row r="1" spans="1:254" ht="15.75">
      <c r="A1" s="1115" t="s">
        <v>455</v>
      </c>
      <c r="B1" s="1087"/>
      <c r="C1" s="1087"/>
      <c r="D1" s="1116"/>
      <c r="E1" s="1116"/>
      <c r="F1" s="1087"/>
      <c r="G1" s="1087"/>
      <c r="H1" s="1087"/>
      <c r="I1" s="1087"/>
      <c r="J1" s="1087"/>
      <c r="K1" s="1087"/>
      <c r="L1" s="1087"/>
      <c r="M1" s="1087"/>
      <c r="N1" s="1087"/>
      <c r="O1" s="1087"/>
      <c r="P1" s="1087"/>
      <c r="Q1" s="1087"/>
      <c r="R1" s="1087"/>
      <c r="S1" s="1087"/>
      <c r="T1" s="1087"/>
      <c r="U1" s="1087"/>
      <c r="V1" s="1087"/>
      <c r="W1" s="1087"/>
      <c r="X1" s="1087"/>
      <c r="Y1" s="1087"/>
      <c r="Z1" s="1087"/>
      <c r="AA1" s="1087"/>
      <c r="AB1" s="1087"/>
      <c r="AC1" s="1087"/>
      <c r="AD1" s="1087"/>
      <c r="AE1" s="1087"/>
      <c r="AF1" s="1087"/>
      <c r="AG1" s="1087"/>
      <c r="AH1" s="1087"/>
      <c r="AI1" s="1087"/>
      <c r="AJ1" s="1087"/>
      <c r="AK1" s="1087"/>
      <c r="AL1" s="1087"/>
      <c r="AM1" s="1087"/>
      <c r="AN1" s="1087"/>
      <c r="AO1" s="1087"/>
      <c r="AP1" s="1087"/>
      <c r="AQ1" s="1087"/>
      <c r="AR1" s="1087"/>
      <c r="AS1" s="1087"/>
      <c r="AT1" s="1087"/>
      <c r="AU1" s="1087"/>
      <c r="AV1" s="1087"/>
      <c r="AW1" s="1087"/>
      <c r="AX1" s="1087"/>
      <c r="AY1" s="1087"/>
      <c r="AZ1" s="1087"/>
      <c r="BA1" s="1087"/>
      <c r="BB1" s="1087"/>
      <c r="BC1" s="1087"/>
      <c r="BD1" s="1087"/>
      <c r="BE1" s="1087"/>
      <c r="BF1" s="1087"/>
      <c r="BG1" s="1087"/>
      <c r="BH1" s="1087"/>
      <c r="BI1" s="1087"/>
      <c r="BJ1" s="1087"/>
      <c r="BK1" s="1087"/>
      <c r="BL1" s="1087"/>
      <c r="BM1" s="1087"/>
      <c r="BN1" s="1087"/>
      <c r="BO1" s="1087"/>
      <c r="BP1" s="1087"/>
      <c r="BQ1" s="1087"/>
      <c r="BR1" s="1087"/>
      <c r="BS1" s="1087"/>
      <c r="BT1" s="1087"/>
      <c r="BU1" s="1087"/>
      <c r="BV1" s="1087"/>
      <c r="BW1" s="1087"/>
      <c r="BX1" s="1087"/>
      <c r="BY1" s="1087"/>
      <c r="BZ1" s="1087"/>
      <c r="CA1" s="1087"/>
      <c r="CB1" s="1087"/>
      <c r="CC1" s="1087"/>
      <c r="CD1" s="1087"/>
      <c r="CE1" s="1087"/>
      <c r="CF1" s="1087"/>
      <c r="CG1" s="1087"/>
      <c r="CH1" s="1087"/>
      <c r="CI1" s="1087"/>
      <c r="CJ1" s="1087"/>
      <c r="CK1" s="1087"/>
      <c r="CL1" s="1087"/>
      <c r="CM1" s="1087"/>
      <c r="CN1" s="1087"/>
      <c r="CO1" s="1087"/>
      <c r="CP1" s="1087"/>
      <c r="CQ1" s="1087"/>
      <c r="CR1" s="1087"/>
      <c r="CS1" s="1087"/>
      <c r="CT1" s="1087"/>
      <c r="CU1" s="1087"/>
      <c r="CV1" s="1087"/>
      <c r="CW1" s="1087"/>
      <c r="CX1" s="1087"/>
      <c r="CY1" s="1087"/>
      <c r="CZ1" s="1087"/>
      <c r="DA1" s="1087"/>
      <c r="DB1" s="1087"/>
      <c r="DC1" s="1087"/>
      <c r="DD1" s="1087"/>
      <c r="DE1" s="1087"/>
      <c r="DF1" s="1087"/>
      <c r="DG1" s="1087"/>
      <c r="DH1" s="1087"/>
      <c r="DI1" s="1087"/>
      <c r="DJ1" s="1087"/>
      <c r="DK1" s="1087"/>
      <c r="DL1" s="1087"/>
      <c r="DM1" s="1087"/>
      <c r="DN1" s="1087"/>
      <c r="DO1" s="1087"/>
      <c r="DP1" s="1087"/>
      <c r="DQ1" s="1087"/>
      <c r="DR1" s="1087"/>
      <c r="DS1" s="1087"/>
      <c r="DT1" s="1087"/>
      <c r="DU1" s="1087"/>
      <c r="DV1" s="1087"/>
      <c r="DW1" s="1087"/>
      <c r="DX1" s="1087"/>
      <c r="DY1" s="1087"/>
      <c r="DZ1" s="1087"/>
      <c r="EA1" s="1087"/>
      <c r="EB1" s="1087"/>
      <c r="EC1" s="1087"/>
      <c r="ED1" s="1087"/>
      <c r="EE1" s="1087"/>
      <c r="EF1" s="1087"/>
      <c r="EG1" s="1087"/>
      <c r="EH1" s="1087"/>
      <c r="EI1" s="1087"/>
      <c r="EJ1" s="1087"/>
      <c r="EK1" s="1087"/>
      <c r="EL1" s="1087"/>
      <c r="EM1" s="1087"/>
      <c r="EN1" s="1087"/>
      <c r="EO1" s="1087"/>
      <c r="EP1" s="1087"/>
      <c r="EQ1" s="1087"/>
      <c r="ER1" s="1087"/>
      <c r="ES1" s="1087"/>
      <c r="ET1" s="1087"/>
      <c r="EU1" s="1087"/>
      <c r="EV1" s="1087"/>
      <c r="EW1" s="1087"/>
      <c r="EX1" s="1087"/>
      <c r="EY1" s="1087"/>
      <c r="EZ1" s="1087"/>
      <c r="FA1" s="1087"/>
      <c r="FB1" s="1087"/>
      <c r="FC1" s="1087"/>
      <c r="FD1" s="1087"/>
      <c r="FE1" s="1087"/>
      <c r="FF1" s="1087"/>
      <c r="FG1" s="1087"/>
      <c r="FH1" s="1087"/>
      <c r="FI1" s="1087"/>
      <c r="FJ1" s="1087"/>
      <c r="FK1" s="1087"/>
      <c r="FL1" s="1087"/>
      <c r="FM1" s="1087"/>
      <c r="FN1" s="1087"/>
      <c r="FO1" s="1087"/>
      <c r="FP1" s="1087"/>
      <c r="FQ1" s="1087"/>
      <c r="FR1" s="1087"/>
      <c r="FS1" s="1087"/>
      <c r="FT1" s="1087"/>
      <c r="FU1" s="1087"/>
      <c r="FV1" s="1087"/>
      <c r="FW1" s="1087"/>
      <c r="FX1" s="1087"/>
      <c r="FY1" s="1087"/>
      <c r="FZ1" s="1087"/>
      <c r="GA1" s="1087"/>
      <c r="GB1" s="1087"/>
      <c r="GC1" s="1087"/>
      <c r="GD1" s="1087"/>
      <c r="GE1" s="1087"/>
      <c r="GF1" s="1087"/>
      <c r="GG1" s="1087"/>
      <c r="GH1" s="1087"/>
      <c r="GI1" s="1087"/>
      <c r="GJ1" s="1087"/>
      <c r="GK1" s="1087"/>
      <c r="GL1" s="1087"/>
      <c r="GM1" s="1087"/>
      <c r="GN1" s="1087"/>
      <c r="GO1" s="1087"/>
      <c r="GP1" s="1087"/>
      <c r="GQ1" s="1087"/>
      <c r="GR1" s="1087"/>
      <c r="GS1" s="1087"/>
      <c r="GT1" s="1087"/>
      <c r="GU1" s="1087"/>
      <c r="GV1" s="1087"/>
      <c r="GW1" s="1087"/>
      <c r="GX1" s="1087"/>
      <c r="GY1" s="1087"/>
      <c r="GZ1" s="1087"/>
      <c r="HA1" s="1087"/>
      <c r="HB1" s="1087"/>
      <c r="HC1" s="1087"/>
      <c r="HD1" s="1087"/>
      <c r="HE1" s="1087"/>
      <c r="HF1" s="1087"/>
      <c r="HG1" s="1087"/>
      <c r="HH1" s="1087"/>
      <c r="HI1" s="1087"/>
      <c r="HJ1" s="1087"/>
      <c r="HK1" s="1087"/>
      <c r="HL1" s="1087"/>
      <c r="HM1" s="1087"/>
      <c r="HN1" s="1087"/>
      <c r="HO1" s="1087"/>
      <c r="HP1" s="1087"/>
      <c r="HQ1" s="1087"/>
      <c r="HR1" s="1087"/>
      <c r="HS1" s="1087"/>
      <c r="HT1" s="1087"/>
      <c r="HU1" s="1087"/>
      <c r="HV1" s="1087"/>
      <c r="HW1" s="1087"/>
      <c r="HX1" s="1087"/>
      <c r="HY1" s="1087"/>
      <c r="HZ1" s="1087"/>
      <c r="IA1" s="1087"/>
      <c r="IB1" s="1087"/>
      <c r="IC1" s="1087"/>
      <c r="ID1" s="1087"/>
      <c r="IE1" s="1087"/>
      <c r="IF1" s="1087"/>
      <c r="IG1" s="1087"/>
      <c r="IH1" s="1087"/>
      <c r="II1" s="1087"/>
      <c r="IJ1" s="1087"/>
      <c r="IK1" s="1087"/>
      <c r="IL1" s="1087"/>
      <c r="IM1" s="1087"/>
      <c r="IN1" s="1087"/>
      <c r="IO1" s="1087"/>
      <c r="IP1" s="1087"/>
      <c r="IQ1" s="1087"/>
      <c r="IR1" s="1087"/>
      <c r="IS1" s="1087"/>
      <c r="IT1" s="1087"/>
    </row>
    <row r="2" spans="1:254" ht="15.75">
      <c r="A2" s="1115" t="s">
        <v>456</v>
      </c>
      <c r="B2" s="1088"/>
      <c r="C2" s="1088"/>
      <c r="D2" s="1117"/>
      <c r="E2" s="1117"/>
      <c r="F2" s="1088"/>
      <c r="G2" s="1088"/>
      <c r="H2" s="1088"/>
      <c r="I2" s="1088"/>
      <c r="J2" s="1088"/>
      <c r="K2" s="1088"/>
      <c r="L2" s="1088"/>
      <c r="M2" s="1088"/>
      <c r="N2" s="1088"/>
      <c r="O2" s="1088"/>
      <c r="P2" s="1088"/>
      <c r="Q2" s="1088"/>
      <c r="R2" s="1088"/>
      <c r="S2" s="1088"/>
      <c r="T2" s="1088"/>
      <c r="U2" s="1088"/>
      <c r="V2" s="1088"/>
      <c r="W2" s="1088"/>
      <c r="X2" s="1088"/>
      <c r="Y2" s="1088"/>
      <c r="Z2" s="1088"/>
      <c r="AA2" s="1088"/>
      <c r="AB2" s="1088"/>
      <c r="AC2" s="1088"/>
      <c r="AD2" s="1088"/>
      <c r="AE2" s="1088"/>
      <c r="AF2" s="1088"/>
      <c r="AG2" s="1088"/>
      <c r="AH2" s="1088"/>
      <c r="AI2" s="1088"/>
      <c r="AJ2" s="1088"/>
      <c r="AK2" s="1088"/>
      <c r="AL2" s="1088"/>
      <c r="AM2" s="1088"/>
      <c r="AN2" s="1088"/>
      <c r="AO2" s="1088"/>
      <c r="AP2" s="1088"/>
      <c r="AQ2" s="1088"/>
      <c r="AR2" s="1088"/>
      <c r="AS2" s="1088"/>
      <c r="AT2" s="1088"/>
      <c r="AU2" s="1088"/>
      <c r="AV2" s="1088"/>
      <c r="AW2" s="1088"/>
      <c r="AX2" s="1088"/>
      <c r="AY2" s="1088"/>
      <c r="AZ2" s="1088"/>
      <c r="BA2" s="1088"/>
      <c r="BB2" s="1088"/>
      <c r="BC2" s="1088"/>
      <c r="BD2" s="1088"/>
      <c r="BE2" s="1088"/>
      <c r="BF2" s="1088"/>
      <c r="BG2" s="1088"/>
      <c r="BH2" s="1088"/>
      <c r="BI2" s="1088"/>
      <c r="BJ2" s="1088"/>
      <c r="BK2" s="1088"/>
      <c r="BL2" s="1088"/>
      <c r="BM2" s="1088"/>
      <c r="BN2" s="1088"/>
      <c r="BO2" s="1088"/>
      <c r="BP2" s="1088"/>
      <c r="BQ2" s="1088"/>
      <c r="BR2" s="1088"/>
      <c r="BS2" s="1088"/>
      <c r="BT2" s="1088"/>
      <c r="BU2" s="1088"/>
      <c r="BV2" s="1088"/>
      <c r="BW2" s="1088"/>
      <c r="BX2" s="1088"/>
      <c r="BY2" s="1088"/>
      <c r="BZ2" s="1088"/>
      <c r="CA2" s="1088"/>
      <c r="CB2" s="1088"/>
      <c r="CC2" s="1088"/>
      <c r="CD2" s="1088"/>
      <c r="CE2" s="1088"/>
      <c r="CF2" s="1088"/>
      <c r="CG2" s="1088"/>
      <c r="CH2" s="1088"/>
      <c r="CI2" s="1088"/>
      <c r="CJ2" s="1088"/>
      <c r="CK2" s="1088"/>
      <c r="CL2" s="1088"/>
      <c r="CM2" s="1088"/>
      <c r="CN2" s="1088"/>
      <c r="CO2" s="1088"/>
      <c r="CP2" s="1088"/>
      <c r="CQ2" s="1088"/>
      <c r="CR2" s="1088"/>
      <c r="CS2" s="1088"/>
      <c r="CT2" s="1088"/>
      <c r="CU2" s="1088"/>
      <c r="CV2" s="1088"/>
      <c r="CW2" s="1088"/>
      <c r="CX2" s="1088"/>
      <c r="CY2" s="1088"/>
      <c r="CZ2" s="1088"/>
      <c r="DA2" s="1088"/>
      <c r="DB2" s="1088"/>
      <c r="DC2" s="1088"/>
      <c r="DD2" s="1088"/>
      <c r="DE2" s="1088"/>
      <c r="DF2" s="1088"/>
      <c r="DG2" s="1088"/>
      <c r="DH2" s="1088"/>
      <c r="DI2" s="1088"/>
      <c r="DJ2" s="1088"/>
      <c r="DK2" s="1088"/>
      <c r="DL2" s="1088"/>
      <c r="DM2" s="1088"/>
      <c r="DN2" s="1088"/>
      <c r="DO2" s="1088"/>
      <c r="DP2" s="1088"/>
      <c r="DQ2" s="1088"/>
      <c r="DR2" s="1088"/>
      <c r="DS2" s="1088"/>
      <c r="DT2" s="1088"/>
      <c r="DU2" s="1088"/>
      <c r="DV2" s="1088"/>
      <c r="DW2" s="1088"/>
      <c r="DX2" s="1088"/>
      <c r="DY2" s="1088"/>
      <c r="DZ2" s="1088"/>
      <c r="EA2" s="1088"/>
      <c r="EB2" s="1088"/>
      <c r="EC2" s="1088"/>
      <c r="ED2" s="1088"/>
      <c r="EE2" s="1088"/>
      <c r="EF2" s="1088"/>
      <c r="EG2" s="1088"/>
      <c r="EH2" s="1088"/>
      <c r="EI2" s="1088"/>
      <c r="EJ2" s="1088"/>
      <c r="EK2" s="1088"/>
      <c r="EL2" s="1088"/>
      <c r="EM2" s="1088"/>
      <c r="EN2" s="1088"/>
      <c r="EO2" s="1088"/>
      <c r="EP2" s="1088"/>
      <c r="EQ2" s="1088"/>
      <c r="ER2" s="1088"/>
      <c r="ES2" s="1088"/>
      <c r="ET2" s="1088"/>
      <c r="EU2" s="1088"/>
      <c r="EV2" s="1088"/>
      <c r="EW2" s="1088"/>
      <c r="EX2" s="1088"/>
      <c r="EY2" s="1088"/>
      <c r="EZ2" s="1088"/>
      <c r="FA2" s="1088"/>
      <c r="FB2" s="1088"/>
      <c r="FC2" s="1088"/>
      <c r="FD2" s="1088"/>
      <c r="FE2" s="1088"/>
      <c r="FF2" s="1088"/>
      <c r="FG2" s="1088"/>
      <c r="FH2" s="1088"/>
      <c r="FI2" s="1088"/>
      <c r="FJ2" s="1088"/>
      <c r="FK2" s="1088"/>
      <c r="FL2" s="1088"/>
      <c r="FM2" s="1088"/>
      <c r="FN2" s="1088"/>
      <c r="FO2" s="1088"/>
      <c r="FP2" s="1088"/>
      <c r="FQ2" s="1088"/>
      <c r="FR2" s="1088"/>
      <c r="FS2" s="1088"/>
      <c r="FT2" s="1088"/>
      <c r="FU2" s="1088"/>
      <c r="FV2" s="1088"/>
      <c r="FW2" s="1088"/>
      <c r="FX2" s="1088"/>
      <c r="FY2" s="1088"/>
      <c r="FZ2" s="1088"/>
      <c r="GA2" s="1088"/>
      <c r="GB2" s="1088"/>
      <c r="GC2" s="1088"/>
      <c r="GD2" s="1088"/>
      <c r="GE2" s="1088"/>
      <c r="GF2" s="1088"/>
      <c r="GG2" s="1088"/>
      <c r="GH2" s="1088"/>
      <c r="GI2" s="1088"/>
      <c r="GJ2" s="1088"/>
      <c r="GK2" s="1088"/>
      <c r="GL2" s="1088"/>
      <c r="GM2" s="1088"/>
      <c r="GN2" s="1088"/>
      <c r="GO2" s="1088"/>
      <c r="GP2" s="1088"/>
      <c r="GQ2" s="1088"/>
      <c r="GR2" s="1088"/>
      <c r="GS2" s="1088"/>
      <c r="GT2" s="1088"/>
      <c r="GU2" s="1088"/>
      <c r="GV2" s="1088"/>
      <c r="GW2" s="1088"/>
      <c r="GX2" s="1088"/>
      <c r="GY2" s="1088"/>
      <c r="GZ2" s="1088"/>
      <c r="HA2" s="1088"/>
      <c r="HB2" s="1088"/>
      <c r="HC2" s="1088"/>
      <c r="HD2" s="1088"/>
      <c r="HE2" s="1088"/>
      <c r="HF2" s="1088"/>
      <c r="HG2" s="1088"/>
      <c r="HH2" s="1088"/>
      <c r="HI2" s="1088"/>
      <c r="HJ2" s="1088"/>
      <c r="HK2" s="1088"/>
      <c r="HL2" s="1088"/>
      <c r="HM2" s="1088"/>
      <c r="HN2" s="1088"/>
      <c r="HO2" s="1088"/>
      <c r="HP2" s="1088"/>
      <c r="HQ2" s="1088"/>
      <c r="HR2" s="1088"/>
      <c r="HS2" s="1088"/>
      <c r="HT2" s="1088"/>
      <c r="HU2" s="1088"/>
      <c r="HV2" s="1088"/>
      <c r="HW2" s="1088"/>
      <c r="HX2" s="1088"/>
      <c r="HY2" s="1088"/>
      <c r="HZ2" s="1088"/>
      <c r="IA2" s="1088"/>
      <c r="IB2" s="1088"/>
      <c r="IC2" s="1088"/>
      <c r="ID2" s="1088"/>
      <c r="IE2" s="1088"/>
      <c r="IF2" s="1088"/>
      <c r="IG2" s="1088"/>
      <c r="IH2" s="1088"/>
      <c r="II2" s="1088"/>
      <c r="IJ2" s="1088"/>
      <c r="IK2" s="1088"/>
      <c r="IL2" s="1088"/>
      <c r="IM2" s="1088"/>
      <c r="IN2" s="1088"/>
      <c r="IO2" s="1088"/>
      <c r="IP2" s="1088"/>
      <c r="IQ2" s="1088"/>
      <c r="IR2" s="1088"/>
      <c r="IS2" s="1088"/>
      <c r="IT2" s="1088"/>
    </row>
    <row r="3" spans="1:254" s="74" customFormat="1" ht="13.5" thickBot="1">
      <c r="A3" s="529" t="s">
        <v>390</v>
      </c>
      <c r="B3" s="482"/>
      <c r="C3" s="482"/>
      <c r="D3" s="1118"/>
      <c r="E3" s="1118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482"/>
      <c r="BO3" s="482"/>
      <c r="BP3" s="482"/>
      <c r="BQ3" s="482"/>
      <c r="BR3" s="482"/>
      <c r="BS3" s="482"/>
      <c r="BT3" s="482"/>
      <c r="BU3" s="482"/>
      <c r="BV3" s="482"/>
      <c r="BW3" s="482"/>
      <c r="BX3" s="482"/>
      <c r="BY3" s="482"/>
      <c r="BZ3" s="482"/>
      <c r="CA3" s="482"/>
      <c r="CB3" s="482"/>
      <c r="CC3" s="482"/>
      <c r="CD3" s="482"/>
      <c r="CE3" s="482"/>
      <c r="CF3" s="482"/>
      <c r="CG3" s="482"/>
      <c r="CH3" s="482"/>
      <c r="CI3" s="482"/>
      <c r="CJ3" s="482"/>
      <c r="CK3" s="482"/>
      <c r="CL3" s="482"/>
      <c r="CM3" s="482"/>
      <c r="CN3" s="482"/>
      <c r="CO3" s="482"/>
      <c r="CP3" s="482"/>
      <c r="CQ3" s="482"/>
      <c r="CR3" s="482"/>
      <c r="CS3" s="482"/>
      <c r="CT3" s="482"/>
      <c r="CU3" s="482"/>
      <c r="CV3" s="482"/>
      <c r="CW3" s="482"/>
      <c r="CX3" s="482"/>
      <c r="CY3" s="482"/>
      <c r="CZ3" s="482"/>
      <c r="DA3" s="482"/>
      <c r="DB3" s="482"/>
      <c r="DC3" s="482"/>
      <c r="DD3" s="482"/>
      <c r="DE3" s="482"/>
      <c r="DF3" s="482"/>
      <c r="DG3" s="482"/>
      <c r="DH3" s="482"/>
      <c r="DI3" s="482"/>
      <c r="DJ3" s="482"/>
      <c r="DK3" s="482"/>
      <c r="DL3" s="482"/>
      <c r="DM3" s="482"/>
      <c r="DN3" s="482"/>
      <c r="DO3" s="482"/>
      <c r="DP3" s="482"/>
      <c r="DQ3" s="482"/>
      <c r="DR3" s="482"/>
      <c r="DS3" s="482"/>
      <c r="DT3" s="482"/>
      <c r="DU3" s="482"/>
      <c r="DV3" s="482"/>
      <c r="DW3" s="482"/>
      <c r="DX3" s="482"/>
      <c r="DY3" s="482"/>
      <c r="DZ3" s="482"/>
      <c r="EA3" s="482"/>
      <c r="EB3" s="482"/>
      <c r="EC3" s="482"/>
      <c r="ED3" s="482"/>
      <c r="EE3" s="482"/>
      <c r="EF3" s="482"/>
      <c r="EG3" s="482"/>
      <c r="EH3" s="482"/>
      <c r="EI3" s="482"/>
      <c r="EJ3" s="482"/>
      <c r="EK3" s="482"/>
      <c r="EL3" s="482"/>
      <c r="EM3" s="482"/>
      <c r="EN3" s="482"/>
      <c r="EO3" s="482"/>
      <c r="EP3" s="482"/>
      <c r="EQ3" s="482"/>
      <c r="ER3" s="482"/>
      <c r="ES3" s="482"/>
      <c r="ET3" s="482"/>
      <c r="EU3" s="482"/>
      <c r="EV3" s="482"/>
      <c r="EW3" s="482"/>
      <c r="EX3" s="482"/>
      <c r="EY3" s="482"/>
      <c r="EZ3" s="482"/>
      <c r="FA3" s="482"/>
      <c r="FB3" s="482"/>
      <c r="FC3" s="482"/>
      <c r="FD3" s="482"/>
      <c r="FE3" s="482"/>
      <c r="FF3" s="482"/>
      <c r="FG3" s="482"/>
      <c r="FH3" s="482"/>
      <c r="FI3" s="482"/>
      <c r="FJ3" s="482"/>
      <c r="FK3" s="482"/>
      <c r="FL3" s="482"/>
      <c r="FM3" s="482"/>
      <c r="FN3" s="482"/>
      <c r="FO3" s="482"/>
      <c r="FP3" s="482"/>
      <c r="FQ3" s="482"/>
      <c r="FR3" s="482"/>
      <c r="FS3" s="482"/>
      <c r="FT3" s="482"/>
      <c r="FU3" s="482"/>
      <c r="FV3" s="482"/>
      <c r="FW3" s="482"/>
      <c r="FX3" s="482"/>
      <c r="FY3" s="482"/>
      <c r="FZ3" s="482"/>
      <c r="GA3" s="482"/>
      <c r="GB3" s="482"/>
      <c r="GC3" s="482"/>
      <c r="GD3" s="482"/>
      <c r="GE3" s="482"/>
      <c r="GF3" s="482"/>
      <c r="GG3" s="482"/>
      <c r="GH3" s="482"/>
      <c r="GI3" s="482"/>
      <c r="GJ3" s="482"/>
      <c r="GK3" s="482"/>
      <c r="GL3" s="482"/>
      <c r="GM3" s="482"/>
      <c r="GN3" s="482"/>
      <c r="GO3" s="482"/>
      <c r="GP3" s="482"/>
      <c r="GQ3" s="482"/>
      <c r="GR3" s="482"/>
      <c r="GS3" s="482"/>
      <c r="GT3" s="482"/>
      <c r="GU3" s="482"/>
      <c r="GV3" s="482"/>
      <c r="GW3" s="482"/>
      <c r="GX3" s="482"/>
      <c r="GY3" s="482"/>
      <c r="GZ3" s="482"/>
      <c r="HA3" s="482"/>
      <c r="HB3" s="482"/>
      <c r="HC3" s="482"/>
      <c r="HD3" s="482"/>
      <c r="HE3" s="482"/>
      <c r="HF3" s="482"/>
      <c r="HG3" s="482"/>
      <c r="HH3" s="482"/>
      <c r="HI3" s="482"/>
      <c r="HJ3" s="482"/>
      <c r="HK3" s="482"/>
      <c r="HL3" s="482"/>
      <c r="HM3" s="482"/>
      <c r="HN3" s="482"/>
      <c r="HO3" s="482"/>
      <c r="HP3" s="482"/>
      <c r="HQ3" s="482"/>
      <c r="HR3" s="482"/>
      <c r="HS3" s="482"/>
      <c r="HT3" s="482"/>
      <c r="HU3" s="482"/>
      <c r="HV3" s="482"/>
      <c r="HW3" s="482"/>
      <c r="HX3" s="482"/>
      <c r="HY3" s="482"/>
      <c r="HZ3" s="482"/>
      <c r="IA3" s="482"/>
      <c r="IB3" s="482"/>
      <c r="IC3" s="482"/>
      <c r="ID3" s="482"/>
      <c r="IE3" s="482"/>
      <c r="IF3" s="482"/>
      <c r="IG3" s="482"/>
      <c r="IH3" s="482"/>
      <c r="II3" s="482"/>
      <c r="IJ3" s="482"/>
      <c r="IK3" s="482"/>
      <c r="IL3" s="482"/>
      <c r="IM3" s="482"/>
      <c r="IN3" s="482"/>
      <c r="IO3" s="482"/>
      <c r="IP3" s="482"/>
      <c r="IQ3" s="482"/>
      <c r="IR3" s="482"/>
      <c r="IS3" s="482"/>
      <c r="IT3" s="482"/>
    </row>
    <row r="4" spans="1:254" s="74" customFormat="1">
      <c r="D4" s="75"/>
      <c r="E4" s="75"/>
    </row>
    <row r="6" spans="1:254">
      <c r="A6" s="1771" t="s">
        <v>1276</v>
      </c>
      <c r="B6" s="1771"/>
      <c r="C6" s="1771"/>
      <c r="D6" s="276"/>
      <c r="E6" s="276"/>
    </row>
    <row r="7" spans="1:254">
      <c r="A7" s="104"/>
      <c r="B7" s="104"/>
      <c r="C7" s="104"/>
      <c r="D7" s="277"/>
      <c r="E7" s="277"/>
    </row>
    <row r="8" spans="1:254" ht="13.5" thickBot="1">
      <c r="A8" s="1119" t="s">
        <v>1277</v>
      </c>
      <c r="B8" s="1120" t="s">
        <v>1278</v>
      </c>
      <c r="C8" s="1120" t="s">
        <v>1279</v>
      </c>
      <c r="D8" s="278"/>
      <c r="E8" s="278"/>
    </row>
    <row r="9" spans="1:254">
      <c r="A9" s="1121" t="s">
        <v>1280</v>
      </c>
      <c r="B9" s="1122">
        <f>'Analitike 13'!D6</f>
        <v>29489144.513987999</v>
      </c>
      <c r="C9" s="1123">
        <f>+B9</f>
        <v>29489144.513987999</v>
      </c>
      <c r="D9" s="279"/>
      <c r="E9" s="279"/>
    </row>
    <row r="10" spans="1:254">
      <c r="A10" s="1121" t="s">
        <v>1281</v>
      </c>
      <c r="B10" s="1124">
        <f>'PASH 13'!E55</f>
        <v>71314797.280000001</v>
      </c>
      <c r="C10" s="1125">
        <f>+B10</f>
        <v>71314797.280000001</v>
      </c>
      <c r="D10" s="279"/>
      <c r="E10" s="279"/>
    </row>
    <row r="11" spans="1:254" ht="13.5" thickBot="1">
      <c r="A11" s="1121" t="s">
        <v>1282</v>
      </c>
      <c r="B11" s="1126"/>
      <c r="C11" s="1127">
        <f>'PASH 13'!E43</f>
        <v>2310780.79</v>
      </c>
      <c r="D11" s="279"/>
      <c r="E11" s="279"/>
    </row>
    <row r="12" spans="1:254" ht="13.5" thickBot="1">
      <c r="A12" s="1128" t="s">
        <v>1216</v>
      </c>
      <c r="B12" s="280"/>
      <c r="C12" s="280"/>
      <c r="D12" s="280"/>
      <c r="E12" s="280"/>
    </row>
    <row r="13" spans="1:254">
      <c r="A13" s="115" t="s">
        <v>1283</v>
      </c>
      <c r="B13" s="1129">
        <f>IF(B10&gt;B9,B10-B9,0)</f>
        <v>41825652.766011998</v>
      </c>
      <c r="C13" s="1130">
        <f>IF(C10&gt;C9,(C10-C9)-C11,0)</f>
        <v>39514871.976011999</v>
      </c>
      <c r="D13" s="279"/>
      <c r="E13" s="279"/>
      <c r="G13" s="114"/>
    </row>
    <row r="14" spans="1:254" ht="13.5" thickBot="1">
      <c r="A14" s="115" t="s">
        <v>1284</v>
      </c>
      <c r="B14" s="1131">
        <f>IF(B9&gt;B10,B9-B10,0)</f>
        <v>0</v>
      </c>
      <c r="C14" s="1132"/>
      <c r="D14" s="279"/>
      <c r="E14" s="279">
        <f>C13-C15</f>
        <v>17572854.882525995</v>
      </c>
    </row>
    <row r="15" spans="1:254">
      <c r="A15" s="1133" t="s">
        <v>1285</v>
      </c>
      <c r="B15" s="1134"/>
      <c r="C15" s="1135">
        <f>-'Shenime P&amp;L 13'!H115</f>
        <v>21942017.093486004</v>
      </c>
      <c r="D15" s="279"/>
      <c r="E15" s="279"/>
    </row>
    <row r="16" spans="1:254" ht="13.5" thickBot="1">
      <c r="A16" s="1133" t="s">
        <v>1286</v>
      </c>
      <c r="B16" s="1134"/>
      <c r="C16" s="1136"/>
      <c r="D16" s="279"/>
      <c r="E16" s="279"/>
    </row>
    <row r="17" spans="1:5" ht="13.5" thickBot="1">
      <c r="A17" s="1772" t="s">
        <v>1287</v>
      </c>
      <c r="B17" s="1772"/>
      <c r="C17" s="1773"/>
      <c r="D17" s="281"/>
      <c r="E17" s="281"/>
    </row>
    <row r="18" spans="1:5">
      <c r="A18" s="1133" t="s">
        <v>391</v>
      </c>
      <c r="B18" s="1137"/>
      <c r="C18" s="1138">
        <f>C16*10%</f>
        <v>0</v>
      </c>
      <c r="D18" s="282"/>
      <c r="E18" s="282"/>
    </row>
    <row r="19" spans="1:5">
      <c r="A19" s="1133" t="s">
        <v>1288</v>
      </c>
      <c r="B19" s="1137"/>
      <c r="C19" s="1139"/>
      <c r="D19" s="283"/>
      <c r="E19" s="283"/>
    </row>
    <row r="20" spans="1:5" ht="13.5" thickBot="1">
      <c r="A20" s="1133" t="s">
        <v>1289</v>
      </c>
      <c r="B20" s="1140"/>
      <c r="C20" s="1141">
        <f>C18+C19</f>
        <v>0</v>
      </c>
      <c r="D20" s="282"/>
      <c r="E20" s="282"/>
    </row>
    <row r="21" spans="1:5" ht="13.5" thickBot="1">
      <c r="A21" s="1121" t="s">
        <v>1290</v>
      </c>
      <c r="B21" s="1142"/>
      <c r="C21" s="1143"/>
      <c r="D21" s="284"/>
      <c r="E21" s="284"/>
    </row>
    <row r="22" spans="1:5">
      <c r="A22" s="1121" t="s">
        <v>392</v>
      </c>
      <c r="B22" s="1654">
        <f>'AP 13'!E48</f>
        <v>34284</v>
      </c>
      <c r="C22" s="1144"/>
      <c r="D22" s="284"/>
      <c r="E22" s="284"/>
    </row>
    <row r="23" spans="1:5">
      <c r="A23" s="1121" t="s">
        <v>393</v>
      </c>
      <c r="B23" s="1145">
        <f>'Shenime B_Sheet 13'!F49</f>
        <v>84266.67</v>
      </c>
      <c r="C23" s="1146"/>
      <c r="D23" s="284"/>
      <c r="E23" s="284"/>
    </row>
    <row r="24" spans="1:5">
      <c r="A24" s="1121" t="s">
        <v>394</v>
      </c>
      <c r="B24" s="1145"/>
      <c r="C24" s="1146"/>
      <c r="D24" s="284"/>
      <c r="E24" s="284"/>
    </row>
    <row r="25" spans="1:5" ht="13.5" thickBot="1">
      <c r="A25" s="1121" t="s">
        <v>395</v>
      </c>
      <c r="B25" s="1136">
        <f>SUM(B22:B24)</f>
        <v>118550.67</v>
      </c>
      <c r="C25" s="1147"/>
      <c r="D25" s="284"/>
      <c r="E25" s="284"/>
    </row>
    <row r="26" spans="1:5">
      <c r="A26" s="1133" t="s">
        <v>396</v>
      </c>
      <c r="B26" s="1148"/>
      <c r="C26" s="1149"/>
      <c r="D26" s="285"/>
      <c r="E26" s="285"/>
    </row>
    <row r="27" spans="1:5">
      <c r="A27" s="1133" t="s">
        <v>397</v>
      </c>
      <c r="B27" s="1137"/>
      <c r="C27" s="1150">
        <v>0</v>
      </c>
      <c r="D27" s="285"/>
      <c r="E27" s="285"/>
    </row>
    <row r="28" spans="1:5" ht="13.5" thickBot="1">
      <c r="A28" s="1133" t="s">
        <v>398</v>
      </c>
      <c r="B28" s="1137"/>
      <c r="C28" s="1151">
        <f>SUM(C26:C27)</f>
        <v>0</v>
      </c>
      <c r="D28" s="285"/>
      <c r="E28" s="285"/>
    </row>
    <row r="29" spans="1:5">
      <c r="A29" s="114"/>
      <c r="B29" s="114"/>
      <c r="C29" s="114"/>
    </row>
    <row r="30" spans="1:5">
      <c r="A30" s="114"/>
      <c r="B30" s="114"/>
      <c r="C30" s="114"/>
    </row>
    <row r="31" spans="1:5">
      <c r="A31" s="114"/>
      <c r="B31" s="114"/>
      <c r="C31" s="114"/>
    </row>
  </sheetData>
  <mergeCells count="2">
    <mergeCell ref="A6:C6"/>
    <mergeCell ref="A17:C17"/>
  </mergeCells>
  <phoneticPr fontId="124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FF"/>
  </sheetPr>
  <dimension ref="A1:N33"/>
  <sheetViews>
    <sheetView showGridLines="0" workbookViewId="0">
      <selection activeCell="M31" sqref="M31"/>
    </sheetView>
  </sheetViews>
  <sheetFormatPr defaultRowHeight="12.75"/>
  <cols>
    <col min="1" max="1" width="5.140625" style="392" customWidth="1"/>
    <col min="2" max="2" width="21.140625" style="392" customWidth="1"/>
    <col min="3" max="3" width="9.42578125" style="392" customWidth="1"/>
    <col min="4" max="5" width="14.42578125" style="392" bestFit="1" customWidth="1"/>
    <col min="6" max="6" width="12" style="392" customWidth="1"/>
    <col min="7" max="7" width="13.42578125" style="392" customWidth="1"/>
    <col min="8" max="8" width="15" style="392" bestFit="1" customWidth="1"/>
    <col min="9" max="9" width="19.85546875" customWidth="1"/>
    <col min="10" max="10" width="10.140625" bestFit="1" customWidth="1"/>
    <col min="13" max="13" width="8.7109375" customWidth="1"/>
  </cols>
  <sheetData>
    <row r="1" spans="1:9" ht="15.75">
      <c r="B1" s="1627" t="s">
        <v>309</v>
      </c>
    </row>
    <row r="2" spans="1:9">
      <c r="B2" s="388" t="s">
        <v>310</v>
      </c>
    </row>
    <row r="3" spans="1:9">
      <c r="B3" s="388"/>
    </row>
    <row r="4" spans="1:9" ht="15.75">
      <c r="B4" s="1776" t="s">
        <v>412</v>
      </c>
      <c r="C4" s="1776"/>
      <c r="D4" s="1776"/>
      <c r="E4" s="1776"/>
      <c r="F4" s="1776"/>
      <c r="G4" s="1776"/>
    </row>
    <row r="6" spans="1:9">
      <c r="A6" s="1777" t="s">
        <v>1244</v>
      </c>
      <c r="B6" s="1779" t="s">
        <v>895</v>
      </c>
      <c r="C6" s="1777" t="s">
        <v>896</v>
      </c>
      <c r="D6" s="833" t="s">
        <v>897</v>
      </c>
      <c r="E6" s="1777" t="s">
        <v>898</v>
      </c>
      <c r="F6" s="1777" t="s">
        <v>899</v>
      </c>
      <c r="G6" s="833" t="s">
        <v>897</v>
      </c>
    </row>
    <row r="7" spans="1:9">
      <c r="A7" s="1778"/>
      <c r="B7" s="1780"/>
      <c r="C7" s="1778"/>
      <c r="D7" s="834">
        <v>41275</v>
      </c>
      <c r="E7" s="1778"/>
      <c r="F7" s="1778"/>
      <c r="G7" s="834">
        <v>41639</v>
      </c>
      <c r="H7" s="903"/>
      <c r="I7" s="835"/>
    </row>
    <row r="8" spans="1:9">
      <c r="A8" s="1628"/>
      <c r="B8" s="837"/>
      <c r="C8" s="1628"/>
      <c r="D8" s="1629"/>
      <c r="E8" s="1629"/>
      <c r="F8" s="1629"/>
      <c r="G8" s="1629"/>
      <c r="H8" s="903"/>
      <c r="I8" s="835"/>
    </row>
    <row r="9" spans="1:9" ht="13.5" thickBot="1">
      <c r="A9" s="1628">
        <v>2</v>
      </c>
      <c r="B9" s="839" t="s">
        <v>415</v>
      </c>
      <c r="C9" s="1628"/>
      <c r="D9" s="1079">
        <v>1378358</v>
      </c>
      <c r="E9" s="1079">
        <v>0</v>
      </c>
      <c r="F9" s="1079"/>
      <c r="G9" s="1635">
        <f>D9+E9-F9</f>
        <v>1378358</v>
      </c>
      <c r="H9" s="840"/>
      <c r="I9" s="841"/>
    </row>
    <row r="10" spans="1:9" ht="13.5" thickBot="1">
      <c r="A10" s="847"/>
      <c r="B10" s="1630" t="s">
        <v>903</v>
      </c>
      <c r="C10" s="1631"/>
      <c r="D10" s="1632">
        <f>SUM(D8:D9)</f>
        <v>1378358</v>
      </c>
      <c r="E10" s="1632">
        <f>SUM(E8:E9)</f>
        <v>0</v>
      </c>
      <c r="F10" s="1632">
        <f>SUM(F8:F9)</f>
        <v>0</v>
      </c>
      <c r="G10" s="1633">
        <f>SUM(G8:G9)</f>
        <v>1378358</v>
      </c>
      <c r="I10" s="425"/>
    </row>
    <row r="13" spans="1:9" ht="15.75">
      <c r="B13" s="1776" t="s">
        <v>413</v>
      </c>
      <c r="C13" s="1776"/>
      <c r="D13" s="1776"/>
      <c r="E13" s="1776"/>
      <c r="F13" s="1776"/>
      <c r="G13" s="1776"/>
      <c r="I13" s="425"/>
    </row>
    <row r="15" spans="1:9">
      <c r="A15" s="1777" t="s">
        <v>1244</v>
      </c>
      <c r="B15" s="1779" t="s">
        <v>895</v>
      </c>
      <c r="C15" s="1777" t="s">
        <v>896</v>
      </c>
      <c r="D15" s="833" t="s">
        <v>897</v>
      </c>
      <c r="E15" s="1777" t="s">
        <v>898</v>
      </c>
      <c r="F15" s="1777" t="s">
        <v>899</v>
      </c>
      <c r="G15" s="833" t="s">
        <v>897</v>
      </c>
    </row>
    <row r="16" spans="1:9">
      <c r="A16" s="1778"/>
      <c r="B16" s="1780"/>
      <c r="C16" s="1778"/>
      <c r="D16" s="834">
        <v>41275</v>
      </c>
      <c r="E16" s="1778"/>
      <c r="F16" s="1778"/>
      <c r="G16" s="834">
        <v>41639</v>
      </c>
    </row>
    <row r="17" spans="1:14">
      <c r="A17" s="1628"/>
      <c r="B17" s="837"/>
      <c r="C17" s="1628"/>
      <c r="D17" s="1634"/>
      <c r="E17" s="1079"/>
      <c r="F17" s="1079"/>
      <c r="G17" s="1079"/>
    </row>
    <row r="18" spans="1:14" ht="13.5" thickBot="1">
      <c r="A18" s="1628">
        <v>2</v>
      </c>
      <c r="B18" s="839" t="s">
        <v>415</v>
      </c>
      <c r="C18" s="1628"/>
      <c r="D18" s="1635">
        <v>64220</v>
      </c>
      <c r="E18" s="1079">
        <v>197121</v>
      </c>
      <c r="F18" s="1079"/>
      <c r="G18" s="1079">
        <f>D18+E18</f>
        <v>261341</v>
      </c>
    </row>
    <row r="19" spans="1:14" ht="13.5" thickBot="1">
      <c r="A19" s="847"/>
      <c r="B19" s="1630" t="s">
        <v>903</v>
      </c>
      <c r="C19" s="1631"/>
      <c r="D19" s="1632">
        <f>SUM(D17:D18)</f>
        <v>64220</v>
      </c>
      <c r="E19" s="1632">
        <f>SUM(E17:E18)</f>
        <v>197121</v>
      </c>
      <c r="F19" s="1632">
        <f>SUM(F17:F18)</f>
        <v>0</v>
      </c>
      <c r="G19" s="1633">
        <f>SUM(G17:G18)</f>
        <v>261341</v>
      </c>
      <c r="H19" s="1636"/>
      <c r="I19" s="425"/>
      <c r="J19" s="425"/>
    </row>
    <row r="20" spans="1:14">
      <c r="G20" s="1637"/>
    </row>
    <row r="22" spans="1:14" ht="15.75">
      <c r="B22" s="1776" t="s">
        <v>414</v>
      </c>
      <c r="C22" s="1776"/>
      <c r="D22" s="1776"/>
      <c r="E22" s="1776"/>
      <c r="F22" s="1776"/>
      <c r="G22" s="1776"/>
    </row>
    <row r="24" spans="1:14">
      <c r="A24" s="1777" t="s">
        <v>1244</v>
      </c>
      <c r="B24" s="1779" t="s">
        <v>895</v>
      </c>
      <c r="C24" s="1777" t="s">
        <v>896</v>
      </c>
      <c r="D24" s="833" t="s">
        <v>897</v>
      </c>
      <c r="E24" s="1777" t="s">
        <v>898</v>
      </c>
      <c r="F24" s="1777" t="s">
        <v>899</v>
      </c>
      <c r="G24" s="833" t="s">
        <v>897</v>
      </c>
    </row>
    <row r="25" spans="1:14">
      <c r="A25" s="1778"/>
      <c r="B25" s="1780"/>
      <c r="C25" s="1778"/>
      <c r="D25" s="834">
        <v>41426</v>
      </c>
      <c r="E25" s="1778"/>
      <c r="F25" s="1778"/>
      <c r="G25" s="834">
        <v>41639</v>
      </c>
    </row>
    <row r="26" spans="1:14">
      <c r="A26" s="1628"/>
      <c r="B26" s="839"/>
      <c r="C26" s="1628"/>
      <c r="D26" s="1629"/>
      <c r="E26" s="1629"/>
      <c r="F26" s="1629"/>
      <c r="G26" s="1629"/>
    </row>
    <row r="27" spans="1:14" ht="13.5" thickBot="1">
      <c r="A27" s="1628">
        <v>2</v>
      </c>
      <c r="B27" s="837" t="s">
        <v>415</v>
      </c>
      <c r="C27" s="1628"/>
      <c r="D27" s="1629">
        <f>D9-D18</f>
        <v>1314138</v>
      </c>
      <c r="E27" s="1629"/>
      <c r="F27" s="1629">
        <v>197121</v>
      </c>
      <c r="G27" s="1629">
        <f>D27-F27</f>
        <v>1117017</v>
      </c>
      <c r="M27" s="835"/>
      <c r="N27" s="835"/>
    </row>
    <row r="28" spans="1:14" ht="13.5" thickBot="1">
      <c r="A28" s="847"/>
      <c r="B28" s="1630" t="s">
        <v>903</v>
      </c>
      <c r="C28" s="1631"/>
      <c r="D28" s="1632">
        <f>SUM(D26:D27)</f>
        <v>1314138</v>
      </c>
      <c r="E28" s="1632">
        <f>SUM(E26:E27)</f>
        <v>0</v>
      </c>
      <c r="F28" s="1632">
        <f>SUM(F26:F27)</f>
        <v>197121</v>
      </c>
      <c r="G28" s="1633">
        <f>SUM(G26:G27)</f>
        <v>1117017</v>
      </c>
      <c r="H28" s="1638"/>
      <c r="I28" s="853"/>
      <c r="J28" s="425"/>
      <c r="M28" s="854"/>
      <c r="N28" s="835"/>
    </row>
    <row r="29" spans="1:14" s="835" customFormat="1">
      <c r="A29" s="903"/>
      <c r="B29" s="903"/>
      <c r="C29" s="903"/>
      <c r="D29" s="903"/>
      <c r="E29" s="903"/>
      <c r="F29" s="1639"/>
      <c r="G29" s="1640"/>
      <c r="H29" s="903"/>
      <c r="J29" s="841"/>
    </row>
    <row r="30" spans="1:14">
      <c r="D30" s="1638"/>
      <c r="E30" s="1638"/>
      <c r="G30" s="1638"/>
      <c r="I30" s="852"/>
      <c r="M30" s="835"/>
      <c r="N30" s="835"/>
    </row>
    <row r="31" spans="1:14">
      <c r="D31" s="1638"/>
      <c r="G31" s="1638"/>
      <c r="I31" s="425"/>
      <c r="M31" s="835"/>
      <c r="N31" s="835"/>
    </row>
    <row r="32" spans="1:14" ht="15.75">
      <c r="E32" s="1774" t="s">
        <v>904</v>
      </c>
      <c r="F32" s="1774"/>
      <c r="G32" s="1774"/>
      <c r="M32" s="835"/>
      <c r="N32" s="835"/>
    </row>
    <row r="33" spans="5:7">
      <c r="E33" s="1775" t="s">
        <v>300</v>
      </c>
      <c r="F33" s="1775"/>
      <c r="G33" s="1775"/>
    </row>
  </sheetData>
  <mergeCells count="20">
    <mergeCell ref="B4:G4"/>
    <mergeCell ref="A6:A7"/>
    <mergeCell ref="B6:B7"/>
    <mergeCell ref="C6:C7"/>
    <mergeCell ref="E6:E7"/>
    <mergeCell ref="F6:F7"/>
    <mergeCell ref="B13:G13"/>
    <mergeCell ref="A15:A16"/>
    <mergeCell ref="B15:B16"/>
    <mergeCell ref="C15:C16"/>
    <mergeCell ref="E15:E16"/>
    <mergeCell ref="F15:F16"/>
    <mergeCell ref="E32:G32"/>
    <mergeCell ref="E33:G33"/>
    <mergeCell ref="B22:G22"/>
    <mergeCell ref="A24:A25"/>
    <mergeCell ref="B24:B25"/>
    <mergeCell ref="C24:C25"/>
    <mergeCell ref="E24:E25"/>
    <mergeCell ref="F24:F25"/>
  </mergeCells>
  <phoneticPr fontId="124" type="noConversion"/>
  <pageMargins left="0.55000000000000004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rgb="FFFFCCFF"/>
  </sheetPr>
  <dimension ref="A1:M49"/>
  <sheetViews>
    <sheetView showGridLines="0" topLeftCell="A10" workbookViewId="0">
      <selection activeCell="D39" sqref="D39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5" width="14.42578125" bestFit="1" customWidth="1"/>
    <col min="6" max="6" width="12" customWidth="1"/>
    <col min="7" max="7" width="13.42578125" customWidth="1"/>
    <col min="8" max="8" width="19.85546875" customWidth="1"/>
    <col min="9" max="9" width="10.140625" bestFit="1" customWidth="1"/>
    <col min="12" max="12" width="8.7109375" customWidth="1"/>
  </cols>
  <sheetData>
    <row r="1" spans="1:8" ht="15">
      <c r="B1" s="831" t="s">
        <v>309</v>
      </c>
    </row>
    <row r="2" spans="1:8">
      <c r="B2" s="832" t="s">
        <v>310</v>
      </c>
    </row>
    <row r="3" spans="1:8">
      <c r="B3" s="832"/>
    </row>
    <row r="4" spans="1:8" ht="15.75">
      <c r="B4" s="1776" t="s">
        <v>418</v>
      </c>
      <c r="C4" s="1776"/>
      <c r="D4" s="1776"/>
      <c r="E4" s="1776"/>
      <c r="F4" s="1776"/>
      <c r="G4" s="1776"/>
    </row>
    <row r="6" spans="1:8">
      <c r="A6" s="1777" t="s">
        <v>1244</v>
      </c>
      <c r="B6" s="1779" t="s">
        <v>895</v>
      </c>
      <c r="C6" s="1777" t="s">
        <v>896</v>
      </c>
      <c r="D6" s="833" t="s">
        <v>897</v>
      </c>
      <c r="E6" s="1777" t="s">
        <v>898</v>
      </c>
      <c r="F6" s="1777" t="s">
        <v>899</v>
      </c>
      <c r="G6" s="833" t="s">
        <v>897</v>
      </c>
    </row>
    <row r="7" spans="1:8">
      <c r="A7" s="1778"/>
      <c r="B7" s="1780"/>
      <c r="C7" s="1778"/>
      <c r="D7" s="834">
        <v>41275</v>
      </c>
      <c r="E7" s="1778"/>
      <c r="F7" s="1778"/>
      <c r="G7" s="834">
        <v>41639</v>
      </c>
      <c r="H7" s="835"/>
    </row>
    <row r="8" spans="1:8">
      <c r="A8" s="836">
        <v>1</v>
      </c>
      <c r="B8" s="837" t="s">
        <v>900</v>
      </c>
      <c r="C8" s="836"/>
      <c r="D8" s="838"/>
      <c r="E8" s="838"/>
      <c r="F8" s="838"/>
      <c r="G8" s="838"/>
      <c r="H8" s="835"/>
    </row>
    <row r="9" spans="1:8">
      <c r="A9" s="836">
        <v>2</v>
      </c>
      <c r="B9" s="837" t="s">
        <v>420</v>
      </c>
      <c r="C9" s="836"/>
      <c r="D9" s="1077">
        <v>928666.66</v>
      </c>
      <c r="E9" s="1078">
        <v>1000123</v>
      </c>
      <c r="F9" s="1078"/>
      <c r="G9" s="1078">
        <f>D9+E9-F9+1</f>
        <v>1928790.6600000001</v>
      </c>
      <c r="H9" s="841"/>
    </row>
    <row r="10" spans="1:8">
      <c r="A10" s="836">
        <v>3</v>
      </c>
      <c r="B10" s="837" t="s">
        <v>312</v>
      </c>
      <c r="C10" s="836"/>
      <c r="D10" s="1077">
        <f>743715.37+277166.66</f>
        <v>1020882.03</v>
      </c>
      <c r="E10" s="1078">
        <v>2789952</v>
      </c>
      <c r="F10" s="1078"/>
      <c r="G10" s="1078">
        <f>D10+E10-F10+1</f>
        <v>3810835.0300000003</v>
      </c>
      <c r="H10" s="841"/>
    </row>
    <row r="11" spans="1:8">
      <c r="A11" s="836">
        <v>4</v>
      </c>
      <c r="B11" s="837" t="s">
        <v>901</v>
      </c>
      <c r="C11" s="836"/>
      <c r="D11" s="1077">
        <v>12222393.869999999</v>
      </c>
      <c r="E11" s="1079">
        <v>1348083</v>
      </c>
      <c r="F11" s="1078"/>
      <c r="G11" s="1078">
        <f>D11+E11-F11+1</f>
        <v>13570477.869999999</v>
      </c>
      <c r="H11" s="841"/>
    </row>
    <row r="12" spans="1:8">
      <c r="A12" s="836">
        <v>5</v>
      </c>
      <c r="B12" s="837" t="s">
        <v>902</v>
      </c>
      <c r="C12" s="836"/>
      <c r="D12" s="1077">
        <v>2487515.84</v>
      </c>
      <c r="E12" s="1078">
        <v>95536</v>
      </c>
      <c r="F12" s="1078"/>
      <c r="G12" s="1078">
        <f>D12+E12-F12</f>
        <v>2583051.84</v>
      </c>
      <c r="H12" s="841"/>
    </row>
    <row r="13" spans="1:8">
      <c r="A13" s="836">
        <v>6</v>
      </c>
      <c r="B13" s="837" t="s">
        <v>419</v>
      </c>
      <c r="C13" s="836"/>
      <c r="D13" s="1077"/>
      <c r="E13" s="1078">
        <v>9752500</v>
      </c>
      <c r="F13" s="1078"/>
      <c r="G13" s="1078">
        <f>D13+E13-F13</f>
        <v>9752500</v>
      </c>
      <c r="H13" s="841"/>
    </row>
    <row r="14" spans="1:8" ht="13.5" thickBot="1">
      <c r="A14" s="836">
        <v>7</v>
      </c>
      <c r="B14" s="843" t="s">
        <v>1385</v>
      </c>
      <c r="C14" s="836"/>
      <c r="D14" s="1077">
        <f>148399.52+33500</f>
        <v>181899.51999999999</v>
      </c>
      <c r="E14" s="1078">
        <v>25220</v>
      </c>
      <c r="F14" s="1078"/>
      <c r="G14" s="1078">
        <f>D14+E14-F14</f>
        <v>207119.52</v>
      </c>
      <c r="H14" s="835"/>
    </row>
    <row r="15" spans="1:8" ht="13.5" thickBot="1">
      <c r="A15" s="847"/>
      <c r="B15" s="848" t="s">
        <v>903</v>
      </c>
      <c r="C15" s="849"/>
      <c r="D15" s="850">
        <f>SUM(D8:D14)</f>
        <v>16841357.919999998</v>
      </c>
      <c r="E15" s="850">
        <f>SUM(E8:E14)</f>
        <v>15011414</v>
      </c>
      <c r="F15" s="850">
        <f>SUM(F8:F14)</f>
        <v>0</v>
      </c>
      <c r="G15" s="851">
        <f>SUM(G8:G14)-3</f>
        <v>31852771.919999998</v>
      </c>
      <c r="H15" s="425"/>
    </row>
    <row r="18" spans="1:9" ht="15.75">
      <c r="B18" s="1776" t="s">
        <v>417</v>
      </c>
      <c r="C18" s="1776"/>
      <c r="D18" s="1776"/>
      <c r="E18" s="1776"/>
      <c r="F18" s="1776"/>
      <c r="G18" s="1776"/>
      <c r="H18" s="425"/>
    </row>
    <row r="20" spans="1:9">
      <c r="A20" s="1777" t="s">
        <v>1244</v>
      </c>
      <c r="B20" s="1779" t="s">
        <v>895</v>
      </c>
      <c r="C20" s="1777" t="s">
        <v>896</v>
      </c>
      <c r="D20" s="833" t="s">
        <v>897</v>
      </c>
      <c r="E20" s="1777" t="s">
        <v>898</v>
      </c>
      <c r="F20" s="1777" t="s">
        <v>899</v>
      </c>
      <c r="G20" s="833" t="s">
        <v>897</v>
      </c>
    </row>
    <row r="21" spans="1:9">
      <c r="A21" s="1778"/>
      <c r="B21" s="1780"/>
      <c r="C21" s="1778"/>
      <c r="D21" s="834">
        <v>41275</v>
      </c>
      <c r="E21" s="1778"/>
      <c r="F21" s="1778"/>
      <c r="G21" s="834">
        <v>41639</v>
      </c>
    </row>
    <row r="22" spans="1:9">
      <c r="A22" s="836">
        <v>1</v>
      </c>
      <c r="B22" s="837" t="s">
        <v>900</v>
      </c>
      <c r="C22" s="836"/>
      <c r="D22" s="1080">
        <v>0</v>
      </c>
      <c r="E22" s="1078">
        <v>0</v>
      </c>
      <c r="F22" s="1078"/>
      <c r="G22" s="1078">
        <f t="shared" ref="G22:G28" si="0">D22+E22</f>
        <v>0</v>
      </c>
    </row>
    <row r="23" spans="1:9">
      <c r="A23" s="836">
        <v>2</v>
      </c>
      <c r="B23" s="837" t="s">
        <v>420</v>
      </c>
      <c r="C23" s="836"/>
      <c r="D23" s="1081">
        <v>94324</v>
      </c>
      <c r="E23" s="1077">
        <f>166869+162821</f>
        <v>329690</v>
      </c>
      <c r="F23" s="1078"/>
      <c r="G23" s="1078">
        <f t="shared" si="0"/>
        <v>424014</v>
      </c>
    </row>
    <row r="24" spans="1:9">
      <c r="A24" s="836">
        <v>3</v>
      </c>
      <c r="B24" s="837" t="s">
        <v>312</v>
      </c>
      <c r="C24" s="836"/>
      <c r="D24" s="1081">
        <v>62330</v>
      </c>
      <c r="E24" s="1077">
        <v>489620</v>
      </c>
      <c r="F24" s="1078"/>
      <c r="G24" s="1078">
        <f t="shared" si="0"/>
        <v>551950</v>
      </c>
    </row>
    <row r="25" spans="1:9">
      <c r="A25" s="836">
        <v>4</v>
      </c>
      <c r="B25" s="837" t="s">
        <v>901</v>
      </c>
      <c r="C25" s="836"/>
      <c r="D25" s="1081">
        <v>1708608</v>
      </c>
      <c r="E25" s="1077">
        <v>2839620</v>
      </c>
      <c r="F25" s="1078"/>
      <c r="G25" s="1078">
        <f t="shared" si="0"/>
        <v>4548228</v>
      </c>
    </row>
    <row r="26" spans="1:9">
      <c r="A26" s="836">
        <v>5</v>
      </c>
      <c r="B26" s="837" t="s">
        <v>902</v>
      </c>
      <c r="C26" s="836"/>
      <c r="D26" s="1081">
        <v>281693</v>
      </c>
      <c r="E26" s="1077">
        <v>448002</v>
      </c>
      <c r="F26" s="1078"/>
      <c r="G26" s="1078">
        <f t="shared" si="0"/>
        <v>729695</v>
      </c>
    </row>
    <row r="27" spans="1:9">
      <c r="A27" s="836">
        <v>6</v>
      </c>
      <c r="B27" s="837" t="s">
        <v>419</v>
      </c>
      <c r="C27" s="836"/>
      <c r="D27" s="1081"/>
      <c r="E27" s="1077">
        <v>1300333</v>
      </c>
      <c r="F27" s="1078"/>
      <c r="G27" s="1078">
        <f t="shared" si="0"/>
        <v>1300333</v>
      </c>
    </row>
    <row r="28" spans="1:9" ht="13.5" thickBot="1">
      <c r="A28" s="836">
        <v>7</v>
      </c>
      <c r="B28" s="843" t="s">
        <v>1385</v>
      </c>
      <c r="C28" s="836"/>
      <c r="D28" s="1080">
        <v>6069</v>
      </c>
      <c r="E28" s="1077">
        <v>28466</v>
      </c>
      <c r="F28" s="1078"/>
      <c r="G28" s="1078">
        <f t="shared" si="0"/>
        <v>34535</v>
      </c>
    </row>
    <row r="29" spans="1:9" ht="13.5" thickBot="1">
      <c r="A29" s="847"/>
      <c r="B29" s="848" t="s">
        <v>903</v>
      </c>
      <c r="C29" s="849"/>
      <c r="D29" s="850">
        <f>SUM(D22:D28)</f>
        <v>2153024</v>
      </c>
      <c r="E29" s="850">
        <f>SUM(E22:E28)</f>
        <v>5435731</v>
      </c>
      <c r="F29" s="850">
        <f>SUM(F22:F28)</f>
        <v>0</v>
      </c>
      <c r="G29" s="851">
        <f>SUM(G22:G28)-1</f>
        <v>7588754</v>
      </c>
      <c r="H29" s="425"/>
      <c r="I29" s="425"/>
    </row>
    <row r="30" spans="1:9">
      <c r="E30" s="425"/>
      <c r="G30" s="852"/>
    </row>
    <row r="32" spans="1:9" ht="15.75">
      <c r="B32" s="1776" t="s">
        <v>416</v>
      </c>
      <c r="C32" s="1776"/>
      <c r="D32" s="1776"/>
      <c r="E32" s="1776"/>
      <c r="F32" s="1776"/>
      <c r="G32" s="1776"/>
    </row>
    <row r="34" spans="1:13">
      <c r="A34" s="1777" t="s">
        <v>1244</v>
      </c>
      <c r="B34" s="1779" t="s">
        <v>895</v>
      </c>
      <c r="C34" s="1777" t="s">
        <v>896</v>
      </c>
      <c r="D34" s="833" t="s">
        <v>897</v>
      </c>
      <c r="E34" s="1777" t="s">
        <v>898</v>
      </c>
      <c r="F34" s="1777" t="s">
        <v>899</v>
      </c>
      <c r="G34" s="833" t="s">
        <v>897</v>
      </c>
    </row>
    <row r="35" spans="1:13">
      <c r="A35" s="1778"/>
      <c r="B35" s="1780"/>
      <c r="C35" s="1778"/>
      <c r="D35" s="834">
        <v>41275</v>
      </c>
      <c r="E35" s="1778"/>
      <c r="F35" s="1778"/>
      <c r="G35" s="834">
        <v>41639</v>
      </c>
    </row>
    <row r="36" spans="1:13">
      <c r="A36" s="836">
        <v>1</v>
      </c>
      <c r="B36" s="837" t="s">
        <v>900</v>
      </c>
      <c r="C36" s="836"/>
      <c r="D36" s="838"/>
      <c r="E36" s="838"/>
      <c r="F36" s="838"/>
      <c r="G36" s="838"/>
    </row>
    <row r="37" spans="1:13">
      <c r="A37" s="836">
        <v>2</v>
      </c>
      <c r="B37" s="837" t="s">
        <v>420</v>
      </c>
      <c r="C37" s="836"/>
      <c r="D37" s="838">
        <f t="shared" ref="D37:E42" si="1">D9-D23</f>
        <v>834342.66</v>
      </c>
      <c r="E37" s="1339">
        <f>E9-E23</f>
        <v>670433</v>
      </c>
      <c r="F37" s="838"/>
      <c r="G37" s="838">
        <f>D37+E37-2</f>
        <v>1504773.6600000001</v>
      </c>
      <c r="L37" s="835"/>
      <c r="M37" s="835"/>
    </row>
    <row r="38" spans="1:13">
      <c r="A38" s="836">
        <v>3</v>
      </c>
      <c r="B38" s="837" t="s">
        <v>312</v>
      </c>
      <c r="C38" s="836"/>
      <c r="D38" s="838">
        <f t="shared" si="1"/>
        <v>958552.03</v>
      </c>
      <c r="E38" s="1339">
        <f t="shared" si="1"/>
        <v>2300332</v>
      </c>
      <c r="F38" s="838"/>
      <c r="G38" s="838">
        <f>D38+E38-1</f>
        <v>3258883.0300000003</v>
      </c>
      <c r="L38" s="835"/>
      <c r="M38" s="835"/>
    </row>
    <row r="39" spans="1:13">
      <c r="A39" s="836">
        <v>4</v>
      </c>
      <c r="B39" s="837" t="s">
        <v>901</v>
      </c>
      <c r="C39" s="836"/>
      <c r="D39" s="838">
        <f t="shared" si="1"/>
        <v>10513785.869999999</v>
      </c>
      <c r="E39" s="1641"/>
      <c r="F39" s="1641">
        <f>E25-E11</f>
        <v>1491537</v>
      </c>
      <c r="G39" s="838">
        <f>D39-F39-1</f>
        <v>9022247.8699999992</v>
      </c>
      <c r="L39" s="835"/>
      <c r="M39" s="835"/>
    </row>
    <row r="40" spans="1:13">
      <c r="A40" s="836">
        <v>5</v>
      </c>
      <c r="B40" s="837" t="s">
        <v>902</v>
      </c>
      <c r="C40" s="836"/>
      <c r="D40" s="838">
        <f t="shared" si="1"/>
        <v>2205822.84</v>
      </c>
      <c r="E40" s="1641"/>
      <c r="F40" s="1641">
        <f>E26-E12</f>
        <v>352466</v>
      </c>
      <c r="G40" s="838">
        <f>D40-F40-1</f>
        <v>1853355.8399999999</v>
      </c>
      <c r="L40" s="835"/>
      <c r="M40" s="835"/>
    </row>
    <row r="41" spans="1:13">
      <c r="A41" s="836">
        <v>6</v>
      </c>
      <c r="B41" s="837" t="s">
        <v>419</v>
      </c>
      <c r="C41" s="836"/>
      <c r="D41" s="838">
        <f t="shared" si="1"/>
        <v>0</v>
      </c>
      <c r="E41" s="1641">
        <f>E13-E27</f>
        <v>8452167</v>
      </c>
      <c r="F41" s="1642"/>
      <c r="G41" s="838">
        <f>D41+E41-1</f>
        <v>8452166</v>
      </c>
      <c r="L41" s="835"/>
      <c r="M41" s="835"/>
    </row>
    <row r="42" spans="1:13">
      <c r="A42" s="836">
        <v>7</v>
      </c>
      <c r="B42" s="843" t="s">
        <v>1385</v>
      </c>
      <c r="C42" s="836"/>
      <c r="D42" s="838">
        <f t="shared" si="1"/>
        <v>175830.52</v>
      </c>
      <c r="E42" s="1641"/>
      <c r="F42" s="1641">
        <f>E28-E14</f>
        <v>3246</v>
      </c>
      <c r="G42" s="838">
        <f>D42-F42-1</f>
        <v>172583.52</v>
      </c>
      <c r="H42" s="425"/>
      <c r="L42" s="835"/>
      <c r="M42" s="835"/>
    </row>
    <row r="43" spans="1:13" ht="13.5" thickBot="1">
      <c r="A43" s="836">
        <v>8</v>
      </c>
      <c r="B43" s="845"/>
      <c r="C43" s="844"/>
      <c r="D43" s="846"/>
      <c r="E43" s="1641"/>
      <c r="F43" s="1643"/>
      <c r="G43" s="838"/>
      <c r="L43" s="835"/>
      <c r="M43" s="835"/>
    </row>
    <row r="44" spans="1:13" ht="13.5" thickBot="1">
      <c r="A44" s="847"/>
      <c r="B44" s="848" t="s">
        <v>903</v>
      </c>
      <c r="C44" s="849"/>
      <c r="D44" s="850">
        <f>SUM(D36:D43)+1</f>
        <v>14688334.919999998</v>
      </c>
      <c r="E44" s="850">
        <f>SUM(E36:E43)</f>
        <v>11422932</v>
      </c>
      <c r="F44" s="850">
        <f>SUM(F36:F43)</f>
        <v>1847249</v>
      </c>
      <c r="G44" s="851">
        <f>SUM(G36:G43)+4</f>
        <v>24264013.919999998</v>
      </c>
      <c r="H44" s="853"/>
      <c r="I44" s="425"/>
      <c r="L44" s="854"/>
      <c r="M44" s="835"/>
    </row>
    <row r="45" spans="1:13" s="835" customFormat="1">
      <c r="F45" s="841"/>
      <c r="G45" s="855"/>
      <c r="I45" s="841"/>
    </row>
    <row r="46" spans="1:13">
      <c r="D46" s="425"/>
      <c r="E46" s="425"/>
      <c r="G46" s="425"/>
      <c r="H46" s="852"/>
      <c r="L46" s="835"/>
      <c r="M46" s="835"/>
    </row>
    <row r="47" spans="1:13">
      <c r="D47" s="425"/>
      <c r="G47" s="425"/>
      <c r="H47" s="425"/>
      <c r="L47" s="835"/>
      <c r="M47" s="835"/>
    </row>
    <row r="48" spans="1:13" ht="15.75">
      <c r="E48" s="1774" t="s">
        <v>904</v>
      </c>
      <c r="F48" s="1774"/>
      <c r="G48" s="1774"/>
      <c r="L48" s="835"/>
      <c r="M48" s="835"/>
    </row>
    <row r="49" spans="5:7">
      <c r="E49" s="1781" t="s">
        <v>300</v>
      </c>
      <c r="F49" s="1781"/>
      <c r="G49" s="1781"/>
    </row>
  </sheetData>
  <mergeCells count="20">
    <mergeCell ref="E49:G49"/>
    <mergeCell ref="E48:G48"/>
    <mergeCell ref="B32:G32"/>
    <mergeCell ref="A34:A35"/>
    <mergeCell ref="B34:B35"/>
    <mergeCell ref="C34:C35"/>
    <mergeCell ref="E34:E35"/>
    <mergeCell ref="F34:F35"/>
    <mergeCell ref="B18:G18"/>
    <mergeCell ref="A20:A21"/>
    <mergeCell ref="B20:B21"/>
    <mergeCell ref="C20:C21"/>
    <mergeCell ref="E20:E21"/>
    <mergeCell ref="F20:F21"/>
    <mergeCell ref="B4:G4"/>
    <mergeCell ref="A6:A7"/>
    <mergeCell ref="B6:B7"/>
    <mergeCell ref="C6:C7"/>
    <mergeCell ref="E6:E7"/>
    <mergeCell ref="F6:F7"/>
  </mergeCells>
  <phoneticPr fontId="7" type="noConversion"/>
  <pageMargins left="0.55000000000000004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CCC"/>
  </sheetPr>
  <dimension ref="B1:M34"/>
  <sheetViews>
    <sheetView showGridLines="0" view="pageBreakPreview" zoomScale="87" zoomScaleNormal="75" zoomScaleSheetLayoutView="87" workbookViewId="0">
      <selection activeCell="E7" sqref="E7"/>
    </sheetView>
  </sheetViews>
  <sheetFormatPr defaultRowHeight="15"/>
  <cols>
    <col min="1" max="1" width="3.140625" style="880" customWidth="1"/>
    <col min="2" max="2" width="8" style="880" customWidth="1"/>
    <col min="3" max="3" width="22.42578125" style="880" customWidth="1"/>
    <col min="4" max="4" width="15.5703125" style="880" bestFit="1" customWidth="1"/>
    <col min="5" max="5" width="13.42578125" style="880" customWidth="1"/>
    <col min="6" max="6" width="13.85546875" style="880" customWidth="1"/>
    <col min="7" max="7" width="15.5703125" style="880" bestFit="1" customWidth="1"/>
    <col min="8" max="8" width="14.28515625" style="880" bestFit="1" customWidth="1"/>
    <col min="9" max="9" width="15.5703125" style="880" bestFit="1" customWidth="1"/>
    <col min="10" max="10" width="14.28515625" style="880" bestFit="1" customWidth="1"/>
    <col min="11" max="11" width="11.7109375" style="880" customWidth="1"/>
    <col min="12" max="12" width="14.28515625" style="880" bestFit="1" customWidth="1"/>
    <col min="13" max="13" width="18.7109375" style="880" bestFit="1" customWidth="1"/>
    <col min="14" max="16384" width="9.140625" style="880"/>
  </cols>
  <sheetData>
    <row r="1" spans="2:13">
      <c r="K1" s="1082"/>
    </row>
    <row r="2" spans="2:13" ht="18.75">
      <c r="B2" s="881" t="s">
        <v>301</v>
      </c>
      <c r="C2" s="882"/>
      <c r="F2" s="1785" t="s">
        <v>425</v>
      </c>
      <c r="G2" s="1785"/>
      <c r="H2" s="1785"/>
      <c r="I2" s="1785"/>
      <c r="K2" s="1082"/>
    </row>
    <row r="3" spans="2:13">
      <c r="K3" s="1083"/>
      <c r="L3" s="882"/>
    </row>
    <row r="4" spans="2:13" s="861" customFormat="1">
      <c r="B4" s="1786" t="s">
        <v>917</v>
      </c>
      <c r="C4" s="1788" t="s">
        <v>918</v>
      </c>
      <c r="D4" s="883" t="s">
        <v>897</v>
      </c>
      <c r="E4" s="1788" t="s">
        <v>898</v>
      </c>
      <c r="F4" s="883" t="s">
        <v>919</v>
      </c>
      <c r="G4" s="883" t="s">
        <v>897</v>
      </c>
      <c r="H4" s="883" t="s">
        <v>920</v>
      </c>
      <c r="I4" s="883" t="s">
        <v>921</v>
      </c>
      <c r="J4" s="883" t="s">
        <v>922</v>
      </c>
      <c r="K4" s="884" t="s">
        <v>921</v>
      </c>
      <c r="L4" s="884" t="s">
        <v>920</v>
      </c>
      <c r="M4" s="1783" t="s">
        <v>923</v>
      </c>
    </row>
    <row r="5" spans="2:13" s="861" customFormat="1">
      <c r="B5" s="1787"/>
      <c r="C5" s="1784"/>
      <c r="D5" s="885" t="s">
        <v>421</v>
      </c>
      <c r="E5" s="1784"/>
      <c r="F5" s="885" t="s">
        <v>924</v>
      </c>
      <c r="G5" s="885" t="s">
        <v>422</v>
      </c>
      <c r="H5" s="885" t="s">
        <v>423</v>
      </c>
      <c r="I5" s="885" t="s">
        <v>423</v>
      </c>
      <c r="J5" s="885" t="s">
        <v>424</v>
      </c>
      <c r="K5" s="1084" t="s">
        <v>422</v>
      </c>
      <c r="L5" s="886" t="s">
        <v>422</v>
      </c>
      <c r="M5" s="1784"/>
    </row>
    <row r="6" spans="2:13">
      <c r="B6" s="1340">
        <v>1</v>
      </c>
      <c r="C6" s="1655"/>
      <c r="D6" s="1656"/>
      <c r="E6" s="1656"/>
      <c r="F6" s="1656"/>
      <c r="G6" s="1657"/>
      <c r="H6" s="1656"/>
      <c r="I6" s="1657"/>
      <c r="J6" s="1656"/>
      <c r="K6" s="1658"/>
      <c r="L6" s="1659"/>
      <c r="M6" s="1657"/>
    </row>
    <row r="7" spans="2:13">
      <c r="B7" s="891">
        <v>2</v>
      </c>
      <c r="C7" s="892" t="s">
        <v>925</v>
      </c>
      <c r="D7" s="890">
        <f>928667-0.45</f>
        <v>928666.55</v>
      </c>
      <c r="E7" s="890">
        <v>1000123</v>
      </c>
      <c r="F7" s="890"/>
      <c r="G7" s="890">
        <f>D7+E7-F7</f>
        <v>1928789.55</v>
      </c>
      <c r="H7" s="890">
        <f>'AAM 13'!D23</f>
        <v>94324</v>
      </c>
      <c r="I7" s="890">
        <f t="shared" ref="I7:I12" si="0">D7-H7</f>
        <v>834342.55</v>
      </c>
      <c r="J7" s="890">
        <f>'AAM 13'!E23</f>
        <v>329690</v>
      </c>
      <c r="K7" s="1346">
        <f>D7+E7-H7-J7-2</f>
        <v>1504773.55</v>
      </c>
      <c r="L7" s="890">
        <f t="shared" ref="L7:L12" si="1">H7+J7</f>
        <v>424014</v>
      </c>
      <c r="M7" s="890">
        <f t="shared" ref="M7:M12" si="2">J7</f>
        <v>329690</v>
      </c>
    </row>
    <row r="8" spans="2:13">
      <c r="B8" s="891">
        <v>3</v>
      </c>
      <c r="C8" s="892" t="s">
        <v>313</v>
      </c>
      <c r="D8" s="890">
        <f>1020882-0.45</f>
        <v>1020881.55</v>
      </c>
      <c r="E8" s="890">
        <v>2789952</v>
      </c>
      <c r="F8" s="890"/>
      <c r="G8" s="890">
        <f>D8+E8-F8</f>
        <v>3810833.55</v>
      </c>
      <c r="H8" s="890">
        <f>'AAM 13'!D24</f>
        <v>62330</v>
      </c>
      <c r="I8" s="890">
        <f t="shared" si="0"/>
        <v>958551.55</v>
      </c>
      <c r="J8" s="890">
        <f>'AAM 13'!E24</f>
        <v>489620</v>
      </c>
      <c r="K8" s="1346">
        <f>D8+E8-H8-J8-1</f>
        <v>3258882.55</v>
      </c>
      <c r="L8" s="890">
        <f t="shared" si="1"/>
        <v>551950</v>
      </c>
      <c r="M8" s="890">
        <f t="shared" si="2"/>
        <v>489620</v>
      </c>
    </row>
    <row r="9" spans="2:13">
      <c r="B9" s="891">
        <v>4</v>
      </c>
      <c r="C9" s="892" t="s">
        <v>902</v>
      </c>
      <c r="D9" s="890">
        <v>2487516</v>
      </c>
      <c r="E9" s="890">
        <v>95536</v>
      </c>
      <c r="F9" s="890"/>
      <c r="G9" s="890">
        <f>D9+E9-F9</f>
        <v>2583052</v>
      </c>
      <c r="H9" s="890">
        <f>'AAM 13'!D25</f>
        <v>1708608</v>
      </c>
      <c r="I9" s="890">
        <f t="shared" si="0"/>
        <v>778908</v>
      </c>
      <c r="J9" s="890">
        <f>'AAM 13'!E25</f>
        <v>2839620</v>
      </c>
      <c r="K9" s="1346">
        <f>D9+E9-H9-J9</f>
        <v>-1965176</v>
      </c>
      <c r="L9" s="890">
        <f t="shared" si="1"/>
        <v>4548228</v>
      </c>
      <c r="M9" s="890">
        <f t="shared" si="2"/>
        <v>2839620</v>
      </c>
    </row>
    <row r="10" spans="2:13">
      <c r="B10" s="891">
        <v>5</v>
      </c>
      <c r="C10" s="892" t="s">
        <v>926</v>
      </c>
      <c r="D10" s="890">
        <v>12222394</v>
      </c>
      <c r="E10" s="890">
        <v>1348083</v>
      </c>
      <c r="F10" s="890"/>
      <c r="G10" s="890">
        <f>D10+E10-F10</f>
        <v>13570477</v>
      </c>
      <c r="H10" s="890">
        <f>'AAM 13'!D26</f>
        <v>281693</v>
      </c>
      <c r="I10" s="890">
        <f t="shared" si="0"/>
        <v>11940701</v>
      </c>
      <c r="J10" s="890">
        <f>'AAM 13'!E26</f>
        <v>448002</v>
      </c>
      <c r="K10" s="1346">
        <f>D10+E10-H10-J10</f>
        <v>12840782</v>
      </c>
      <c r="L10" s="890">
        <f t="shared" si="1"/>
        <v>729695</v>
      </c>
      <c r="M10" s="890">
        <f t="shared" si="2"/>
        <v>448002</v>
      </c>
    </row>
    <row r="11" spans="2:13">
      <c r="B11" s="891">
        <v>6</v>
      </c>
      <c r="C11" s="892" t="s">
        <v>419</v>
      </c>
      <c r="D11" s="890"/>
      <c r="E11" s="890">
        <v>9752500</v>
      </c>
      <c r="F11" s="890"/>
      <c r="G11" s="890">
        <f>D11+E11-F11-0.499999999999999</f>
        <v>9752499.5</v>
      </c>
      <c r="H11" s="890">
        <f>'AAM 13'!D27</f>
        <v>0</v>
      </c>
      <c r="I11" s="890">
        <f t="shared" si="0"/>
        <v>0</v>
      </c>
      <c r="J11" s="890">
        <f>'AAM 13'!E27</f>
        <v>1300333</v>
      </c>
      <c r="K11" s="1346">
        <f>D11+E11-H11-J11-1</f>
        <v>8452166</v>
      </c>
      <c r="L11" s="890">
        <f t="shared" si="1"/>
        <v>1300333</v>
      </c>
      <c r="M11" s="890">
        <f t="shared" si="2"/>
        <v>1300333</v>
      </c>
    </row>
    <row r="12" spans="2:13">
      <c r="B12" s="891">
        <v>7</v>
      </c>
      <c r="C12" s="892" t="s">
        <v>927</v>
      </c>
      <c r="D12" s="890">
        <v>181900</v>
      </c>
      <c r="E12" s="890">
        <v>25220</v>
      </c>
      <c r="F12" s="890"/>
      <c r="G12" s="890">
        <f>D12+E12-F12</f>
        <v>207120</v>
      </c>
      <c r="H12" s="890">
        <f>'AAM 13'!D28</f>
        <v>6069</v>
      </c>
      <c r="I12" s="890">
        <f t="shared" si="0"/>
        <v>175831</v>
      </c>
      <c r="J12" s="890">
        <f>'AAM 13'!E28</f>
        <v>28466</v>
      </c>
      <c r="K12" s="1346">
        <f>D12+E12-H12-J12-2</f>
        <v>172583</v>
      </c>
      <c r="L12" s="890">
        <f t="shared" si="1"/>
        <v>34535</v>
      </c>
      <c r="M12" s="890">
        <f t="shared" si="2"/>
        <v>28466</v>
      </c>
    </row>
    <row r="13" spans="2:13">
      <c r="B13" s="891"/>
      <c r="C13" s="892"/>
      <c r="D13" s="890"/>
      <c r="E13" s="890"/>
      <c r="F13" s="890"/>
      <c r="G13" s="890"/>
      <c r="H13" s="890"/>
      <c r="I13" s="890">
        <f>'AAM 13'!D43</f>
        <v>0</v>
      </c>
      <c r="J13" s="890"/>
      <c r="K13" s="1346"/>
      <c r="L13" s="890"/>
      <c r="M13" s="890"/>
    </row>
    <row r="14" spans="2:13" ht="15.75">
      <c r="B14" s="1341"/>
      <c r="C14" s="1342" t="s">
        <v>928</v>
      </c>
      <c r="D14" s="1343">
        <f>SUM(D6:D13)</f>
        <v>16841358.100000001</v>
      </c>
      <c r="E14" s="1343">
        <f>SUM(E6:E13)</f>
        <v>15011414</v>
      </c>
      <c r="F14" s="1344">
        <f>SUM(F6:F13)</f>
        <v>0</v>
      </c>
      <c r="G14" s="1343">
        <f>SUM(G7:G13)</f>
        <v>31852771.600000001</v>
      </c>
      <c r="H14" s="1343">
        <f>SUM(H6:H13)</f>
        <v>2153024</v>
      </c>
      <c r="I14" s="1343">
        <f>SUM(I6:I13)+1</f>
        <v>14688335.1</v>
      </c>
      <c r="J14" s="1343">
        <f>SUM(J6:J13)</f>
        <v>5435731</v>
      </c>
      <c r="K14" s="1345">
        <f>SUM(K7:K13)+3</f>
        <v>24264014.100000001</v>
      </c>
      <c r="L14" s="1345">
        <f>SUM(L6:L13)-1</f>
        <v>7588754</v>
      </c>
      <c r="M14" s="1343">
        <f>SUM(M6:M13)</f>
        <v>5435731</v>
      </c>
    </row>
    <row r="15" spans="2:13">
      <c r="I15" s="901"/>
      <c r="K15" s="1085"/>
      <c r="L15" s="894"/>
    </row>
    <row r="16" spans="2:13">
      <c r="K16" s="1082"/>
    </row>
    <row r="17" spans="2:13">
      <c r="K17" s="1082"/>
    </row>
    <row r="18" spans="2:13" ht="15.75">
      <c r="J18" s="1056" t="s">
        <v>929</v>
      </c>
      <c r="K18" s="1056"/>
      <c r="L18" s="1056"/>
    </row>
    <row r="19" spans="2:13">
      <c r="B19" s="1782" t="s">
        <v>930</v>
      </c>
      <c r="C19" s="1782"/>
      <c r="D19" s="1782"/>
      <c r="E19" s="1782"/>
      <c r="F19" s="1782"/>
      <c r="G19" s="1782"/>
      <c r="H19" s="1782"/>
      <c r="J19" s="1057" t="s">
        <v>931</v>
      </c>
      <c r="K19" s="1057"/>
      <c r="L19" s="1057"/>
    </row>
    <row r="22" spans="2:13">
      <c r="B22" s="880" t="s">
        <v>301</v>
      </c>
      <c r="F22" s="880" t="s">
        <v>1748</v>
      </c>
    </row>
    <row r="24" spans="2:13">
      <c r="B24" s="1660" t="s">
        <v>917</v>
      </c>
      <c r="C24" s="1660" t="s">
        <v>918</v>
      </c>
      <c r="D24" s="1660" t="s">
        <v>897</v>
      </c>
      <c r="E24" s="1660" t="s">
        <v>898</v>
      </c>
      <c r="F24" s="1660" t="s">
        <v>919</v>
      </c>
      <c r="G24" s="1660" t="s">
        <v>897</v>
      </c>
      <c r="H24" s="1660" t="s">
        <v>920</v>
      </c>
      <c r="I24" s="1660" t="s">
        <v>921</v>
      </c>
      <c r="J24" s="1660" t="s">
        <v>922</v>
      </c>
      <c r="K24" s="1660" t="s">
        <v>921</v>
      </c>
      <c r="L24" s="1660" t="s">
        <v>920</v>
      </c>
      <c r="M24" s="1660" t="s">
        <v>923</v>
      </c>
    </row>
    <row r="25" spans="2:13">
      <c r="B25" s="1660"/>
      <c r="C25" s="1660"/>
      <c r="D25" s="1660" t="s">
        <v>421</v>
      </c>
      <c r="E25" s="1660"/>
      <c r="F25" s="1660" t="s">
        <v>924</v>
      </c>
      <c r="G25" s="1660" t="s">
        <v>422</v>
      </c>
      <c r="H25" s="1660" t="s">
        <v>423</v>
      </c>
      <c r="I25" s="1660" t="s">
        <v>423</v>
      </c>
      <c r="J25" s="1660" t="s">
        <v>424</v>
      </c>
      <c r="K25" s="1660" t="s">
        <v>422</v>
      </c>
      <c r="L25" s="1660" t="s">
        <v>422</v>
      </c>
      <c r="M25" s="1660"/>
    </row>
    <row r="26" spans="2:13">
      <c r="B26" s="1660">
        <v>1</v>
      </c>
      <c r="C26" s="1660" t="s">
        <v>311</v>
      </c>
      <c r="D26" s="1661">
        <v>1378358</v>
      </c>
      <c r="E26" s="1661">
        <v>0</v>
      </c>
      <c r="F26" s="1661"/>
      <c r="G26" s="1661">
        <v>1378357.5</v>
      </c>
      <c r="H26" s="1661">
        <v>64220</v>
      </c>
      <c r="I26" s="1661">
        <v>1314138</v>
      </c>
      <c r="J26" s="1661">
        <v>197121</v>
      </c>
      <c r="K26" s="1661">
        <v>1117017</v>
      </c>
      <c r="L26" s="1661">
        <v>261341</v>
      </c>
      <c r="M26" s="1661">
        <v>197121</v>
      </c>
    </row>
    <row r="27" spans="2:13">
      <c r="B27" s="1660">
        <v>2</v>
      </c>
      <c r="C27" s="1660"/>
      <c r="D27" s="1661"/>
      <c r="E27" s="1661"/>
      <c r="F27" s="1661"/>
      <c r="G27" s="1661"/>
      <c r="H27" s="1661"/>
      <c r="I27" s="1661"/>
      <c r="J27" s="1661"/>
      <c r="K27" s="1661"/>
      <c r="L27" s="1661"/>
      <c r="M27" s="1661"/>
    </row>
    <row r="28" spans="2:13">
      <c r="B28" s="1660"/>
      <c r="C28" s="1660"/>
      <c r="D28" s="1661"/>
      <c r="E28" s="1661"/>
      <c r="F28" s="1661"/>
      <c r="G28" s="1661"/>
      <c r="H28" s="1661"/>
      <c r="I28" s="1661">
        <v>0</v>
      </c>
      <c r="J28" s="1661"/>
      <c r="K28" s="1661"/>
      <c r="L28" s="1661"/>
      <c r="M28" s="1661"/>
    </row>
    <row r="29" spans="2:13">
      <c r="B29" s="1662"/>
      <c r="C29" s="1662" t="s">
        <v>928</v>
      </c>
      <c r="D29" s="1663">
        <f>SUM(D26:D28)</f>
        <v>1378358</v>
      </c>
      <c r="E29" s="1663">
        <f t="shared" ref="E29:M29" si="3">SUM(E26:E28)</f>
        <v>0</v>
      </c>
      <c r="F29" s="1663">
        <f t="shared" si="3"/>
        <v>0</v>
      </c>
      <c r="G29" s="1663">
        <f t="shared" si="3"/>
        <v>1378357.5</v>
      </c>
      <c r="H29" s="1663">
        <f t="shared" si="3"/>
        <v>64220</v>
      </c>
      <c r="I29" s="1663">
        <f t="shared" si="3"/>
        <v>1314138</v>
      </c>
      <c r="J29" s="1663">
        <f t="shared" si="3"/>
        <v>197121</v>
      </c>
      <c r="K29" s="1663">
        <f t="shared" si="3"/>
        <v>1117017</v>
      </c>
      <c r="L29" s="1663">
        <f t="shared" si="3"/>
        <v>261341</v>
      </c>
      <c r="M29" s="1663">
        <f t="shared" si="3"/>
        <v>197121</v>
      </c>
    </row>
    <row r="33" spans="2:10">
      <c r="J33" s="880" t="s">
        <v>929</v>
      </c>
    </row>
    <row r="34" spans="2:10">
      <c r="B34" s="880" t="s">
        <v>930</v>
      </c>
      <c r="J34" s="880" t="s">
        <v>931</v>
      </c>
    </row>
  </sheetData>
  <mergeCells count="6">
    <mergeCell ref="B19:H19"/>
    <mergeCell ref="M4:M5"/>
    <mergeCell ref="F2:I2"/>
    <mergeCell ref="B4:B5"/>
    <mergeCell ref="C4:C5"/>
    <mergeCell ref="E4:E5"/>
  </mergeCells>
  <phoneticPr fontId="11" type="noConversion"/>
  <pageMargins left="0.25" right="0.18" top="0.75" bottom="0.75" header="0.3" footer="0.3"/>
  <pageSetup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CFF"/>
  </sheetPr>
  <dimension ref="B3:J21"/>
  <sheetViews>
    <sheetView showGridLines="0" workbookViewId="0">
      <selection activeCell="H13" sqref="H13:H16"/>
    </sheetView>
  </sheetViews>
  <sheetFormatPr defaultRowHeight="15"/>
  <cols>
    <col min="1" max="1" width="4.140625" style="860" customWidth="1"/>
    <col min="2" max="2" width="6.28515625" style="860" customWidth="1"/>
    <col min="3" max="3" width="20" style="860" customWidth="1"/>
    <col min="4" max="4" width="30.85546875" style="860" bestFit="1" customWidth="1"/>
    <col min="5" max="5" width="20.140625" style="860" customWidth="1"/>
    <col min="6" max="6" width="19.42578125" style="860" customWidth="1"/>
    <col min="7" max="7" width="16.85546875" style="860" customWidth="1"/>
    <col min="8" max="8" width="16.42578125" style="860" customWidth="1"/>
    <col min="9" max="9" width="11.5703125" style="860" bestFit="1" customWidth="1"/>
    <col min="10" max="10" width="9.140625" style="860"/>
    <col min="11" max="11" width="11.5703125" style="860" bestFit="1" customWidth="1"/>
    <col min="12" max="16384" width="9.140625" style="860"/>
  </cols>
  <sheetData>
    <row r="3" spans="2:9" s="858" customFormat="1" ht="15.75">
      <c r="B3" s="856" t="s">
        <v>341</v>
      </c>
      <c r="C3" s="857"/>
    </row>
    <row r="4" spans="2:9" s="858" customFormat="1" ht="15.75">
      <c r="B4" s="856" t="s">
        <v>905</v>
      </c>
      <c r="C4" s="859" t="s">
        <v>340</v>
      </c>
    </row>
    <row r="5" spans="2:9" s="858" customFormat="1" ht="15.75">
      <c r="B5" s="856" t="s">
        <v>906</v>
      </c>
      <c r="C5" s="1290">
        <v>696088833</v>
      </c>
    </row>
    <row r="7" spans="2:9" s="858" customFormat="1" ht="15.75">
      <c r="B7" s="1789" t="s">
        <v>907</v>
      </c>
      <c r="C7" s="1789"/>
      <c r="D7" s="1789"/>
      <c r="E7" s="1789"/>
      <c r="F7" s="1789"/>
      <c r="G7" s="1789"/>
      <c r="H7" s="1789"/>
    </row>
    <row r="8" spans="2:9">
      <c r="H8" s="861" t="s">
        <v>407</v>
      </c>
    </row>
    <row r="10" spans="2:9" ht="43.5" customHeight="1">
      <c r="B10" s="862" t="s">
        <v>1244</v>
      </c>
      <c r="C10" s="863" t="s">
        <v>908</v>
      </c>
      <c r="D10" s="863" t="s">
        <v>909</v>
      </c>
      <c r="E10" s="863" t="s">
        <v>910</v>
      </c>
      <c r="F10" s="863" t="s">
        <v>911</v>
      </c>
      <c r="G10" s="863" t="s">
        <v>912</v>
      </c>
      <c r="H10" s="863" t="s">
        <v>913</v>
      </c>
    </row>
    <row r="11" spans="2:9">
      <c r="B11" s="864">
        <v>1</v>
      </c>
      <c r="C11" s="865" t="s">
        <v>303</v>
      </c>
      <c r="D11" s="866" t="s">
        <v>304</v>
      </c>
      <c r="E11" s="867"/>
      <c r="F11" s="867"/>
      <c r="G11" s="867"/>
      <c r="H11" s="867">
        <v>-13122320.84</v>
      </c>
    </row>
    <row r="12" spans="2:9">
      <c r="B12" s="868">
        <v>2</v>
      </c>
      <c r="C12" s="865" t="s">
        <v>306</v>
      </c>
      <c r="D12" s="869">
        <v>37766535302</v>
      </c>
      <c r="E12" s="870">
        <v>-230844.72</v>
      </c>
      <c r="F12" s="870"/>
      <c r="G12" s="870"/>
      <c r="H12" s="871">
        <v>-32364429.739999998</v>
      </c>
    </row>
    <row r="13" spans="2:9">
      <c r="B13" s="868">
        <v>3</v>
      </c>
      <c r="C13" s="1075" t="s">
        <v>305</v>
      </c>
      <c r="D13" s="869">
        <v>420809</v>
      </c>
      <c r="E13" s="870"/>
      <c r="F13" s="870"/>
      <c r="G13" s="870"/>
      <c r="H13" s="871">
        <v>29990.75</v>
      </c>
    </row>
    <row r="14" spans="2:9">
      <c r="B14" s="868">
        <v>4</v>
      </c>
      <c r="C14" s="1075" t="s">
        <v>308</v>
      </c>
      <c r="D14" s="872" t="s">
        <v>307</v>
      </c>
      <c r="E14" s="870">
        <v>1349.17</v>
      </c>
      <c r="F14" s="873"/>
      <c r="G14" s="873"/>
      <c r="H14" s="874">
        <v>189153.63</v>
      </c>
      <c r="I14" s="878"/>
    </row>
    <row r="15" spans="2:9">
      <c r="B15" s="868">
        <v>5</v>
      </c>
      <c r="C15" s="1075" t="s">
        <v>408</v>
      </c>
      <c r="D15" s="872" t="s">
        <v>410</v>
      </c>
      <c r="E15" s="870"/>
      <c r="F15" s="873"/>
      <c r="G15" s="873"/>
      <c r="H15" s="874">
        <v>100548.34</v>
      </c>
      <c r="I15" s="878"/>
    </row>
    <row r="16" spans="2:9">
      <c r="B16" s="868">
        <v>6</v>
      </c>
      <c r="C16" s="1075" t="s">
        <v>409</v>
      </c>
      <c r="D16" s="872" t="s">
        <v>411</v>
      </c>
      <c r="E16" s="870"/>
      <c r="F16" s="873"/>
      <c r="G16" s="873"/>
      <c r="H16" s="874">
        <v>164614.39999999999</v>
      </c>
      <c r="I16" s="878"/>
    </row>
    <row r="17" spans="2:10">
      <c r="B17" s="875"/>
      <c r="C17" s="875"/>
      <c r="D17" s="875"/>
      <c r="E17" s="876" t="s">
        <v>914</v>
      </c>
      <c r="F17" s="876"/>
      <c r="G17" s="876"/>
      <c r="H17" s="877">
        <f>SUM(H11:H16)</f>
        <v>-45002443.459999993</v>
      </c>
      <c r="I17" s="1076"/>
      <c r="J17" s="878"/>
    </row>
    <row r="19" spans="2:10">
      <c r="E19" s="861" t="s">
        <v>915</v>
      </c>
      <c r="F19" s="861"/>
      <c r="G19" s="861"/>
    </row>
    <row r="20" spans="2:10">
      <c r="E20" s="880" t="s">
        <v>300</v>
      </c>
    </row>
    <row r="21" spans="2:10">
      <c r="E21" s="879" t="s">
        <v>916</v>
      </c>
      <c r="F21" s="879"/>
      <c r="G21" s="879"/>
    </row>
  </sheetData>
  <mergeCells count="1">
    <mergeCell ref="B7:H7"/>
  </mergeCells>
  <phoneticPr fontId="11" type="noConversion"/>
  <pageMargins left="0.53" right="0.7" top="0.75" bottom="0.75" header="0.3" footer="0.3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CCC"/>
  </sheetPr>
  <dimension ref="B2:F17"/>
  <sheetViews>
    <sheetView showGridLines="0" workbookViewId="0">
      <selection activeCell="E15" sqref="E15"/>
    </sheetView>
  </sheetViews>
  <sheetFormatPr defaultRowHeight="15"/>
  <cols>
    <col min="1" max="1" width="9.140625" style="880"/>
    <col min="2" max="2" width="7.140625" style="880" customWidth="1"/>
    <col min="3" max="3" width="16.28515625" style="880" customWidth="1"/>
    <col min="4" max="4" width="19" style="880" customWidth="1"/>
    <col min="5" max="5" width="17.42578125" style="880" customWidth="1"/>
    <col min="6" max="6" width="21.5703125" style="880" customWidth="1"/>
    <col min="7" max="16384" width="9.140625" style="880"/>
  </cols>
  <sheetData>
    <row r="2" spans="2:6" ht="15.75">
      <c r="B2" s="858"/>
    </row>
    <row r="3" spans="2:6" s="858" customFormat="1" ht="15.75">
      <c r="B3" s="856" t="s">
        <v>430</v>
      </c>
    </row>
    <row r="4" spans="2:6" s="858" customFormat="1" ht="15.75">
      <c r="B4" s="858" t="s">
        <v>316</v>
      </c>
    </row>
    <row r="5" spans="2:6" s="858" customFormat="1" ht="15.75"/>
    <row r="6" spans="2:6" s="858" customFormat="1" ht="15.75">
      <c r="B6" s="895" t="s">
        <v>1706</v>
      </c>
    </row>
    <row r="8" spans="2:6" s="856" customFormat="1" ht="15.75">
      <c r="B8" s="893" t="s">
        <v>932</v>
      </c>
      <c r="C8" s="893" t="s">
        <v>933</v>
      </c>
      <c r="D8" s="893" t="s">
        <v>934</v>
      </c>
      <c r="E8" s="893" t="s">
        <v>935</v>
      </c>
      <c r="F8" s="893" t="s">
        <v>936</v>
      </c>
    </row>
    <row r="9" spans="2:6">
      <c r="B9" s="887">
        <v>1</v>
      </c>
      <c r="C9" s="888" t="s">
        <v>429</v>
      </c>
      <c r="D9" s="887" t="s">
        <v>428</v>
      </c>
      <c r="E9" s="887" t="s">
        <v>1742</v>
      </c>
      <c r="F9" s="889">
        <f>'[4]ZENTR  MJET TRANSP 13'!$F$3</f>
        <v>998750</v>
      </c>
    </row>
    <row r="10" spans="2:6">
      <c r="B10" s="887">
        <v>2</v>
      </c>
      <c r="C10" s="888" t="s">
        <v>429</v>
      </c>
      <c r="D10" s="887" t="s">
        <v>428</v>
      </c>
      <c r="E10" s="887" t="s">
        <v>1743</v>
      </c>
      <c r="F10" s="889">
        <f>'[4]ZENTR  MJET TRANSP 13'!$F$3</f>
        <v>998750</v>
      </c>
    </row>
    <row r="11" spans="2:6">
      <c r="B11" s="887">
        <v>3</v>
      </c>
      <c r="C11" s="888" t="s">
        <v>429</v>
      </c>
      <c r="D11" s="887" t="s">
        <v>428</v>
      </c>
      <c r="E11" s="887" t="s">
        <v>1744</v>
      </c>
      <c r="F11" s="889">
        <f>'[4]ZENTR  MJET TRANSP 13'!$F$7</f>
        <v>1938750</v>
      </c>
    </row>
    <row r="12" spans="2:6">
      <c r="B12" s="887">
        <v>4</v>
      </c>
      <c r="C12" s="888" t="s">
        <v>429</v>
      </c>
      <c r="D12" s="887" t="s">
        <v>428</v>
      </c>
      <c r="E12" s="897" t="s">
        <v>1745</v>
      </c>
      <c r="F12" s="889">
        <f>'[4]ZENTR  MJET TRANSP 13'!$F$7</f>
        <v>1938750</v>
      </c>
    </row>
    <row r="13" spans="2:6">
      <c r="B13" s="887">
        <v>5</v>
      </c>
      <c r="C13" s="888" t="s">
        <v>429</v>
      </c>
      <c r="D13" s="887" t="s">
        <v>428</v>
      </c>
      <c r="E13" s="897" t="s">
        <v>1746</v>
      </c>
      <c r="F13" s="889">
        <f>'[4]ZENTR  MJET TRANSP 13'!$F$7</f>
        <v>1938750</v>
      </c>
    </row>
    <row r="14" spans="2:6">
      <c r="B14" s="887">
        <v>6</v>
      </c>
      <c r="C14" s="888" t="s">
        <v>429</v>
      </c>
      <c r="D14" s="887" t="s">
        <v>428</v>
      </c>
      <c r="E14" s="887" t="s">
        <v>1747</v>
      </c>
      <c r="F14" s="889">
        <f>'[4]ZENTR  MJET TRANSP 13'!$F$7</f>
        <v>1938750</v>
      </c>
    </row>
    <row r="15" spans="2:6" s="858" customFormat="1" ht="15.75">
      <c r="B15" s="898"/>
      <c r="C15" s="899" t="s">
        <v>914</v>
      </c>
      <c r="D15" s="898"/>
      <c r="E15" s="898"/>
      <c r="F15" s="900">
        <f>SUM(F9:F14)</f>
        <v>9752500</v>
      </c>
    </row>
    <row r="17" spans="6:6">
      <c r="F17" s="901"/>
    </row>
  </sheetData>
  <phoneticPr fontId="124" type="noConversion"/>
  <pageMargins left="0.37" right="0.27" top="0.75" bottom="0.75" header="0.3" footer="0.3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>
    <tabColor rgb="FF92D050"/>
  </sheetPr>
  <dimension ref="B2:F65"/>
  <sheetViews>
    <sheetView showGridLines="0" defaultGridColor="0" colorId="33" zoomScale="75" zoomScaleNormal="75" workbookViewId="0">
      <selection activeCell="J35" sqref="J35"/>
    </sheetView>
  </sheetViews>
  <sheetFormatPr defaultRowHeight="12.75" outlineLevelRow="1"/>
  <cols>
    <col min="1" max="1" width="2.85546875" style="73" customWidth="1"/>
    <col min="2" max="2" width="57.5703125" style="73" customWidth="1"/>
    <col min="3" max="3" width="4.140625" style="74" customWidth="1"/>
    <col min="4" max="4" width="19.5703125" style="144" customWidth="1"/>
    <col min="5" max="5" width="5" style="74" customWidth="1"/>
    <col min="6" max="6" width="18" style="144" customWidth="1"/>
    <col min="7" max="16384" width="9.140625" style="73"/>
  </cols>
  <sheetData>
    <row r="2" spans="2:6">
      <c r="B2" s="1087" t="s">
        <v>315</v>
      </c>
    </row>
    <row r="3" spans="2:6" ht="24.2" customHeight="1">
      <c r="B3" s="1088" t="s">
        <v>321</v>
      </c>
    </row>
    <row r="4" spans="2:6" ht="20.45" customHeight="1" thickBot="1">
      <c r="B4" s="529" t="s">
        <v>390</v>
      </c>
      <c r="C4" s="103"/>
      <c r="D4" s="103"/>
      <c r="E4" s="103"/>
      <c r="F4" s="103"/>
    </row>
    <row r="5" spans="2:6" ht="15.95" customHeight="1" thickBot="1">
      <c r="B5" s="145" t="s">
        <v>12</v>
      </c>
      <c r="C5" s="1790" t="s">
        <v>13</v>
      </c>
      <c r="D5" s="1791"/>
      <c r="E5" s="1792" t="s">
        <v>14</v>
      </c>
      <c r="F5" s="1793"/>
    </row>
    <row r="6" spans="2:6">
      <c r="B6" s="146" t="s">
        <v>15</v>
      </c>
      <c r="C6" s="147">
        <v>-1</v>
      </c>
      <c r="D6" s="148">
        <f>'P&amp;L13'!O36</f>
        <v>29489144.513987999</v>
      </c>
      <c r="E6" s="149">
        <v>-2</v>
      </c>
      <c r="F6" s="150">
        <f>+D6</f>
        <v>29489144.513987999</v>
      </c>
    </row>
    <row r="7" spans="2:6">
      <c r="B7" s="146" t="s">
        <v>16</v>
      </c>
      <c r="C7" s="151">
        <v>-3</v>
      </c>
      <c r="D7" s="152">
        <f>'P&amp;L13'!F36</f>
        <v>71314797.280000001</v>
      </c>
      <c r="E7" s="153">
        <v>-4</v>
      </c>
      <c r="F7" s="154">
        <f>+D7</f>
        <v>71314797.280000001</v>
      </c>
    </row>
    <row r="8" spans="2:6">
      <c r="B8" s="146" t="s">
        <v>17</v>
      </c>
      <c r="C8" s="155"/>
      <c r="D8" s="156"/>
      <c r="E8" s="153">
        <v>-5</v>
      </c>
      <c r="F8" s="154">
        <f>SUM(F9:F27)</f>
        <v>2310780.79</v>
      </c>
    </row>
    <row r="9" spans="2:6">
      <c r="B9" s="157" t="s">
        <v>18</v>
      </c>
      <c r="C9" s="155"/>
      <c r="D9" s="156"/>
      <c r="E9" s="153">
        <v>-6</v>
      </c>
      <c r="F9" s="154"/>
    </row>
    <row r="10" spans="2:6">
      <c r="B10" s="157" t="s">
        <v>19</v>
      </c>
      <c r="C10" s="155"/>
      <c r="D10" s="156"/>
      <c r="E10" s="153">
        <v>-7</v>
      </c>
      <c r="F10" s="154"/>
    </row>
    <row r="11" spans="2:6" ht="25.5">
      <c r="B11" s="157" t="s">
        <v>20</v>
      </c>
      <c r="C11" s="155"/>
      <c r="D11" s="156"/>
      <c r="E11" s="153">
        <v>-8</v>
      </c>
      <c r="F11" s="154"/>
    </row>
    <row r="12" spans="2:6">
      <c r="B12" s="157" t="s">
        <v>21</v>
      </c>
      <c r="C12" s="155"/>
      <c r="D12" s="156"/>
      <c r="E12" s="153">
        <v>-9</v>
      </c>
      <c r="F12" s="154"/>
    </row>
    <row r="13" spans="2:6">
      <c r="B13" s="157" t="s">
        <v>22</v>
      </c>
      <c r="C13" s="155"/>
      <c r="D13" s="156"/>
      <c r="E13" s="153">
        <v>-10</v>
      </c>
      <c r="F13" s="154"/>
    </row>
    <row r="14" spans="2:6">
      <c r="B14" s="157" t="s">
        <v>23</v>
      </c>
      <c r="C14" s="155"/>
      <c r="D14" s="156"/>
      <c r="E14" s="153">
        <v>-11</v>
      </c>
      <c r="F14" s="154"/>
    </row>
    <row r="15" spans="2:6" ht="25.5">
      <c r="B15" s="157" t="s">
        <v>24</v>
      </c>
      <c r="C15" s="155"/>
      <c r="D15" s="156"/>
      <c r="E15" s="153">
        <v>-12</v>
      </c>
      <c r="F15" s="154"/>
    </row>
    <row r="16" spans="2:6">
      <c r="B16" s="157" t="s">
        <v>25</v>
      </c>
      <c r="C16" s="155"/>
      <c r="D16" s="156"/>
      <c r="E16" s="153">
        <v>-13</v>
      </c>
      <c r="F16" s="154"/>
    </row>
    <row r="17" spans="2:6">
      <c r="B17" s="157" t="s">
        <v>26</v>
      </c>
      <c r="C17" s="155"/>
      <c r="D17" s="156"/>
      <c r="E17" s="153">
        <v>-14</v>
      </c>
      <c r="F17" s="154"/>
    </row>
    <row r="18" spans="2:6" ht="25.5">
      <c r="B18" s="157" t="s">
        <v>30</v>
      </c>
      <c r="C18" s="155"/>
      <c r="D18" s="156"/>
      <c r="E18" s="153">
        <v>-15</v>
      </c>
      <c r="F18" s="154"/>
    </row>
    <row r="19" spans="2:6">
      <c r="B19" s="157" t="s">
        <v>31</v>
      </c>
      <c r="C19" s="155"/>
      <c r="D19" s="156"/>
      <c r="E19" s="153">
        <v>-16</v>
      </c>
      <c r="F19" s="154"/>
    </row>
    <row r="20" spans="2:6">
      <c r="B20" s="157" t="s">
        <v>35</v>
      </c>
      <c r="C20" s="155"/>
      <c r="D20" s="156"/>
      <c r="E20" s="153">
        <v>-17</v>
      </c>
      <c r="F20" s="154"/>
    </row>
    <row r="21" spans="2:6">
      <c r="B21" s="157" t="s">
        <v>36</v>
      </c>
      <c r="C21" s="155"/>
      <c r="D21" s="156"/>
      <c r="E21" s="153">
        <v>-18</v>
      </c>
      <c r="F21" s="154"/>
    </row>
    <row r="22" spans="2:6">
      <c r="B22" s="157" t="s">
        <v>37</v>
      </c>
      <c r="C22" s="155"/>
      <c r="D22" s="156"/>
      <c r="E22" s="153">
        <v>-19</v>
      </c>
      <c r="F22" s="154"/>
    </row>
    <row r="23" spans="2:6">
      <c r="B23" s="157" t="s">
        <v>38</v>
      </c>
      <c r="C23" s="155"/>
      <c r="D23" s="156"/>
      <c r="E23" s="153">
        <v>-20</v>
      </c>
      <c r="F23" s="154">
        <f>'P&amp;L13'!F54</f>
        <v>2310780.79</v>
      </c>
    </row>
    <row r="24" spans="2:6" ht="25.5">
      <c r="B24" s="157" t="s">
        <v>39</v>
      </c>
      <c r="C24" s="155"/>
      <c r="D24" s="156"/>
      <c r="E24" s="153">
        <v>-21</v>
      </c>
      <c r="F24" s="154"/>
    </row>
    <row r="25" spans="2:6">
      <c r="B25" s="157" t="s">
        <v>40</v>
      </c>
      <c r="C25" s="155"/>
      <c r="D25" s="156"/>
      <c r="E25" s="153">
        <v>-22</v>
      </c>
      <c r="F25" s="154"/>
    </row>
    <row r="26" spans="2:6" ht="25.5">
      <c r="B26" s="157" t="s">
        <v>41</v>
      </c>
      <c r="C26" s="155"/>
      <c r="D26" s="156"/>
      <c r="E26" s="153">
        <v>-23</v>
      </c>
      <c r="F26" s="154"/>
    </row>
    <row r="27" spans="2:6" ht="13.5" thickBot="1">
      <c r="B27" s="158" t="s">
        <v>42</v>
      </c>
      <c r="C27" s="159"/>
      <c r="D27" s="160"/>
      <c r="E27" s="161">
        <v>-24</v>
      </c>
      <c r="F27" s="162"/>
    </row>
    <row r="28" spans="2:6" ht="13.5" thickBot="1">
      <c r="B28" s="163" t="s">
        <v>43</v>
      </c>
      <c r="C28" s="164"/>
      <c r="D28" s="165"/>
      <c r="E28" s="166"/>
      <c r="F28" s="167"/>
    </row>
    <row r="29" spans="2:6">
      <c r="B29" s="168" t="s">
        <v>44</v>
      </c>
      <c r="C29" s="169">
        <v>-25</v>
      </c>
      <c r="D29" s="152">
        <f>+D6-D7</f>
        <v>-41825652.766011998</v>
      </c>
      <c r="E29" s="171">
        <v>-26</v>
      </c>
      <c r="F29" s="179">
        <f>+F6-F7+F8</f>
        <v>-39514871.976011999</v>
      </c>
    </row>
    <row r="30" spans="2:6">
      <c r="B30" s="146" t="s">
        <v>45</v>
      </c>
      <c r="C30" s="151">
        <v>-27</v>
      </c>
      <c r="E30" s="153">
        <v>-28</v>
      </c>
      <c r="F30" s="1644"/>
    </row>
    <row r="31" spans="2:6">
      <c r="B31" s="157" t="s">
        <v>46</v>
      </c>
      <c r="C31" s="155"/>
      <c r="D31" s="156"/>
      <c r="E31" s="153">
        <v>-29</v>
      </c>
      <c r="F31" s="154">
        <f>'Shenime B_Sheet 13'!H220</f>
        <v>-28812979.633485988</v>
      </c>
    </row>
    <row r="32" spans="2:6">
      <c r="B32" s="157" t="s">
        <v>47</v>
      </c>
      <c r="C32" s="155"/>
      <c r="D32" s="156"/>
      <c r="E32" s="153">
        <v>-30</v>
      </c>
      <c r="F32" s="154"/>
    </row>
    <row r="33" spans="2:6">
      <c r="B33" s="157" t="s">
        <v>48</v>
      </c>
      <c r="C33" s="155"/>
      <c r="D33" s="156"/>
      <c r="E33" s="153">
        <v>-31</v>
      </c>
      <c r="F33" s="154"/>
    </row>
    <row r="34" spans="2:6">
      <c r="B34" s="146" t="s">
        <v>49</v>
      </c>
      <c r="C34" s="151">
        <v>-32</v>
      </c>
      <c r="D34" s="152"/>
      <c r="E34" s="153">
        <v>-33</v>
      </c>
      <c r="F34" s="154">
        <f>F29+F31</f>
        <v>-68327851.609497994</v>
      </c>
    </row>
    <row r="35" spans="2:6">
      <c r="B35" s="146" t="s">
        <v>50</v>
      </c>
      <c r="C35" s="172"/>
      <c r="D35" s="173"/>
      <c r="E35" s="174">
        <v>-34</v>
      </c>
      <c r="F35" s="154"/>
    </row>
    <row r="36" spans="2:6">
      <c r="B36" s="146" t="s">
        <v>51</v>
      </c>
      <c r="C36" s="155"/>
      <c r="D36" s="156"/>
      <c r="E36" s="153">
        <v>-35</v>
      </c>
      <c r="F36" s="1644"/>
    </row>
    <row r="37" spans="2:6">
      <c r="B37" s="146" t="s">
        <v>52</v>
      </c>
      <c r="C37" s="155"/>
      <c r="D37" s="156"/>
      <c r="E37" s="153">
        <v>-36</v>
      </c>
      <c r="F37" s="154">
        <f>'P&amp;L13'!$G$46</f>
        <v>0</v>
      </c>
    </row>
    <row r="38" spans="2:6">
      <c r="B38" s="146" t="s">
        <v>53</v>
      </c>
      <c r="C38" s="151">
        <v>-37</v>
      </c>
      <c r="D38" s="152"/>
      <c r="E38" s="153">
        <v>-38</v>
      </c>
      <c r="F38" s="154"/>
    </row>
    <row r="39" spans="2:6">
      <c r="B39" s="146" t="s">
        <v>54</v>
      </c>
      <c r="C39" s="172"/>
      <c r="D39" s="173"/>
      <c r="E39" s="153">
        <v>-39</v>
      </c>
      <c r="F39" s="154"/>
    </row>
    <row r="40" spans="2:6">
      <c r="B40" s="146" t="s">
        <v>55</v>
      </c>
      <c r="C40" s="172"/>
      <c r="D40" s="173"/>
      <c r="E40" s="153">
        <v>-40</v>
      </c>
      <c r="F40" s="154"/>
    </row>
    <row r="41" spans="2:6">
      <c r="B41" s="146" t="s">
        <v>56</v>
      </c>
      <c r="C41" s="172"/>
      <c r="D41" s="173"/>
      <c r="E41" s="153">
        <v>-41</v>
      </c>
      <c r="F41" s="154"/>
    </row>
    <row r="42" spans="2:6">
      <c r="B42" s="146" t="s">
        <v>57</v>
      </c>
      <c r="C42" s="172"/>
      <c r="D42" s="173"/>
      <c r="E42" s="153">
        <v>-42</v>
      </c>
      <c r="F42" s="154"/>
    </row>
    <row r="43" spans="2:6" ht="13.5" thickBot="1">
      <c r="B43" s="175" t="s">
        <v>58</v>
      </c>
      <c r="C43" s="159"/>
      <c r="D43" s="160"/>
      <c r="E43" s="161">
        <v>-43</v>
      </c>
      <c r="F43" s="176"/>
    </row>
    <row r="44" spans="2:6" ht="13.5" thickBot="1">
      <c r="B44" s="177" t="s">
        <v>65</v>
      </c>
      <c r="C44" s="177"/>
      <c r="D44" s="177"/>
      <c r="E44" s="177"/>
      <c r="F44" s="178"/>
    </row>
    <row r="45" spans="2:6">
      <c r="B45" s="168" t="s">
        <v>66</v>
      </c>
      <c r="C45" s="169">
        <v>-44</v>
      </c>
      <c r="D45" s="170">
        <f>SUM(D46:D49)</f>
        <v>5632852</v>
      </c>
      <c r="E45" s="171">
        <v>-45</v>
      </c>
      <c r="F45" s="179">
        <f>+D45</f>
        <v>5632852</v>
      </c>
    </row>
    <row r="46" spans="2:6">
      <c r="B46" s="157" t="s">
        <v>67</v>
      </c>
      <c r="C46" s="151">
        <v>-46</v>
      </c>
      <c r="D46" s="152">
        <f>'AAM 13'!E23+'AAM 13'!E24</f>
        <v>819310</v>
      </c>
      <c r="E46" s="153">
        <v>-47</v>
      </c>
      <c r="F46" s="154">
        <f>+D46</f>
        <v>819310</v>
      </c>
    </row>
    <row r="47" spans="2:6">
      <c r="B47" s="157" t="s">
        <v>68</v>
      </c>
      <c r="C47" s="151">
        <v>-48</v>
      </c>
      <c r="D47" s="152">
        <f>'AAJM 13'!E18</f>
        <v>197121</v>
      </c>
      <c r="E47" s="153">
        <v>-49</v>
      </c>
      <c r="F47" s="154">
        <f>+D47</f>
        <v>197121</v>
      </c>
    </row>
    <row r="48" spans="2:6">
      <c r="B48" s="157" t="s">
        <v>69</v>
      </c>
      <c r="C48" s="151">
        <v>-50</v>
      </c>
      <c r="D48" s="152">
        <f>'AAM 13'!E25</f>
        <v>2839620</v>
      </c>
      <c r="E48" s="153">
        <v>-51</v>
      </c>
      <c r="F48" s="154">
        <f>+D48</f>
        <v>2839620</v>
      </c>
    </row>
    <row r="49" spans="2:6">
      <c r="B49" s="157" t="s">
        <v>70</v>
      </c>
      <c r="C49" s="151">
        <v>-52</v>
      </c>
      <c r="D49" s="152">
        <f>'AAM 13'!E26+'AAM 13'!E27+'AAM 13'!E28</f>
        <v>1776801</v>
      </c>
      <c r="E49" s="153">
        <v>-53</v>
      </c>
      <c r="F49" s="154">
        <f>+D49</f>
        <v>1776801</v>
      </c>
    </row>
    <row r="50" spans="2:6" ht="13.5" thickBot="1">
      <c r="B50" s="175" t="s">
        <v>71</v>
      </c>
      <c r="C50" s="180"/>
      <c r="D50" s="181">
        <v>636443</v>
      </c>
      <c r="E50" s="182">
        <v>-54</v>
      </c>
      <c r="F50" s="183">
        <f>D50</f>
        <v>636443</v>
      </c>
    </row>
    <row r="60" spans="2:6" hidden="1" outlineLevel="1"/>
    <row r="61" spans="2:6" hidden="1" outlineLevel="1"/>
    <row r="62" spans="2:6" hidden="1" outlineLevel="1"/>
    <row r="63" spans="2:6" hidden="1" outlineLevel="1">
      <c r="C63" s="466" t="s">
        <v>109</v>
      </c>
      <c r="D63" s="465" t="e">
        <f>-#REF!-'Analitike 13'!D45</f>
        <v>#REF!</v>
      </c>
    </row>
    <row r="64" spans="2:6" hidden="1" outlineLevel="1"/>
    <row r="65" collapsed="1"/>
  </sheetData>
  <mergeCells count="2">
    <mergeCell ref="C5:D5"/>
    <mergeCell ref="E5:F5"/>
  </mergeCells>
  <phoneticPr fontId="58" type="noConversion"/>
  <pageMargins left="0.7" right="0" top="0.48" bottom="0.44" header="0.21" footer="0.23"/>
  <pageSetup scale="85" orientation="portrait" horizontalDpi="4294967295" r:id="rId1"/>
  <headerFooter alignWithMargins="0">
    <oddHeader>&amp;R&amp;P</oddHeader>
    <oddFooter>&amp;L&amp;D&amp;C&amp;F  &amp;A&amp;R&amp;T</oddFooter>
  </headerFooter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rgb="FFFFCCCC"/>
  </sheetPr>
  <dimension ref="A1:Q191"/>
  <sheetViews>
    <sheetView showGridLines="0" topLeftCell="A76" workbookViewId="0">
      <selection activeCell="I97" sqref="I97"/>
    </sheetView>
  </sheetViews>
  <sheetFormatPr defaultRowHeight="12.75"/>
  <cols>
    <col min="1" max="1" width="2.85546875" customWidth="1"/>
    <col min="3" max="3" width="11.28515625" customWidth="1"/>
    <col min="4" max="4" width="14.7109375" customWidth="1"/>
    <col min="5" max="5" width="12.7109375" customWidth="1"/>
    <col min="6" max="6" width="3.28515625" customWidth="1"/>
    <col min="7" max="7" width="7" customWidth="1"/>
    <col min="8" max="8" width="7.5703125" customWidth="1"/>
    <col min="9" max="9" width="14" style="1360" bestFit="1" customWidth="1"/>
    <col min="10" max="10" width="15.42578125" style="993" customWidth="1"/>
    <col min="11" max="11" width="14.5703125" hidden="1" customWidth="1"/>
    <col min="12" max="12" width="4.7109375" customWidth="1"/>
    <col min="13" max="13" width="12.7109375" bestFit="1" customWidth="1"/>
    <col min="17" max="17" width="53.42578125" customWidth="1"/>
  </cols>
  <sheetData>
    <row r="1" spans="1:17">
      <c r="A1" s="392"/>
      <c r="B1" s="388" t="s">
        <v>315</v>
      </c>
      <c r="C1" s="902"/>
      <c r="D1" s="902"/>
      <c r="E1" s="392"/>
      <c r="F1" s="392"/>
      <c r="G1" s="392"/>
      <c r="H1" s="392"/>
      <c r="I1" s="1348"/>
      <c r="J1" s="987"/>
      <c r="K1" s="392"/>
    </row>
    <row r="2" spans="1:17">
      <c r="A2" s="392"/>
      <c r="B2" s="388" t="s">
        <v>316</v>
      </c>
      <c r="C2" s="902"/>
      <c r="D2" s="902"/>
      <c r="E2" s="392"/>
      <c r="F2" s="392"/>
      <c r="G2" s="392"/>
      <c r="H2" s="392"/>
      <c r="I2" s="1348"/>
      <c r="J2" s="987"/>
      <c r="K2" s="392"/>
    </row>
    <row r="3" spans="1:17">
      <c r="A3" s="392"/>
      <c r="B3" s="388"/>
      <c r="C3" s="392"/>
      <c r="D3" s="392"/>
      <c r="E3" s="392"/>
      <c r="F3" s="392"/>
      <c r="G3" s="392"/>
      <c r="H3" s="392"/>
      <c r="I3" s="1348"/>
      <c r="J3" s="988" t="s">
        <v>937</v>
      </c>
      <c r="K3" s="392"/>
    </row>
    <row r="4" spans="1:17">
      <c r="A4" s="392"/>
      <c r="B4" s="388"/>
      <c r="C4" s="392"/>
      <c r="D4" s="392"/>
      <c r="E4" s="392"/>
      <c r="F4" s="392"/>
      <c r="G4" s="392"/>
      <c r="H4" s="392"/>
      <c r="I4" s="1348"/>
      <c r="J4" s="987"/>
      <c r="K4" s="392"/>
    </row>
    <row r="5" spans="1:17" ht="13.5" thickBot="1">
      <c r="A5" s="903"/>
      <c r="B5" s="903"/>
      <c r="C5" s="903"/>
      <c r="D5" s="903"/>
      <c r="E5" s="903"/>
      <c r="F5" s="903"/>
      <c r="G5" s="903"/>
      <c r="H5" s="903"/>
      <c r="I5" s="1349"/>
      <c r="J5" s="904" t="s">
        <v>317</v>
      </c>
      <c r="L5" s="835"/>
      <c r="M5" s="835"/>
      <c r="N5" s="835"/>
      <c r="O5" s="835"/>
      <c r="P5" s="835"/>
      <c r="Q5" s="835"/>
    </row>
    <row r="6" spans="1:17" ht="15.75" customHeight="1" thickBot="1">
      <c r="A6" s="1827" t="s">
        <v>938</v>
      </c>
      <c r="B6" s="1828"/>
      <c r="C6" s="1828"/>
      <c r="D6" s="1828"/>
      <c r="E6" s="1828"/>
      <c r="F6" s="1828"/>
      <c r="G6" s="1828"/>
      <c r="H6" s="1828"/>
      <c r="I6" s="1829"/>
      <c r="J6" s="1829"/>
      <c r="K6" s="1830"/>
      <c r="L6" s="905"/>
      <c r="M6" s="905"/>
      <c r="N6" s="905"/>
      <c r="O6" s="905"/>
      <c r="P6" s="905"/>
      <c r="Q6" s="905"/>
    </row>
    <row r="7" spans="1:17" ht="26.25" customHeight="1" thickBot="1">
      <c r="A7" s="919"/>
      <c r="B7" s="1794" t="s">
        <v>751</v>
      </c>
      <c r="C7" s="1794"/>
      <c r="D7" s="1794"/>
      <c r="E7" s="1794"/>
      <c r="F7" s="1795"/>
      <c r="G7" s="906" t="s">
        <v>939</v>
      </c>
      <c r="H7" s="1404" t="s">
        <v>940</v>
      </c>
      <c r="I7" s="1417" t="s">
        <v>426</v>
      </c>
      <c r="J7" s="1418" t="s">
        <v>314</v>
      </c>
      <c r="K7" s="1413" t="s">
        <v>314</v>
      </c>
    </row>
    <row r="8" spans="1:17" ht="16.5" customHeight="1">
      <c r="A8" s="907">
        <v>1</v>
      </c>
      <c r="B8" s="1796" t="s">
        <v>941</v>
      </c>
      <c r="C8" s="1797"/>
      <c r="D8" s="1797"/>
      <c r="E8" s="1797"/>
      <c r="F8" s="1797"/>
      <c r="G8" s="908">
        <v>70</v>
      </c>
      <c r="H8" s="1405">
        <v>11100</v>
      </c>
      <c r="I8" s="1419">
        <f>SUM(I9:I11)</f>
        <v>29489144.513987999</v>
      </c>
      <c r="J8" s="1420">
        <f>SUM(J9:J11)</f>
        <v>12821946.656514</v>
      </c>
      <c r="K8" s="1414">
        <f>'P&amp;L13'!H89</f>
        <v>541520</v>
      </c>
    </row>
    <row r="9" spans="1:17" ht="16.5" customHeight="1">
      <c r="A9" s="909" t="s">
        <v>1320</v>
      </c>
      <c r="B9" s="1798" t="s">
        <v>942</v>
      </c>
      <c r="C9" s="1798"/>
      <c r="D9" s="1798"/>
      <c r="E9" s="1798"/>
      <c r="F9" s="1799"/>
      <c r="G9" s="910" t="s">
        <v>943</v>
      </c>
      <c r="H9" s="1403">
        <v>11101</v>
      </c>
      <c r="I9" s="1423"/>
      <c r="J9" s="1422"/>
      <c r="K9" s="1415"/>
    </row>
    <row r="10" spans="1:17" ht="16.5" customHeight="1">
      <c r="A10" s="911" t="s">
        <v>944</v>
      </c>
      <c r="B10" s="1798" t="s">
        <v>945</v>
      </c>
      <c r="C10" s="1798"/>
      <c r="D10" s="1798"/>
      <c r="E10" s="1798"/>
      <c r="F10" s="1799"/>
      <c r="G10" s="910">
        <v>704</v>
      </c>
      <c r="H10" s="1403">
        <v>11102</v>
      </c>
      <c r="I10" s="1423">
        <f>'Analitike 13'!D6</f>
        <v>29489144.513987999</v>
      </c>
      <c r="J10" s="1424">
        <f>'P&amp;L13'!G89</f>
        <v>12821946.656514</v>
      </c>
      <c r="K10" s="1415">
        <v>541520</v>
      </c>
    </row>
    <row r="11" spans="1:17" ht="16.5" customHeight="1">
      <c r="A11" s="911" t="s">
        <v>946</v>
      </c>
      <c r="B11" s="1798" t="s">
        <v>947</v>
      </c>
      <c r="C11" s="1798"/>
      <c r="D11" s="1798"/>
      <c r="E11" s="1798"/>
      <c r="F11" s="1799"/>
      <c r="G11" s="912">
        <v>705</v>
      </c>
      <c r="H11" s="1403">
        <v>11103</v>
      </c>
      <c r="I11" s="1421"/>
      <c r="J11" s="1422"/>
      <c r="K11" s="1415"/>
    </row>
    <row r="12" spans="1:17" ht="16.5" customHeight="1">
      <c r="A12" s="913">
        <v>2</v>
      </c>
      <c r="B12" s="1800" t="s">
        <v>948</v>
      </c>
      <c r="C12" s="1800"/>
      <c r="D12" s="1800"/>
      <c r="E12" s="1800"/>
      <c r="F12" s="1801"/>
      <c r="G12" s="914">
        <v>708</v>
      </c>
      <c r="H12" s="1406">
        <v>11104</v>
      </c>
      <c r="I12" s="1425"/>
      <c r="J12" s="1422"/>
      <c r="K12" s="1415"/>
    </row>
    <row r="13" spans="1:17" ht="16.5" customHeight="1">
      <c r="A13" s="915" t="s">
        <v>1320</v>
      </c>
      <c r="B13" s="1798" t="s">
        <v>949</v>
      </c>
      <c r="C13" s="1798"/>
      <c r="D13" s="1798"/>
      <c r="E13" s="1798"/>
      <c r="F13" s="1799"/>
      <c r="G13" s="910">
        <v>7081</v>
      </c>
      <c r="H13" s="1407">
        <v>111041</v>
      </c>
      <c r="I13" s="1425"/>
      <c r="J13" s="1422"/>
      <c r="K13" s="1415"/>
    </row>
    <row r="14" spans="1:17" ht="16.5" customHeight="1">
      <c r="A14" s="915" t="s">
        <v>1321</v>
      </c>
      <c r="B14" s="1798" t="s">
        <v>950</v>
      </c>
      <c r="C14" s="1798"/>
      <c r="D14" s="1798"/>
      <c r="E14" s="1798"/>
      <c r="F14" s="1799"/>
      <c r="G14" s="910">
        <v>7082</v>
      </c>
      <c r="H14" s="1407">
        <v>111042</v>
      </c>
      <c r="I14" s="1425"/>
      <c r="J14" s="1422"/>
      <c r="K14" s="1415"/>
    </row>
    <row r="15" spans="1:17" ht="16.5" customHeight="1">
      <c r="A15" s="915" t="s">
        <v>1323</v>
      </c>
      <c r="B15" s="1798" t="s">
        <v>951</v>
      </c>
      <c r="C15" s="1798"/>
      <c r="D15" s="1798"/>
      <c r="E15" s="1798"/>
      <c r="F15" s="1799"/>
      <c r="G15" s="910">
        <v>7083</v>
      </c>
      <c r="H15" s="1407">
        <v>111043</v>
      </c>
      <c r="I15" s="1425"/>
      <c r="J15" s="1422"/>
      <c r="K15" s="1415"/>
    </row>
    <row r="16" spans="1:17" ht="29.25" customHeight="1">
      <c r="A16" s="916">
        <v>3</v>
      </c>
      <c r="B16" s="1800" t="s">
        <v>952</v>
      </c>
      <c r="C16" s="1800"/>
      <c r="D16" s="1800"/>
      <c r="E16" s="1800"/>
      <c r="F16" s="1801"/>
      <c r="G16" s="914">
        <v>71</v>
      </c>
      <c r="H16" s="1406">
        <v>11201</v>
      </c>
      <c r="I16" s="1425"/>
      <c r="J16" s="1422"/>
      <c r="K16" s="1415"/>
    </row>
    <row r="17" spans="1:11" ht="16.5" customHeight="1">
      <c r="A17" s="917"/>
      <c r="B17" s="1802" t="s">
        <v>953</v>
      </c>
      <c r="C17" s="1802"/>
      <c r="D17" s="1802"/>
      <c r="E17" s="1802"/>
      <c r="F17" s="1803"/>
      <c r="G17" s="918"/>
      <c r="H17" s="1403">
        <v>112011</v>
      </c>
      <c r="I17" s="1421"/>
      <c r="J17" s="1422"/>
      <c r="K17" s="1415"/>
    </row>
    <row r="18" spans="1:11" ht="16.5" customHeight="1">
      <c r="A18" s="917"/>
      <c r="B18" s="1802" t="s">
        <v>954</v>
      </c>
      <c r="C18" s="1802"/>
      <c r="D18" s="1802"/>
      <c r="E18" s="1802"/>
      <c r="F18" s="1803"/>
      <c r="G18" s="918"/>
      <c r="H18" s="1403">
        <v>112012</v>
      </c>
      <c r="I18" s="1421"/>
      <c r="J18" s="1422"/>
      <c r="K18" s="1415"/>
    </row>
    <row r="19" spans="1:11" ht="27.75" customHeight="1">
      <c r="A19" s="919">
        <v>4</v>
      </c>
      <c r="B19" s="1800" t="s">
        <v>955</v>
      </c>
      <c r="C19" s="1800"/>
      <c r="D19" s="1800"/>
      <c r="E19" s="1800"/>
      <c r="F19" s="1801"/>
      <c r="G19" s="920">
        <v>72</v>
      </c>
      <c r="H19" s="1408">
        <v>11300</v>
      </c>
      <c r="I19" s="1426"/>
      <c r="J19" s="1422"/>
      <c r="K19" s="1415"/>
    </row>
    <row r="20" spans="1:11" ht="16.5" customHeight="1">
      <c r="A20" s="911"/>
      <c r="B20" s="1808" t="s">
        <v>956</v>
      </c>
      <c r="C20" s="1809"/>
      <c r="D20" s="1809"/>
      <c r="E20" s="1809"/>
      <c r="F20" s="1809"/>
      <c r="G20" s="921"/>
      <c r="H20" s="1409">
        <v>11301</v>
      </c>
      <c r="I20" s="1427"/>
      <c r="J20" s="1422"/>
      <c r="K20" s="1415"/>
    </row>
    <row r="21" spans="1:11" ht="16.5" customHeight="1">
      <c r="A21" s="922">
        <v>5</v>
      </c>
      <c r="B21" s="1801" t="s">
        <v>957</v>
      </c>
      <c r="C21" s="1811"/>
      <c r="D21" s="1811"/>
      <c r="E21" s="1811"/>
      <c r="F21" s="1811"/>
      <c r="G21" s="923">
        <v>73</v>
      </c>
      <c r="H21" s="1410">
        <v>11400</v>
      </c>
      <c r="I21" s="1428"/>
      <c r="J21" s="1422"/>
      <c r="K21" s="1415"/>
    </row>
    <row r="22" spans="1:11" ht="16.5" customHeight="1">
      <c r="A22" s="924">
        <v>6</v>
      </c>
      <c r="B22" s="1801" t="s">
        <v>958</v>
      </c>
      <c r="C22" s="1811"/>
      <c r="D22" s="1811"/>
      <c r="E22" s="1811"/>
      <c r="F22" s="1811"/>
      <c r="G22" s="923">
        <v>75</v>
      </c>
      <c r="H22" s="1411">
        <v>11500</v>
      </c>
      <c r="I22" s="1429"/>
      <c r="J22" s="1424"/>
      <c r="K22" s="1415"/>
    </row>
    <row r="23" spans="1:11" ht="16.5" customHeight="1">
      <c r="A23" s="922">
        <v>7</v>
      </c>
      <c r="B23" s="1800" t="s">
        <v>967</v>
      </c>
      <c r="C23" s="1800"/>
      <c r="D23" s="1800"/>
      <c r="E23" s="1800"/>
      <c r="F23" s="1801"/>
      <c r="G23" s="914">
        <v>77</v>
      </c>
      <c r="H23" s="1402">
        <v>11600</v>
      </c>
      <c r="I23" s="1428"/>
      <c r="J23" s="1424"/>
      <c r="K23" s="1415"/>
    </row>
    <row r="24" spans="1:11" ht="16.5" customHeight="1" thickBot="1">
      <c r="A24" s="925" t="s">
        <v>968</v>
      </c>
      <c r="B24" s="1810" t="s">
        <v>969</v>
      </c>
      <c r="C24" s="1810"/>
      <c r="D24" s="1810"/>
      <c r="E24" s="1810"/>
      <c r="F24" s="1810"/>
      <c r="G24" s="926"/>
      <c r="H24" s="1412">
        <v>11800</v>
      </c>
      <c r="I24" s="1430">
        <f>I10</f>
        <v>29489144.513987999</v>
      </c>
      <c r="J24" s="1431">
        <f>J10</f>
        <v>12821946.656514</v>
      </c>
      <c r="K24" s="1416">
        <f>K8+K23</f>
        <v>541520</v>
      </c>
    </row>
    <row r="25" spans="1:11" ht="16.5" customHeight="1">
      <c r="A25" s="927"/>
      <c r="B25" s="928"/>
      <c r="C25" s="928"/>
      <c r="D25" s="928"/>
      <c r="E25" s="928"/>
      <c r="F25" s="928"/>
      <c r="G25" s="928"/>
      <c r="H25" s="928"/>
      <c r="I25" s="1664">
        <f>I24-'Analitike 13'!D6</f>
        <v>0</v>
      </c>
      <c r="J25" s="989"/>
      <c r="K25" s="929"/>
    </row>
    <row r="26" spans="1:11" ht="16.5" customHeight="1">
      <c r="A26" s="927"/>
      <c r="B26" s="928"/>
      <c r="C26" s="928"/>
      <c r="D26" s="928"/>
      <c r="E26" s="928"/>
      <c r="F26" s="928"/>
      <c r="G26" s="928"/>
      <c r="H26" s="928"/>
      <c r="I26" s="1350"/>
      <c r="J26" s="989"/>
      <c r="K26" s="929"/>
    </row>
    <row r="27" spans="1:11" ht="16.5" customHeight="1">
      <c r="A27" s="927"/>
      <c r="B27" s="928"/>
      <c r="C27" s="928"/>
      <c r="D27" s="928"/>
      <c r="E27" s="928"/>
      <c r="F27" s="928"/>
      <c r="G27" s="928"/>
      <c r="H27" s="928"/>
      <c r="I27" s="1350"/>
      <c r="J27" s="989"/>
      <c r="K27" s="929"/>
    </row>
    <row r="28" spans="1:11" ht="16.5" customHeight="1">
      <c r="A28" s="927"/>
      <c r="B28" s="928"/>
      <c r="C28" s="928"/>
      <c r="D28" s="928"/>
      <c r="E28" s="928"/>
      <c r="F28" s="928"/>
      <c r="G28" s="928"/>
      <c r="H28" s="928"/>
      <c r="I28" s="1350"/>
      <c r="J28" s="989" t="s">
        <v>904</v>
      </c>
      <c r="K28" s="929"/>
    </row>
    <row r="29" spans="1:11" ht="16.5" customHeight="1">
      <c r="A29" s="927"/>
      <c r="B29" s="928"/>
      <c r="C29" s="928"/>
      <c r="D29" s="928"/>
      <c r="E29" s="928"/>
      <c r="F29" s="928"/>
      <c r="G29" s="928"/>
      <c r="H29" s="928"/>
      <c r="I29" s="1350"/>
      <c r="J29" s="989" t="s">
        <v>300</v>
      </c>
      <c r="K29" s="929"/>
    </row>
    <row r="30" spans="1:11" ht="16.5" customHeight="1">
      <c r="A30" s="927"/>
      <c r="B30" s="928"/>
      <c r="C30" s="928"/>
      <c r="D30" s="928"/>
      <c r="E30" s="928"/>
      <c r="F30" s="928"/>
      <c r="G30" s="928"/>
      <c r="H30" s="928"/>
      <c r="I30" s="1350"/>
      <c r="J30" s="989"/>
      <c r="K30" s="929"/>
    </row>
    <row r="31" spans="1:11" ht="16.5" customHeight="1">
      <c r="A31" s="927"/>
      <c r="B31" s="928"/>
      <c r="C31" s="928"/>
      <c r="D31" s="928"/>
      <c r="E31" s="928"/>
      <c r="F31" s="928"/>
      <c r="G31" s="928"/>
      <c r="H31" s="928"/>
      <c r="I31" s="1350"/>
      <c r="J31" s="989"/>
      <c r="K31" s="929"/>
    </row>
    <row r="32" spans="1:11" ht="16.5" customHeight="1">
      <c r="A32" s="927"/>
      <c r="B32" s="928"/>
      <c r="C32" s="928"/>
      <c r="D32" s="928"/>
      <c r="E32" s="928"/>
      <c r="F32" s="928"/>
      <c r="G32" s="928"/>
      <c r="H32" s="928"/>
      <c r="I32" s="1350"/>
      <c r="J32" s="989"/>
      <c r="K32" s="929"/>
    </row>
    <row r="33" spans="1:11" ht="16.5" customHeight="1">
      <c r="A33" s="927"/>
      <c r="B33" s="928"/>
      <c r="C33" s="928"/>
      <c r="D33" s="928"/>
      <c r="E33" s="928"/>
      <c r="F33" s="928"/>
      <c r="G33" s="928"/>
      <c r="H33" s="928"/>
      <c r="I33" s="1350"/>
      <c r="J33" s="989"/>
      <c r="K33" s="929"/>
    </row>
    <row r="34" spans="1:11" ht="16.5" customHeight="1">
      <c r="A34" s="927"/>
      <c r="B34" s="928"/>
      <c r="C34" s="928"/>
      <c r="D34" s="928"/>
      <c r="E34" s="928"/>
      <c r="F34" s="928"/>
      <c r="G34" s="928"/>
      <c r="H34" s="928"/>
      <c r="I34" s="1350"/>
      <c r="J34" s="989"/>
      <c r="K34" s="929"/>
    </row>
    <row r="35" spans="1:11" ht="16.5" customHeight="1">
      <c r="A35" s="927"/>
      <c r="B35" s="928"/>
      <c r="C35" s="928"/>
      <c r="D35" s="928"/>
      <c r="E35" s="928"/>
      <c r="F35" s="928"/>
      <c r="G35" s="928"/>
      <c r="H35" s="928"/>
      <c r="I35" s="1350"/>
      <c r="J35" s="989"/>
      <c r="K35" s="929"/>
    </row>
    <row r="36" spans="1:11" ht="16.5" customHeight="1">
      <c r="A36" s="927"/>
      <c r="B36" s="928"/>
      <c r="C36" s="928"/>
      <c r="D36" s="928"/>
      <c r="E36" s="928"/>
      <c r="F36" s="928"/>
      <c r="G36" s="928"/>
      <c r="H36" s="928"/>
      <c r="I36" s="1350"/>
      <c r="J36" s="989"/>
      <c r="K36" s="929"/>
    </row>
    <row r="37" spans="1:11" ht="16.5" customHeight="1">
      <c r="A37" s="927"/>
      <c r="B37" s="928"/>
      <c r="C37" s="928"/>
      <c r="D37" s="928"/>
      <c r="E37" s="928"/>
      <c r="F37" s="928"/>
      <c r="G37" s="928"/>
      <c r="H37" s="928"/>
      <c r="I37" s="1350"/>
      <c r="J37" s="989"/>
      <c r="K37" s="929"/>
    </row>
    <row r="38" spans="1:11" ht="16.5" customHeight="1">
      <c r="A38" s="927"/>
      <c r="B38" s="928"/>
      <c r="C38" s="928"/>
      <c r="D38" s="928"/>
      <c r="E38" s="928"/>
      <c r="F38" s="928"/>
      <c r="G38" s="928"/>
      <c r="H38" s="928"/>
      <c r="I38" s="1350"/>
      <c r="J38" s="989"/>
      <c r="K38" s="929"/>
    </row>
    <row r="39" spans="1:11" ht="16.5" customHeight="1">
      <c r="A39" s="927"/>
      <c r="B39" s="928"/>
      <c r="C39" s="928"/>
      <c r="D39" s="928"/>
      <c r="E39" s="928"/>
      <c r="F39" s="928"/>
      <c r="G39" s="928"/>
      <c r="H39" s="928"/>
      <c r="I39" s="1350"/>
      <c r="J39" s="989"/>
      <c r="K39" s="929"/>
    </row>
    <row r="40" spans="1:11" ht="16.5" customHeight="1">
      <c r="A40" s="927"/>
      <c r="B40" s="928"/>
      <c r="C40" s="928"/>
      <c r="D40" s="928"/>
      <c r="E40" s="928"/>
      <c r="F40" s="928"/>
      <c r="G40" s="928"/>
      <c r="H40" s="928"/>
      <c r="I40" s="1350"/>
      <c r="J40" s="989"/>
      <c r="K40" s="929"/>
    </row>
    <row r="41" spans="1:11" ht="16.5" customHeight="1">
      <c r="A41" s="927"/>
      <c r="B41" s="928"/>
      <c r="C41" s="928"/>
      <c r="D41" s="928"/>
      <c r="E41" s="928"/>
      <c r="F41" s="928"/>
      <c r="G41" s="928"/>
      <c r="H41" s="928"/>
      <c r="I41" s="1350"/>
      <c r="J41" s="989"/>
      <c r="K41" s="929"/>
    </row>
    <row r="42" spans="1:11" ht="16.5" customHeight="1">
      <c r="A42" s="927"/>
      <c r="B42" s="928"/>
      <c r="C42" s="928"/>
      <c r="D42" s="928"/>
      <c r="E42" s="928"/>
      <c r="F42" s="928"/>
      <c r="G42" s="928"/>
      <c r="H42" s="928"/>
      <c r="I42" s="1350"/>
      <c r="J42" s="989"/>
      <c r="K42" s="929"/>
    </row>
    <row r="43" spans="1:11" ht="16.5" customHeight="1">
      <c r="A43" s="927"/>
      <c r="B43" s="928"/>
      <c r="C43" s="928"/>
      <c r="D43" s="928"/>
      <c r="E43" s="928"/>
      <c r="F43" s="928"/>
      <c r="G43" s="928"/>
      <c r="H43" s="928"/>
      <c r="I43" s="1350"/>
      <c r="J43" s="989"/>
      <c r="K43" s="929"/>
    </row>
    <row r="44" spans="1:11" ht="16.5" customHeight="1">
      <c r="A44" s="927"/>
      <c r="B44" s="928"/>
      <c r="C44" s="928"/>
      <c r="D44" s="928"/>
      <c r="E44" s="928"/>
      <c r="F44" s="928"/>
      <c r="G44" s="928"/>
      <c r="H44" s="928"/>
      <c r="I44" s="1350"/>
      <c r="J44" s="989"/>
      <c r="K44" s="929"/>
    </row>
    <row r="45" spans="1:11" ht="16.5" customHeight="1">
      <c r="A45" s="927"/>
      <c r="B45" s="928"/>
      <c r="C45" s="928"/>
      <c r="D45" s="928"/>
      <c r="E45" s="928"/>
      <c r="F45" s="928"/>
      <c r="G45" s="928"/>
      <c r="H45" s="928"/>
      <c r="I45" s="1350"/>
      <c r="J45" s="989"/>
      <c r="K45" s="929"/>
    </row>
    <row r="46" spans="1:11" ht="16.5" customHeight="1">
      <c r="A46" s="927"/>
      <c r="B46" s="928"/>
      <c r="C46" s="928"/>
      <c r="D46" s="928"/>
      <c r="E46" s="928"/>
      <c r="F46" s="928"/>
      <c r="G46" s="928"/>
      <c r="H46" s="928"/>
      <c r="I46" s="1350"/>
      <c r="J46" s="989"/>
      <c r="K46" s="929"/>
    </row>
    <row r="47" spans="1:11" ht="16.5" customHeight="1">
      <c r="A47" s="927"/>
      <c r="B47" s="928"/>
      <c r="C47" s="928"/>
      <c r="D47" s="928"/>
      <c r="E47" s="928"/>
      <c r="F47" s="928"/>
      <c r="G47" s="928"/>
      <c r="H47" s="928"/>
      <c r="I47" s="1350"/>
      <c r="J47" s="989"/>
      <c r="K47" s="929"/>
    </row>
    <row r="48" spans="1:11" ht="16.5" customHeight="1">
      <c r="A48" s="927"/>
      <c r="B48" s="928"/>
      <c r="C48" s="928"/>
      <c r="D48" s="928"/>
      <c r="E48" s="928"/>
      <c r="F48" s="928"/>
      <c r="G48" s="928"/>
      <c r="H48" s="928"/>
      <c r="I48" s="1350"/>
      <c r="J48" s="989"/>
      <c r="K48" s="929"/>
    </row>
    <row r="49" spans="1:17" ht="16.5" customHeight="1">
      <c r="A49" s="927"/>
      <c r="B49" s="928"/>
      <c r="C49" s="928"/>
      <c r="D49" s="928"/>
      <c r="E49" s="928"/>
      <c r="F49" s="928"/>
      <c r="G49" s="928"/>
      <c r="H49" s="928"/>
      <c r="I49" s="1350"/>
      <c r="J49" s="989"/>
      <c r="K49" s="929"/>
    </row>
    <row r="50" spans="1:17" ht="16.5" customHeight="1">
      <c r="A50" s="927"/>
      <c r="B50" s="928"/>
      <c r="C50" s="928"/>
      <c r="D50" s="928"/>
      <c r="E50" s="928"/>
      <c r="F50" s="928"/>
      <c r="G50" s="928"/>
      <c r="H50" s="928"/>
      <c r="I50" s="1350"/>
      <c r="J50" s="989"/>
      <c r="K50" s="929"/>
    </row>
    <row r="51" spans="1:17" ht="16.5" customHeight="1">
      <c r="A51" s="927"/>
      <c r="B51" s="928"/>
      <c r="C51" s="928"/>
      <c r="D51" s="928"/>
      <c r="E51" s="928"/>
      <c r="F51" s="928"/>
      <c r="G51" s="928"/>
      <c r="H51" s="928"/>
      <c r="I51" s="1350"/>
      <c r="J51" s="989"/>
      <c r="K51" s="929"/>
    </row>
    <row r="52" spans="1:17">
      <c r="A52" s="392"/>
      <c r="B52" s="832" t="s">
        <v>315</v>
      </c>
      <c r="C52" s="902"/>
      <c r="D52" s="902"/>
      <c r="E52" s="392"/>
      <c r="F52" s="392"/>
      <c r="G52" s="392"/>
      <c r="H52" s="392"/>
      <c r="I52" s="1348"/>
      <c r="J52" s="988" t="s">
        <v>970</v>
      </c>
      <c r="K52" s="392"/>
    </row>
    <row r="53" spans="1:17">
      <c r="A53" s="392"/>
      <c r="B53" s="832" t="s">
        <v>316</v>
      </c>
      <c r="C53" s="902"/>
      <c r="D53" s="902"/>
      <c r="E53" s="392"/>
      <c r="F53" s="392"/>
      <c r="G53" s="392"/>
      <c r="H53" s="392"/>
      <c r="I53" s="1348"/>
      <c r="J53" s="987"/>
      <c r="K53" s="392"/>
    </row>
    <row r="54" spans="1:17">
      <c r="A54" s="392"/>
      <c r="B54" s="388"/>
      <c r="C54" s="392"/>
      <c r="D54" s="392"/>
      <c r="E54" s="392"/>
      <c r="F54" s="392"/>
      <c r="G54" s="392"/>
      <c r="H54" s="392"/>
      <c r="I54" s="1348"/>
      <c r="K54" s="392"/>
    </row>
    <row r="55" spans="1:17" ht="12.75" customHeight="1">
      <c r="A55" s="903"/>
      <c r="B55" s="903"/>
      <c r="C55" s="903"/>
      <c r="D55" s="903"/>
      <c r="E55" s="903"/>
      <c r="F55" s="903"/>
      <c r="G55" s="903"/>
      <c r="H55" s="903"/>
      <c r="I55" s="1349"/>
      <c r="J55" s="904" t="s">
        <v>317</v>
      </c>
      <c r="L55" s="835"/>
      <c r="M55" s="835"/>
      <c r="N55" s="835"/>
      <c r="O55" s="835"/>
      <c r="P55" s="835"/>
      <c r="Q55" s="835"/>
    </row>
    <row r="56" spans="1:17">
      <c r="A56" s="1805" t="s">
        <v>938</v>
      </c>
      <c r="B56" s="1806"/>
      <c r="C56" s="1806"/>
      <c r="D56" s="1806"/>
      <c r="E56" s="1806"/>
      <c r="F56" s="1806"/>
      <c r="G56" s="1806"/>
      <c r="H56" s="1806"/>
      <c r="I56" s="1806"/>
      <c r="J56" s="1806"/>
      <c r="K56" s="1807"/>
    </row>
    <row r="57" spans="1:17" ht="24.75" customHeight="1" thickBot="1">
      <c r="A57" s="930"/>
      <c r="B57" s="1812" t="s">
        <v>971</v>
      </c>
      <c r="C57" s="1813"/>
      <c r="D57" s="1813"/>
      <c r="E57" s="1813"/>
      <c r="F57" s="1814"/>
      <c r="G57" s="931" t="s">
        <v>939</v>
      </c>
      <c r="H57" s="931" t="s">
        <v>940</v>
      </c>
      <c r="I57" s="1351" t="s">
        <v>426</v>
      </c>
      <c r="J57" s="990" t="s">
        <v>314</v>
      </c>
      <c r="K57" s="932" t="s">
        <v>314</v>
      </c>
    </row>
    <row r="58" spans="1:17" ht="16.5" customHeight="1">
      <c r="A58" s="933">
        <v>1</v>
      </c>
      <c r="B58" s="1815" t="s">
        <v>972</v>
      </c>
      <c r="C58" s="1816"/>
      <c r="D58" s="1816"/>
      <c r="E58" s="1816"/>
      <c r="F58" s="1816"/>
      <c r="G58" s="934">
        <v>60</v>
      </c>
      <c r="H58" s="934">
        <v>12100</v>
      </c>
      <c r="I58" s="1352"/>
      <c r="J58" s="935"/>
      <c r="K58" s="935"/>
    </row>
    <row r="59" spans="1:17" ht="16.5" customHeight="1">
      <c r="A59" s="936" t="s">
        <v>973</v>
      </c>
      <c r="B59" s="1804" t="s">
        <v>974</v>
      </c>
      <c r="C59" s="1804" t="s">
        <v>975</v>
      </c>
      <c r="D59" s="1804"/>
      <c r="E59" s="1804"/>
      <c r="F59" s="1804"/>
      <c r="G59" s="937" t="s">
        <v>976</v>
      </c>
      <c r="H59" s="937">
        <v>12101</v>
      </c>
      <c r="I59" s="1353"/>
      <c r="J59" s="938"/>
      <c r="K59" s="938"/>
    </row>
    <row r="60" spans="1:17" ht="12" customHeight="1">
      <c r="A60" s="936" t="s">
        <v>944</v>
      </c>
      <c r="B60" s="1804" t="s">
        <v>977</v>
      </c>
      <c r="C60" s="1804" t="s">
        <v>975</v>
      </c>
      <c r="D60" s="1804"/>
      <c r="E60" s="1804"/>
      <c r="F60" s="1804"/>
      <c r="G60" s="937"/>
      <c r="H60" s="939">
        <v>12102</v>
      </c>
      <c r="I60" s="1354"/>
      <c r="J60" s="938"/>
      <c r="K60" s="938"/>
    </row>
    <row r="61" spans="1:17" ht="16.5" customHeight="1">
      <c r="A61" s="936" t="s">
        <v>946</v>
      </c>
      <c r="B61" s="1804" t="s">
        <v>978</v>
      </c>
      <c r="C61" s="1804" t="s">
        <v>975</v>
      </c>
      <c r="D61" s="1804"/>
      <c r="E61" s="1804"/>
      <c r="F61" s="1804"/>
      <c r="G61" s="937" t="s">
        <v>979</v>
      </c>
      <c r="H61" s="937">
        <v>12103</v>
      </c>
      <c r="I61" s="1353"/>
      <c r="J61" s="938"/>
      <c r="K61" s="938"/>
    </row>
    <row r="62" spans="1:17" ht="16.5" customHeight="1">
      <c r="A62" s="936" t="s">
        <v>980</v>
      </c>
      <c r="B62" s="1820" t="s">
        <v>1018</v>
      </c>
      <c r="C62" s="1804" t="s">
        <v>975</v>
      </c>
      <c r="D62" s="1804"/>
      <c r="E62" s="1804"/>
      <c r="F62" s="1804"/>
      <c r="G62" s="937"/>
      <c r="H62" s="939">
        <v>12104</v>
      </c>
      <c r="I62" s="1354"/>
      <c r="J62" s="938"/>
      <c r="K62" s="938"/>
    </row>
    <row r="63" spans="1:17" ht="16.5" customHeight="1">
      <c r="A63" s="936" t="s">
        <v>981</v>
      </c>
      <c r="B63" s="1804" t="s">
        <v>982</v>
      </c>
      <c r="C63" s="1804" t="s">
        <v>975</v>
      </c>
      <c r="D63" s="1804"/>
      <c r="E63" s="1804"/>
      <c r="F63" s="1804"/>
      <c r="G63" s="937" t="s">
        <v>983</v>
      </c>
      <c r="H63" s="939">
        <v>12105</v>
      </c>
      <c r="I63" s="1354"/>
      <c r="J63" s="938"/>
      <c r="K63" s="938"/>
    </row>
    <row r="64" spans="1:17" ht="16.5" customHeight="1">
      <c r="A64" s="940">
        <v>2</v>
      </c>
      <c r="B64" s="1823" t="s">
        <v>984</v>
      </c>
      <c r="C64" s="1823"/>
      <c r="D64" s="1823"/>
      <c r="E64" s="1823"/>
      <c r="F64" s="1823"/>
      <c r="G64" s="941">
        <v>64</v>
      </c>
      <c r="H64" s="941">
        <v>12200</v>
      </c>
      <c r="I64" s="1355">
        <f>SUM(I65:I67)</f>
        <v>28677317</v>
      </c>
      <c r="J64" s="1089">
        <f>SUM(J65:J67)</f>
        <v>11353114</v>
      </c>
      <c r="K64" s="938">
        <f>SUM(K65:K66)</f>
        <v>0</v>
      </c>
    </row>
    <row r="65" spans="1:11" ht="16.5" customHeight="1">
      <c r="A65" s="942" t="s">
        <v>985</v>
      </c>
      <c r="B65" s="1823" t="s">
        <v>1019</v>
      </c>
      <c r="C65" s="1822"/>
      <c r="D65" s="1822"/>
      <c r="E65" s="1822"/>
      <c r="F65" s="1822"/>
      <c r="G65" s="939">
        <v>641</v>
      </c>
      <c r="H65" s="939">
        <v>12201</v>
      </c>
      <c r="I65" s="1646">
        <f>'PASH 13'!D39</f>
        <v>20290215</v>
      </c>
      <c r="J65" s="1090">
        <f>'PASH MC 12'!D36</f>
        <v>7984265</v>
      </c>
      <c r="K65" s="943"/>
    </row>
    <row r="66" spans="1:11" ht="16.5" customHeight="1">
      <c r="A66" s="942" t="s">
        <v>986</v>
      </c>
      <c r="B66" s="1822" t="s">
        <v>987</v>
      </c>
      <c r="C66" s="1822"/>
      <c r="D66" s="1822"/>
      <c r="E66" s="1822"/>
      <c r="F66" s="1822"/>
      <c r="G66" s="939">
        <v>644</v>
      </c>
      <c r="H66" s="939">
        <v>12202</v>
      </c>
      <c r="I66" s="1646">
        <f>'PASH 13'!D40</f>
        <v>3374813</v>
      </c>
      <c r="J66" s="1090">
        <f>'PASH MC 12'!D37</f>
        <v>1330859</v>
      </c>
      <c r="K66" s="943"/>
    </row>
    <row r="67" spans="1:11" ht="16.5" customHeight="1">
      <c r="A67" s="942" t="s">
        <v>318</v>
      </c>
      <c r="B67" s="1817" t="s">
        <v>319</v>
      </c>
      <c r="C67" s="1818"/>
      <c r="D67" s="1818"/>
      <c r="E67" s="1818"/>
      <c r="F67" s="1819"/>
      <c r="G67" s="939">
        <v>621</v>
      </c>
      <c r="H67" s="939"/>
      <c r="I67" s="1646">
        <f>'PASH 13'!D28+'PASH 13'!D41</f>
        <v>5012289</v>
      </c>
      <c r="J67" s="1090">
        <f>'PASH MC 12'!D26+'PASH MC 12'!D38</f>
        <v>2037990</v>
      </c>
      <c r="K67" s="943"/>
    </row>
    <row r="68" spans="1:11" ht="16.5" customHeight="1">
      <c r="A68" s="940">
        <v>3</v>
      </c>
      <c r="B68" s="1823" t="s">
        <v>988</v>
      </c>
      <c r="C68" s="1823"/>
      <c r="D68" s="1823"/>
      <c r="E68" s="1823"/>
      <c r="F68" s="1823"/>
      <c r="G68" s="941">
        <v>68</v>
      </c>
      <c r="H68" s="941">
        <v>12300</v>
      </c>
      <c r="I68" s="1647">
        <f>'PASH 13'!D53</f>
        <v>5632852</v>
      </c>
      <c r="J68" s="1089">
        <f>'PASH MC 12'!E48+'PASH MC 12'!E49</f>
        <v>2670946</v>
      </c>
      <c r="K68" s="938"/>
    </row>
    <row r="69" spans="1:11" ht="16.5" customHeight="1">
      <c r="A69" s="940">
        <v>4</v>
      </c>
      <c r="B69" s="1823" t="s">
        <v>989</v>
      </c>
      <c r="C69" s="1823"/>
      <c r="D69" s="1823"/>
      <c r="E69" s="1823"/>
      <c r="F69" s="1823"/>
      <c r="G69" s="941">
        <v>61</v>
      </c>
      <c r="H69" s="941">
        <v>12400</v>
      </c>
      <c r="I69" s="1648">
        <f>SUM(I70:I84)</f>
        <v>36979507.810000002</v>
      </c>
      <c r="J69" s="1089">
        <f>SUM(J70:J84)</f>
        <v>27667969.59</v>
      </c>
      <c r="K69" s="938">
        <f>SUM(K70:K84)</f>
        <v>0</v>
      </c>
    </row>
    <row r="70" spans="1:11" ht="16.5" customHeight="1">
      <c r="A70" s="942" t="s">
        <v>1320</v>
      </c>
      <c r="B70" s="1825" t="s">
        <v>990</v>
      </c>
      <c r="C70" s="1825"/>
      <c r="D70" s="1825"/>
      <c r="E70" s="1825"/>
      <c r="F70" s="1825"/>
      <c r="G70" s="937"/>
      <c r="H70" s="937">
        <v>12401</v>
      </c>
      <c r="I70" s="1353"/>
      <c r="J70" s="1090"/>
      <c r="K70" s="943"/>
    </row>
    <row r="71" spans="1:11" ht="16.5" customHeight="1">
      <c r="A71" s="942" t="s">
        <v>1321</v>
      </c>
      <c r="B71" s="1825" t="s">
        <v>991</v>
      </c>
      <c r="C71" s="1825"/>
      <c r="D71" s="1825"/>
      <c r="E71" s="1825"/>
      <c r="F71" s="1825"/>
      <c r="G71" s="943">
        <v>611</v>
      </c>
      <c r="H71" s="937">
        <v>12402</v>
      </c>
      <c r="I71" s="1645">
        <v>14393405</v>
      </c>
      <c r="J71" s="1090">
        <f>'PASH MC 12'!D56</f>
        <v>12626664.989999998</v>
      </c>
      <c r="K71" s="943"/>
    </row>
    <row r="72" spans="1:11" ht="16.5" customHeight="1">
      <c r="A72" s="942" t="s">
        <v>1323</v>
      </c>
      <c r="B72" s="1825" t="s">
        <v>1381</v>
      </c>
      <c r="C72" s="1825"/>
      <c r="D72" s="1825"/>
      <c r="E72" s="1825"/>
      <c r="F72" s="1825"/>
      <c r="G72" s="937">
        <v>613</v>
      </c>
      <c r="H72" s="937">
        <v>12403</v>
      </c>
      <c r="I72" s="1649">
        <f>'PASH 13'!D20+'PASH 13'!D21+'PASH 13'!D23</f>
        <v>1973986</v>
      </c>
      <c r="J72" s="1090">
        <f>'PASH MC 12'!D19+'PASH MC 12'!D21</f>
        <v>1096212</v>
      </c>
      <c r="K72" s="943"/>
    </row>
    <row r="73" spans="1:11" ht="16.5" customHeight="1">
      <c r="A73" s="942" t="s">
        <v>1324</v>
      </c>
      <c r="B73" s="1825" t="s">
        <v>992</v>
      </c>
      <c r="C73" s="1825"/>
      <c r="D73" s="1825"/>
      <c r="E73" s="1825"/>
      <c r="F73" s="1825"/>
      <c r="G73" s="943">
        <v>615</v>
      </c>
      <c r="H73" s="937">
        <v>12404</v>
      </c>
      <c r="I73" s="1649">
        <f>'PASH 13'!D24+'PASH 13'!D25+'PASH 13'!D26+'PASH 13'!D27+'PASH 13'!D49+'PASH 13'!D50+'PASH 13'!D46</f>
        <v>1766234.2400000002</v>
      </c>
      <c r="J73" s="1091">
        <f>'PASH MC 12'!D22+'PASH MC 12'!D23+'PASH MC 12'!D24+'PASH MC 12'!D46+'PASH MC 12'!D45+'PASH MC 12'!D44+'PASH MC 12'!D41</f>
        <v>1330807.43</v>
      </c>
      <c r="K73" s="939"/>
    </row>
    <row r="74" spans="1:11" ht="16.5" customHeight="1">
      <c r="A74" s="942" t="s">
        <v>1539</v>
      </c>
      <c r="B74" s="1825" t="s">
        <v>993</v>
      </c>
      <c r="C74" s="1825"/>
      <c r="D74" s="1825"/>
      <c r="E74" s="1825"/>
      <c r="F74" s="1825"/>
      <c r="G74" s="943">
        <v>616</v>
      </c>
      <c r="H74" s="937">
        <v>12405</v>
      </c>
      <c r="I74" s="1649">
        <f>'PASH 13'!D36+'PASH 13'!D37+'PASH 13'!D38</f>
        <v>1105597.1599999999</v>
      </c>
      <c r="J74" s="1090">
        <f>'PASH MC 12'!D33+'PASH MC 12'!D34+'PASH MC 12'!D35</f>
        <v>280955.46000000002</v>
      </c>
      <c r="K74" s="943"/>
    </row>
    <row r="75" spans="1:11" ht="16.5" customHeight="1">
      <c r="A75" s="942" t="s">
        <v>1271</v>
      </c>
      <c r="B75" s="1825" t="s">
        <v>994</v>
      </c>
      <c r="C75" s="1825"/>
      <c r="D75" s="1825"/>
      <c r="E75" s="1825"/>
      <c r="F75" s="1825"/>
      <c r="G75" s="943">
        <v>617</v>
      </c>
      <c r="H75" s="937">
        <v>12406</v>
      </c>
      <c r="I75" s="1353"/>
      <c r="J75" s="1090"/>
      <c r="K75" s="943"/>
    </row>
    <row r="76" spans="1:11" ht="16.5" customHeight="1">
      <c r="A76" s="942" t="s">
        <v>1272</v>
      </c>
      <c r="B76" s="1804" t="s">
        <v>995</v>
      </c>
      <c r="C76" s="1804" t="s">
        <v>975</v>
      </c>
      <c r="D76" s="1804"/>
      <c r="E76" s="1804"/>
      <c r="F76" s="1804"/>
      <c r="G76" s="943">
        <v>618</v>
      </c>
      <c r="H76" s="937">
        <v>12407</v>
      </c>
      <c r="I76" s="1353"/>
      <c r="J76" s="1090"/>
      <c r="K76" s="943"/>
    </row>
    <row r="77" spans="1:11" ht="16.5" customHeight="1">
      <c r="A77" s="942" t="s">
        <v>1691</v>
      </c>
      <c r="B77" s="1804" t="s">
        <v>996</v>
      </c>
      <c r="C77" s="1804"/>
      <c r="D77" s="1804"/>
      <c r="E77" s="1804"/>
      <c r="F77" s="1804"/>
      <c r="G77" s="943">
        <v>623</v>
      </c>
      <c r="H77" s="937">
        <v>12408</v>
      </c>
      <c r="I77" s="1649">
        <f>'PASH 13'!D29</f>
        <v>5000</v>
      </c>
      <c r="J77" s="1090"/>
      <c r="K77" s="943"/>
    </row>
    <row r="78" spans="1:11" ht="16.5" customHeight="1">
      <c r="A78" s="942" t="s">
        <v>1692</v>
      </c>
      <c r="B78" s="1804" t="s">
        <v>997</v>
      </c>
      <c r="C78" s="1804"/>
      <c r="D78" s="1804"/>
      <c r="E78" s="1804"/>
      <c r="F78" s="1804"/>
      <c r="G78" s="943">
        <v>624</v>
      </c>
      <c r="H78" s="937">
        <v>12409</v>
      </c>
      <c r="I78" s="1649">
        <f>'PASH 13'!D18</f>
        <v>12268080</v>
      </c>
      <c r="J78" s="1090">
        <f>'PASH MC 12'!D17+'PASH MC 12'!D18</f>
        <v>10276666.630000001</v>
      </c>
      <c r="K78" s="943"/>
    </row>
    <row r="79" spans="1:11" ht="16.5" customHeight="1">
      <c r="A79" s="942" t="s">
        <v>1406</v>
      </c>
      <c r="B79" s="1804" t="s">
        <v>998</v>
      </c>
      <c r="C79" s="1804"/>
      <c r="D79" s="1804"/>
      <c r="E79" s="1804"/>
      <c r="F79" s="1804"/>
      <c r="G79" s="943">
        <v>625</v>
      </c>
      <c r="H79" s="937">
        <v>12410</v>
      </c>
      <c r="I79" s="1649">
        <f>'PASH 13'!D30</f>
        <v>1873550</v>
      </c>
      <c r="J79" s="1090">
        <f>'PASH MC 12'!D27</f>
        <v>1007430</v>
      </c>
      <c r="K79" s="943"/>
    </row>
    <row r="80" spans="1:11" ht="16.5" customHeight="1">
      <c r="A80" s="942" t="s">
        <v>873</v>
      </c>
      <c r="B80" s="1804" t="s">
        <v>999</v>
      </c>
      <c r="C80" s="1804"/>
      <c r="D80" s="1804"/>
      <c r="E80" s="1804"/>
      <c r="F80" s="1804"/>
      <c r="G80" s="943">
        <v>626</v>
      </c>
      <c r="H80" s="937">
        <v>12411</v>
      </c>
      <c r="I80" s="1649">
        <f>'PASH 13'!D31</f>
        <v>3431409.5200000009</v>
      </c>
      <c r="J80" s="1090">
        <f>'PASH MC 12'!D28</f>
        <v>930602.16</v>
      </c>
      <c r="K80" s="943"/>
    </row>
    <row r="81" spans="1:14" ht="16.5" customHeight="1">
      <c r="A81" s="942" t="s">
        <v>874</v>
      </c>
      <c r="B81" s="1804" t="s">
        <v>1000</v>
      </c>
      <c r="C81" s="1804"/>
      <c r="D81" s="1804"/>
      <c r="E81" s="1804"/>
      <c r="F81" s="1804"/>
      <c r="G81" s="943">
        <v>627</v>
      </c>
      <c r="H81" s="937">
        <v>12412</v>
      </c>
      <c r="I81" s="1649"/>
      <c r="J81" s="1090"/>
      <c r="K81" s="943"/>
    </row>
    <row r="82" spans="1:14" ht="16.5" customHeight="1">
      <c r="A82" s="942"/>
      <c r="B82" s="1821" t="s">
        <v>1001</v>
      </c>
      <c r="C82" s="1821"/>
      <c r="D82" s="1821"/>
      <c r="E82" s="1821"/>
      <c r="F82" s="1821"/>
      <c r="G82" s="943">
        <v>6271</v>
      </c>
      <c r="H82" s="943">
        <v>124121</v>
      </c>
      <c r="I82" s="1356"/>
      <c r="J82" s="1090"/>
      <c r="K82" s="943"/>
    </row>
    <row r="83" spans="1:14" ht="16.5" customHeight="1">
      <c r="A83" s="942"/>
      <c r="B83" s="1821" t="s">
        <v>1002</v>
      </c>
      <c r="C83" s="1821"/>
      <c r="D83" s="1821"/>
      <c r="E83" s="1821"/>
      <c r="F83" s="1821"/>
      <c r="G83" s="943">
        <v>6272</v>
      </c>
      <c r="H83" s="943">
        <v>124122</v>
      </c>
      <c r="I83" s="1356"/>
      <c r="J83" s="1090"/>
      <c r="K83" s="943"/>
    </row>
    <row r="84" spans="1:14" ht="16.5" customHeight="1">
      <c r="A84" s="942" t="s">
        <v>875</v>
      </c>
      <c r="B84" s="1804" t="s">
        <v>1003</v>
      </c>
      <c r="C84" s="1804"/>
      <c r="D84" s="1804"/>
      <c r="E84" s="1804"/>
      <c r="F84" s="1804"/>
      <c r="G84" s="943">
        <v>628</v>
      </c>
      <c r="H84" s="943">
        <v>12413</v>
      </c>
      <c r="I84" s="1650">
        <f>'PASH 13'!D33</f>
        <v>162245.89000000001</v>
      </c>
      <c r="J84" s="1090">
        <f>'PASH MC 12'!D29</f>
        <v>118630.92000000004</v>
      </c>
      <c r="K84" s="943"/>
    </row>
    <row r="85" spans="1:14" ht="16.5" customHeight="1">
      <c r="A85" s="940">
        <v>5</v>
      </c>
      <c r="B85" s="1820" t="s">
        <v>1004</v>
      </c>
      <c r="C85" s="1804"/>
      <c r="D85" s="1804"/>
      <c r="E85" s="1804"/>
      <c r="F85" s="1804"/>
      <c r="G85" s="938">
        <v>63</v>
      </c>
      <c r="H85" s="938">
        <v>12500</v>
      </c>
      <c r="I85" s="1089">
        <f>SUM(I86:I89)</f>
        <v>25120</v>
      </c>
      <c r="J85" s="1089">
        <f>SUM(J86:J89)</f>
        <v>53224.99</v>
      </c>
      <c r="K85" s="938">
        <f>SUM(K86:K89)</f>
        <v>0</v>
      </c>
    </row>
    <row r="86" spans="1:14" ht="16.5" customHeight="1">
      <c r="A86" s="942" t="s">
        <v>1320</v>
      </c>
      <c r="B86" s="1804" t="s">
        <v>1005</v>
      </c>
      <c r="C86" s="1804"/>
      <c r="D86" s="1804"/>
      <c r="E86" s="1804"/>
      <c r="F86" s="1804"/>
      <c r="G86" s="943">
        <v>632</v>
      </c>
      <c r="H86" s="943">
        <v>12501</v>
      </c>
      <c r="I86" s="1356"/>
      <c r="J86" s="1089"/>
      <c r="K86" s="938"/>
    </row>
    <row r="87" spans="1:14" ht="16.5" customHeight="1">
      <c r="A87" s="942" t="s">
        <v>1321</v>
      </c>
      <c r="B87" s="1804" t="s">
        <v>1006</v>
      </c>
      <c r="C87" s="1804"/>
      <c r="D87" s="1804"/>
      <c r="E87" s="1804"/>
      <c r="F87" s="1804"/>
      <c r="G87" s="943">
        <v>633</v>
      </c>
      <c r="H87" s="943">
        <v>12502</v>
      </c>
      <c r="I87" s="1356"/>
      <c r="J87" s="1089"/>
      <c r="K87" s="938"/>
    </row>
    <row r="88" spans="1:14" ht="16.5" customHeight="1">
      <c r="A88" s="942" t="s">
        <v>1323</v>
      </c>
      <c r="B88" s="1804" t="s">
        <v>787</v>
      </c>
      <c r="C88" s="1804"/>
      <c r="D88" s="1804"/>
      <c r="E88" s="1804"/>
      <c r="F88" s="1804"/>
      <c r="G88" s="943">
        <v>634</v>
      </c>
      <c r="H88" s="943">
        <v>12503</v>
      </c>
      <c r="I88" s="1361">
        <f>'PASH 13'!D35</f>
        <v>25120</v>
      </c>
      <c r="J88" s="1090">
        <f>'PASH MC 12'!D32</f>
        <v>53224.99</v>
      </c>
      <c r="K88" s="943"/>
    </row>
    <row r="89" spans="1:14" ht="16.5" customHeight="1">
      <c r="A89" s="942" t="s">
        <v>1324</v>
      </c>
      <c r="B89" s="1804" t="s">
        <v>1007</v>
      </c>
      <c r="C89" s="1804"/>
      <c r="D89" s="1804"/>
      <c r="E89" s="1804"/>
      <c r="F89" s="1804"/>
      <c r="G89" s="943" t="s">
        <v>1008</v>
      </c>
      <c r="H89" s="943">
        <v>12504</v>
      </c>
      <c r="I89" s="1356"/>
      <c r="J89" s="1089"/>
      <c r="K89" s="938"/>
    </row>
    <row r="90" spans="1:14" ht="12.75" customHeight="1">
      <c r="A90" s="940" t="s">
        <v>1009</v>
      </c>
      <c r="B90" s="1823" t="s">
        <v>1010</v>
      </c>
      <c r="C90" s="1823"/>
      <c r="D90" s="1823"/>
      <c r="E90" s="1823"/>
      <c r="F90" s="1823"/>
      <c r="G90" s="943"/>
      <c r="H90" s="943">
        <v>12600</v>
      </c>
      <c r="I90" s="1089">
        <f>I64+I68+I69+I85</f>
        <v>71314796.810000002</v>
      </c>
      <c r="J90" s="1089">
        <f>J64+J68+J69+J85</f>
        <v>41745254.580000006</v>
      </c>
      <c r="K90" s="938">
        <f>K64+K68+K69+K85</f>
        <v>0</v>
      </c>
      <c r="M90" s="1086"/>
      <c r="N90" s="1086"/>
    </row>
    <row r="91" spans="1:14" ht="12.75" customHeight="1">
      <c r="A91" s="1665"/>
      <c r="B91" s="1666"/>
      <c r="C91" s="1666"/>
      <c r="D91" s="1666"/>
      <c r="E91" s="1666"/>
      <c r="F91" s="1666"/>
      <c r="G91" s="1667"/>
      <c r="H91" s="1667"/>
      <c r="I91" s="1668">
        <f>I90-'Analitike 13'!D7</f>
        <v>-0.4699999988079071</v>
      </c>
      <c r="J91" s="1669"/>
      <c r="K91" s="1670"/>
      <c r="M91" s="1086"/>
      <c r="N91" s="1086"/>
    </row>
    <row r="92" spans="1:14" ht="16.5" customHeight="1">
      <c r="A92" s="944"/>
      <c r="B92" s="945" t="s">
        <v>1011</v>
      </c>
      <c r="C92" s="946"/>
      <c r="D92" s="946"/>
      <c r="E92" s="946"/>
      <c r="F92" s="946"/>
      <c r="G92" s="946"/>
      <c r="H92" s="946"/>
      <c r="I92" s="1357"/>
      <c r="J92" s="947" t="s">
        <v>314</v>
      </c>
      <c r="K92" s="947" t="s">
        <v>314</v>
      </c>
    </row>
    <row r="93" spans="1:14" ht="16.5" customHeight="1">
      <c r="A93" s="948">
        <v>1</v>
      </c>
      <c r="B93" s="1831" t="s">
        <v>1012</v>
      </c>
      <c r="C93" s="1831"/>
      <c r="D93" s="1831"/>
      <c r="E93" s="1831"/>
      <c r="F93" s="1831"/>
      <c r="G93" s="938"/>
      <c r="H93" s="938">
        <v>14000</v>
      </c>
      <c r="I93" s="1347">
        <v>45</v>
      </c>
      <c r="J93" s="1347">
        <v>35</v>
      </c>
      <c r="K93" s="938">
        <v>1.5</v>
      </c>
    </row>
    <row r="94" spans="1:14" ht="16.5" customHeight="1">
      <c r="A94" s="948">
        <v>2</v>
      </c>
      <c r="B94" s="1831" t="s">
        <v>1013</v>
      </c>
      <c r="C94" s="1831"/>
      <c r="D94" s="1831"/>
      <c r="E94" s="1831"/>
      <c r="F94" s="1831"/>
      <c r="G94" s="938"/>
      <c r="H94" s="938">
        <v>15000</v>
      </c>
      <c r="I94" s="1347"/>
      <c r="J94" s="938"/>
      <c r="K94" s="938"/>
    </row>
    <row r="95" spans="1:14" ht="16.5" customHeight="1">
      <c r="A95" s="949" t="s">
        <v>1320</v>
      </c>
      <c r="B95" s="1825" t="s">
        <v>1014</v>
      </c>
      <c r="C95" s="1825"/>
      <c r="D95" s="1825"/>
      <c r="E95" s="1825"/>
      <c r="F95" s="1825"/>
      <c r="G95" s="938"/>
      <c r="H95" s="943">
        <v>15001</v>
      </c>
      <c r="I95" s="1356"/>
      <c r="J95" s="938"/>
      <c r="K95" s="938"/>
    </row>
    <row r="96" spans="1:14" ht="16.5" customHeight="1">
      <c r="A96" s="949"/>
      <c r="B96" s="1824" t="s">
        <v>1015</v>
      </c>
      <c r="C96" s="1824"/>
      <c r="D96" s="1824"/>
      <c r="E96" s="1824"/>
      <c r="F96" s="1824"/>
      <c r="G96" s="938"/>
      <c r="H96" s="943">
        <v>150011</v>
      </c>
      <c r="I96" s="1671">
        <f>'AAM 13'!E15</f>
        <v>15011414</v>
      </c>
      <c r="J96" s="938"/>
      <c r="K96" s="938"/>
    </row>
    <row r="97" spans="1:11" ht="16.5" customHeight="1">
      <c r="A97" s="950" t="s">
        <v>1321</v>
      </c>
      <c r="B97" s="1825" t="s">
        <v>1016</v>
      </c>
      <c r="C97" s="1825"/>
      <c r="D97" s="1825"/>
      <c r="E97" s="1825"/>
      <c r="F97" s="1825"/>
      <c r="G97" s="938"/>
      <c r="H97" s="943">
        <v>15002</v>
      </c>
      <c r="I97" s="1356"/>
      <c r="J97" s="938"/>
      <c r="K97" s="938"/>
    </row>
    <row r="98" spans="1:11" ht="13.5" thickBot="1">
      <c r="A98" s="951"/>
      <c r="B98" s="1826" t="s">
        <v>1017</v>
      </c>
      <c r="C98" s="1826"/>
      <c r="D98" s="1826"/>
      <c r="E98" s="1826"/>
      <c r="F98" s="1826"/>
      <c r="G98" s="952"/>
      <c r="H98" s="953">
        <v>150021</v>
      </c>
      <c r="I98" s="1358"/>
      <c r="J98" s="952"/>
      <c r="K98" s="952"/>
    </row>
    <row r="99" spans="1:11" ht="18.75" customHeight="1">
      <c r="A99" s="839"/>
      <c r="B99" s="839"/>
      <c r="C99" s="839"/>
      <c r="D99" s="839"/>
      <c r="E99" s="839"/>
      <c r="F99" s="839"/>
      <c r="G99" s="839"/>
      <c r="H99" s="839"/>
      <c r="I99" s="1359"/>
      <c r="J99" s="991" t="s">
        <v>904</v>
      </c>
      <c r="K99" s="954"/>
    </row>
    <row r="100" spans="1:11" ht="15.75">
      <c r="A100" s="392"/>
      <c r="B100" s="392"/>
      <c r="C100" s="392"/>
      <c r="D100" s="392"/>
      <c r="E100" s="392"/>
      <c r="F100" s="392"/>
      <c r="G100" s="392"/>
      <c r="H100" s="392"/>
      <c r="I100" s="1348"/>
      <c r="J100" s="992" t="s">
        <v>320</v>
      </c>
      <c r="K100" s="955"/>
    </row>
    <row r="101" spans="1:11">
      <c r="A101" s="392"/>
      <c r="B101" s="392"/>
      <c r="C101" s="392"/>
      <c r="D101" s="392"/>
      <c r="E101" s="392"/>
      <c r="F101" s="392"/>
      <c r="G101" s="392"/>
      <c r="H101" s="392"/>
      <c r="I101" s="1348"/>
      <c r="J101" s="987"/>
      <c r="K101" s="392"/>
    </row>
    <row r="102" spans="1:11" ht="15.75">
      <c r="A102" s="392"/>
      <c r="B102" s="392"/>
      <c r="C102" s="392"/>
      <c r="D102" s="392"/>
      <c r="E102" s="392"/>
      <c r="F102" s="392"/>
      <c r="G102" s="392"/>
      <c r="H102" s="392"/>
      <c r="I102" s="1348"/>
      <c r="J102" s="987"/>
      <c r="K102" s="955"/>
    </row>
    <row r="103" spans="1:11" ht="15.75">
      <c r="A103" s="392"/>
      <c r="B103" s="392"/>
      <c r="C103" s="392"/>
      <c r="D103" s="392"/>
      <c r="E103" s="392"/>
      <c r="F103" s="392"/>
      <c r="G103" s="392"/>
      <c r="H103" s="392"/>
      <c r="I103" s="1348"/>
      <c r="J103" s="987"/>
      <c r="K103" s="955"/>
    </row>
    <row r="104" spans="1:11" ht="15.75">
      <c r="A104" s="392"/>
      <c r="B104" s="956"/>
      <c r="C104" s="392"/>
      <c r="D104" s="392"/>
      <c r="E104" s="392"/>
      <c r="F104" s="392"/>
      <c r="G104" s="392"/>
      <c r="H104" s="392"/>
      <c r="I104" s="1348"/>
      <c r="J104" s="987"/>
      <c r="K104" s="955"/>
    </row>
    <row r="105" spans="1:11">
      <c r="A105" s="392"/>
      <c r="B105" s="956"/>
      <c r="C105" s="392"/>
      <c r="D105" s="392"/>
      <c r="E105" s="392"/>
      <c r="F105" s="392"/>
      <c r="G105" s="392"/>
      <c r="H105" s="392"/>
      <c r="I105" s="1348"/>
      <c r="J105" s="987"/>
      <c r="K105" s="392"/>
    </row>
    <row r="106" spans="1:11">
      <c r="A106" s="392"/>
      <c r="B106" s="956"/>
      <c r="C106" s="392"/>
      <c r="D106" s="392"/>
      <c r="E106" s="392"/>
      <c r="F106" s="392"/>
      <c r="G106" s="392"/>
      <c r="H106" s="392"/>
      <c r="I106" s="1348"/>
      <c r="J106" s="987"/>
      <c r="K106" s="392"/>
    </row>
    <row r="107" spans="1:11">
      <c r="A107" s="392"/>
      <c r="B107" s="956"/>
      <c r="C107" s="392"/>
      <c r="D107" s="392"/>
      <c r="E107" s="392"/>
      <c r="F107" s="392"/>
      <c r="G107" s="392"/>
      <c r="H107" s="392"/>
      <c r="I107" s="1348"/>
      <c r="J107" s="987"/>
      <c r="K107" s="392"/>
    </row>
    <row r="108" spans="1:11">
      <c r="A108" s="392"/>
      <c r="B108" s="392"/>
      <c r="C108" s="392"/>
      <c r="D108" s="392"/>
      <c r="E108" s="392"/>
      <c r="F108" s="392"/>
      <c r="G108" s="392"/>
      <c r="H108" s="392"/>
      <c r="I108" s="1348"/>
      <c r="J108" s="987"/>
      <c r="K108" s="392"/>
    </row>
    <row r="109" spans="1:11">
      <c r="A109" s="392"/>
      <c r="B109" s="392"/>
      <c r="C109" s="392"/>
      <c r="D109" s="392"/>
      <c r="E109" s="392"/>
      <c r="F109" s="392"/>
      <c r="G109" s="392"/>
      <c r="H109" s="392"/>
      <c r="I109" s="1348"/>
      <c r="J109" s="987"/>
      <c r="K109" s="392"/>
    </row>
    <row r="110" spans="1:11">
      <c r="A110" s="392"/>
      <c r="B110" s="392"/>
      <c r="C110" s="392"/>
      <c r="D110" s="392"/>
      <c r="E110" s="392"/>
      <c r="F110" s="392"/>
      <c r="G110" s="392"/>
      <c r="H110" s="392"/>
      <c r="I110" s="1348"/>
      <c r="J110" s="987"/>
      <c r="K110" s="392"/>
    </row>
    <row r="111" spans="1:11">
      <c r="A111" s="392"/>
      <c r="B111" s="392"/>
      <c r="C111" s="392"/>
      <c r="D111" s="392"/>
      <c r="E111" s="392"/>
      <c r="F111" s="392"/>
      <c r="G111" s="392"/>
      <c r="H111" s="392"/>
      <c r="I111" s="1348"/>
      <c r="J111" s="987"/>
      <c r="K111" s="392"/>
    </row>
    <row r="112" spans="1:11">
      <c r="A112" s="392"/>
      <c r="B112" s="392"/>
      <c r="C112" s="392"/>
      <c r="D112" s="392"/>
      <c r="E112" s="392"/>
      <c r="F112" s="392"/>
      <c r="G112" s="392"/>
      <c r="H112" s="392"/>
      <c r="I112" s="1348"/>
      <c r="J112" s="987"/>
      <c r="K112" s="392"/>
    </row>
    <row r="113" spans="1:11">
      <c r="A113" s="392"/>
      <c r="B113" s="392"/>
      <c r="C113" s="392"/>
      <c r="D113" s="392"/>
      <c r="E113" s="392"/>
      <c r="F113" s="392"/>
      <c r="G113" s="392"/>
      <c r="H113" s="392"/>
      <c r="I113" s="1348"/>
      <c r="J113" s="987"/>
      <c r="K113" s="392"/>
    </row>
    <row r="114" spans="1:11">
      <c r="A114" s="392"/>
      <c r="B114" s="392"/>
      <c r="C114" s="392"/>
      <c r="D114" s="392"/>
      <c r="E114" s="392"/>
      <c r="F114" s="392"/>
      <c r="G114" s="392"/>
      <c r="H114" s="392"/>
      <c r="I114" s="1348"/>
      <c r="J114" s="987"/>
      <c r="K114" s="392"/>
    </row>
    <row r="115" spans="1:11">
      <c r="A115" s="392"/>
      <c r="B115" s="392"/>
      <c r="C115" s="392"/>
      <c r="D115" s="392"/>
      <c r="E115" s="392"/>
      <c r="F115" s="392"/>
      <c r="G115" s="392"/>
      <c r="H115" s="392"/>
      <c r="I115" s="1348"/>
      <c r="J115" s="987"/>
      <c r="K115" s="392"/>
    </row>
    <row r="116" spans="1:11">
      <c r="A116" s="392"/>
      <c r="B116" s="392"/>
      <c r="C116" s="392"/>
      <c r="D116" s="392"/>
      <c r="E116" s="392"/>
      <c r="F116" s="392"/>
      <c r="G116" s="392"/>
      <c r="H116" s="392"/>
      <c r="I116" s="1348"/>
      <c r="J116" s="987"/>
      <c r="K116" s="392"/>
    </row>
    <row r="117" spans="1:11">
      <c r="A117" s="392"/>
      <c r="B117" s="392"/>
      <c r="C117" s="392"/>
      <c r="D117" s="392"/>
      <c r="E117" s="392"/>
      <c r="F117" s="392"/>
      <c r="G117" s="392"/>
      <c r="H117" s="392"/>
      <c r="I117" s="1348"/>
      <c r="J117" s="987"/>
      <c r="K117" s="392"/>
    </row>
    <row r="118" spans="1:11">
      <c r="A118" s="392"/>
      <c r="B118" s="392"/>
      <c r="C118" s="392"/>
      <c r="D118" s="392"/>
      <c r="E118" s="392"/>
      <c r="F118" s="392"/>
      <c r="G118" s="392"/>
      <c r="H118" s="392"/>
      <c r="I118" s="1348"/>
      <c r="J118" s="987"/>
      <c r="K118" s="392"/>
    </row>
    <row r="119" spans="1:11">
      <c r="A119" s="392"/>
      <c r="B119" s="392"/>
      <c r="C119" s="392"/>
      <c r="D119" s="392"/>
      <c r="E119" s="392"/>
      <c r="F119" s="392"/>
      <c r="G119" s="392"/>
      <c r="H119" s="392"/>
      <c r="I119" s="1348"/>
      <c r="J119" s="987"/>
      <c r="K119" s="392"/>
    </row>
    <row r="120" spans="1:11">
      <c r="A120" s="392"/>
      <c r="B120" s="392"/>
      <c r="C120" s="392"/>
      <c r="D120" s="392"/>
      <c r="E120" s="392"/>
      <c r="F120" s="392"/>
      <c r="G120" s="392"/>
      <c r="H120" s="392"/>
      <c r="I120" s="1348"/>
      <c r="J120" s="987"/>
      <c r="K120" s="392"/>
    </row>
    <row r="121" spans="1:11">
      <c r="A121" s="392"/>
      <c r="B121" s="392"/>
      <c r="C121" s="392"/>
      <c r="D121" s="392"/>
      <c r="E121" s="392"/>
      <c r="F121" s="392"/>
      <c r="G121" s="392"/>
      <c r="H121" s="392"/>
      <c r="I121" s="1348"/>
      <c r="J121" s="987"/>
      <c r="K121" s="392"/>
    </row>
    <row r="122" spans="1:11">
      <c r="A122" s="392"/>
      <c r="B122" s="392"/>
      <c r="C122" s="392"/>
      <c r="D122" s="392"/>
      <c r="E122" s="392"/>
      <c r="F122" s="392"/>
      <c r="G122" s="392"/>
      <c r="H122" s="392"/>
      <c r="I122" s="1348"/>
      <c r="J122" s="987"/>
      <c r="K122" s="392"/>
    </row>
    <row r="123" spans="1:11">
      <c r="A123" s="392"/>
      <c r="B123" s="392"/>
      <c r="C123" s="392"/>
      <c r="D123" s="392"/>
      <c r="E123" s="392"/>
      <c r="F123" s="392"/>
      <c r="G123" s="392"/>
      <c r="H123" s="392"/>
      <c r="I123" s="1348"/>
      <c r="J123" s="987"/>
      <c r="K123" s="392"/>
    </row>
    <row r="124" spans="1:11">
      <c r="A124" s="392"/>
      <c r="B124" s="392"/>
      <c r="C124" s="392"/>
      <c r="D124" s="392"/>
      <c r="E124" s="392"/>
      <c r="F124" s="392"/>
      <c r="G124" s="392"/>
      <c r="H124" s="392"/>
      <c r="I124" s="1348"/>
      <c r="J124" s="987"/>
      <c r="K124" s="392"/>
    </row>
    <row r="125" spans="1:11">
      <c r="A125" s="392"/>
      <c r="B125" s="392"/>
      <c r="C125" s="392"/>
      <c r="D125" s="392"/>
      <c r="E125" s="392"/>
      <c r="F125" s="392"/>
      <c r="G125" s="392"/>
      <c r="H125" s="392"/>
      <c r="I125" s="1348"/>
      <c r="J125" s="987"/>
      <c r="K125" s="392"/>
    </row>
    <row r="126" spans="1:11">
      <c r="A126" s="392"/>
      <c r="B126" s="392"/>
      <c r="C126" s="392"/>
      <c r="D126" s="392"/>
      <c r="E126" s="392"/>
      <c r="F126" s="392"/>
      <c r="G126" s="392"/>
      <c r="H126" s="392"/>
      <c r="I126" s="1348"/>
      <c r="J126" s="987"/>
      <c r="K126" s="392"/>
    </row>
    <row r="127" spans="1:11">
      <c r="A127" s="392"/>
      <c r="B127" s="392"/>
      <c r="C127" s="392"/>
      <c r="D127" s="392"/>
      <c r="E127" s="392"/>
      <c r="F127" s="392"/>
      <c r="G127" s="392"/>
      <c r="H127" s="392"/>
      <c r="I127" s="1348"/>
      <c r="J127" s="987"/>
      <c r="K127" s="392"/>
    </row>
    <row r="128" spans="1:11">
      <c r="A128" s="392"/>
      <c r="B128" s="392"/>
      <c r="C128" s="392"/>
      <c r="D128" s="392"/>
      <c r="E128" s="392"/>
      <c r="F128" s="392"/>
      <c r="G128" s="392"/>
      <c r="H128" s="392"/>
      <c r="I128" s="1348"/>
      <c r="J128" s="987"/>
      <c r="K128" s="392"/>
    </row>
    <row r="129" spans="1:11">
      <c r="A129" s="392"/>
      <c r="B129" s="392"/>
      <c r="C129" s="392"/>
      <c r="D129" s="392"/>
      <c r="E129" s="392"/>
      <c r="F129" s="392"/>
      <c r="G129" s="392"/>
      <c r="H129" s="392"/>
      <c r="I129" s="1348"/>
      <c r="J129" s="987"/>
      <c r="K129" s="392"/>
    </row>
    <row r="130" spans="1:11">
      <c r="A130" s="392"/>
      <c r="B130" s="392"/>
      <c r="C130" s="392"/>
      <c r="D130" s="392"/>
      <c r="E130" s="392"/>
      <c r="F130" s="392"/>
      <c r="G130" s="392"/>
      <c r="H130" s="392"/>
      <c r="I130" s="1348"/>
      <c r="J130" s="987"/>
      <c r="K130" s="392"/>
    </row>
    <row r="131" spans="1:11">
      <c r="A131" s="392"/>
      <c r="B131" s="392"/>
      <c r="C131" s="392"/>
      <c r="D131" s="392"/>
      <c r="E131" s="392"/>
      <c r="F131" s="392"/>
      <c r="G131" s="392"/>
      <c r="H131" s="392"/>
      <c r="I131" s="1348"/>
      <c r="J131" s="987"/>
      <c r="K131" s="392"/>
    </row>
    <row r="132" spans="1:11">
      <c r="A132" s="392"/>
      <c r="B132" s="392"/>
      <c r="C132" s="392"/>
      <c r="D132" s="392"/>
      <c r="E132" s="392"/>
      <c r="F132" s="392"/>
      <c r="G132" s="392"/>
      <c r="H132" s="392"/>
      <c r="I132" s="1348"/>
      <c r="J132" s="987"/>
      <c r="K132" s="392"/>
    </row>
    <row r="133" spans="1:11">
      <c r="A133" s="392"/>
      <c r="B133" s="392"/>
      <c r="C133" s="392"/>
      <c r="D133" s="392"/>
      <c r="E133" s="392"/>
      <c r="F133" s="392"/>
      <c r="G133" s="392"/>
      <c r="H133" s="392"/>
      <c r="I133" s="1348"/>
      <c r="J133" s="987"/>
      <c r="K133" s="392"/>
    </row>
    <row r="134" spans="1:11">
      <c r="A134" s="392"/>
      <c r="B134" s="392"/>
      <c r="C134" s="392"/>
      <c r="D134" s="392"/>
      <c r="E134" s="392"/>
      <c r="F134" s="392"/>
      <c r="G134" s="392"/>
      <c r="H134" s="392"/>
      <c r="I134" s="1348"/>
      <c r="J134" s="987"/>
      <c r="K134" s="392"/>
    </row>
    <row r="135" spans="1:11">
      <c r="A135" s="392"/>
      <c r="B135" s="392"/>
      <c r="C135" s="392"/>
      <c r="D135" s="392"/>
      <c r="E135" s="392"/>
      <c r="F135" s="392"/>
      <c r="G135" s="392"/>
      <c r="H135" s="392"/>
      <c r="I135" s="1348"/>
      <c r="J135" s="987"/>
      <c r="K135" s="392"/>
    </row>
    <row r="136" spans="1:11">
      <c r="A136" s="392"/>
      <c r="B136" s="392"/>
      <c r="C136" s="392"/>
      <c r="D136" s="392"/>
      <c r="E136" s="392"/>
      <c r="F136" s="392"/>
      <c r="G136" s="392"/>
      <c r="H136" s="392"/>
      <c r="I136" s="1348"/>
      <c r="J136" s="987"/>
      <c r="K136" s="392"/>
    </row>
    <row r="137" spans="1:11">
      <c r="A137" s="392"/>
      <c r="B137" s="392"/>
      <c r="C137" s="392"/>
      <c r="D137" s="392"/>
      <c r="E137" s="392"/>
      <c r="F137" s="392"/>
      <c r="G137" s="392"/>
      <c r="H137" s="392"/>
      <c r="I137" s="1348"/>
      <c r="J137" s="987"/>
      <c r="K137" s="392"/>
    </row>
    <row r="138" spans="1:11">
      <c r="A138" s="392"/>
      <c r="B138" s="392"/>
      <c r="C138" s="392"/>
      <c r="D138" s="392"/>
      <c r="E138" s="392"/>
      <c r="F138" s="392"/>
      <c r="G138" s="392"/>
      <c r="H138" s="392"/>
      <c r="I138" s="1348"/>
      <c r="J138" s="987"/>
      <c r="K138" s="392"/>
    </row>
    <row r="139" spans="1:11">
      <c r="A139" s="392"/>
      <c r="B139" s="392"/>
      <c r="C139" s="392"/>
      <c r="D139" s="392"/>
      <c r="E139" s="392"/>
      <c r="F139" s="392"/>
      <c r="G139" s="392"/>
      <c r="H139" s="392"/>
      <c r="I139" s="1348"/>
      <c r="J139" s="987"/>
      <c r="K139" s="392"/>
    </row>
    <row r="140" spans="1:11">
      <c r="A140" s="392"/>
      <c r="B140" s="392"/>
      <c r="C140" s="392"/>
      <c r="D140" s="392"/>
      <c r="E140" s="392"/>
      <c r="F140" s="392"/>
      <c r="G140" s="392"/>
      <c r="H140" s="392"/>
      <c r="I140" s="1348"/>
      <c r="J140" s="987"/>
      <c r="K140" s="392"/>
    </row>
    <row r="141" spans="1:11">
      <c r="A141" s="392"/>
      <c r="B141" s="392"/>
      <c r="C141" s="392"/>
      <c r="D141" s="392"/>
      <c r="E141" s="392"/>
      <c r="F141" s="392"/>
      <c r="G141" s="392"/>
      <c r="H141" s="392"/>
      <c r="I141" s="1348"/>
      <c r="J141" s="987"/>
      <c r="K141" s="392"/>
    </row>
    <row r="142" spans="1:11">
      <c r="A142" s="392"/>
      <c r="B142" s="392"/>
      <c r="C142" s="392"/>
      <c r="D142" s="392"/>
      <c r="E142" s="392"/>
      <c r="F142" s="392"/>
      <c r="G142" s="392"/>
      <c r="H142" s="392"/>
      <c r="I142" s="1348"/>
      <c r="J142" s="987"/>
      <c r="K142" s="392"/>
    </row>
    <row r="143" spans="1:11">
      <c r="A143" s="392"/>
      <c r="B143" s="392"/>
      <c r="C143" s="392"/>
      <c r="D143" s="392"/>
      <c r="E143" s="392"/>
      <c r="F143" s="392"/>
      <c r="G143" s="392"/>
      <c r="H143" s="392"/>
      <c r="I143" s="1348"/>
      <c r="J143" s="987"/>
      <c r="K143" s="392"/>
    </row>
    <row r="144" spans="1:11">
      <c r="A144" s="392"/>
      <c r="B144" s="392"/>
      <c r="C144" s="392"/>
      <c r="D144" s="392"/>
      <c r="E144" s="392"/>
      <c r="F144" s="392"/>
      <c r="G144" s="392"/>
      <c r="H144" s="392"/>
      <c r="I144" s="1348"/>
      <c r="J144" s="987"/>
      <c r="K144" s="392"/>
    </row>
    <row r="145" spans="1:11">
      <c r="A145" s="392"/>
      <c r="B145" s="392"/>
      <c r="C145" s="392"/>
      <c r="D145" s="392"/>
      <c r="E145" s="392"/>
      <c r="F145" s="392"/>
      <c r="G145" s="392"/>
      <c r="H145" s="392"/>
      <c r="I145" s="1348"/>
      <c r="J145" s="987"/>
      <c r="K145" s="392"/>
    </row>
    <row r="146" spans="1:11">
      <c r="A146" s="392"/>
      <c r="B146" s="392"/>
      <c r="C146" s="392"/>
      <c r="D146" s="392"/>
      <c r="E146" s="392"/>
      <c r="F146" s="392"/>
      <c r="G146" s="392"/>
      <c r="H146" s="392"/>
      <c r="I146" s="1348"/>
      <c r="J146" s="987"/>
      <c r="K146" s="392"/>
    </row>
    <row r="147" spans="1:11">
      <c r="A147" s="392"/>
      <c r="B147" s="392"/>
      <c r="C147" s="392"/>
      <c r="D147" s="392"/>
      <c r="E147" s="392"/>
      <c r="F147" s="392"/>
      <c r="G147" s="392"/>
      <c r="H147" s="392"/>
      <c r="I147" s="1348"/>
      <c r="J147" s="987"/>
      <c r="K147" s="392"/>
    </row>
    <row r="148" spans="1:11">
      <c r="A148" s="392"/>
      <c r="B148" s="392"/>
      <c r="C148" s="392"/>
      <c r="D148" s="392"/>
      <c r="E148" s="392"/>
      <c r="F148" s="392"/>
      <c r="G148" s="392"/>
      <c r="H148" s="392"/>
      <c r="I148" s="1348"/>
      <c r="J148" s="987"/>
      <c r="K148" s="392"/>
    </row>
    <row r="149" spans="1:11">
      <c r="A149" s="392"/>
      <c r="B149" s="392"/>
      <c r="C149" s="392"/>
      <c r="D149" s="392"/>
      <c r="E149" s="392"/>
      <c r="F149" s="392"/>
      <c r="G149" s="392"/>
      <c r="H149" s="392"/>
      <c r="I149" s="1348"/>
      <c r="J149" s="987"/>
      <c r="K149" s="392"/>
    </row>
    <row r="150" spans="1:11">
      <c r="A150" s="392"/>
      <c r="B150" s="392"/>
      <c r="C150" s="392"/>
      <c r="D150" s="392"/>
      <c r="E150" s="392"/>
      <c r="F150" s="392"/>
      <c r="G150" s="392"/>
      <c r="H150" s="392"/>
      <c r="I150" s="1348"/>
      <c r="J150" s="987"/>
      <c r="K150" s="392"/>
    </row>
    <row r="151" spans="1:11">
      <c r="A151" s="392"/>
      <c r="B151" s="392"/>
      <c r="C151" s="392"/>
      <c r="D151" s="392"/>
      <c r="E151" s="392"/>
      <c r="F151" s="392"/>
      <c r="G151" s="392"/>
      <c r="H151" s="392"/>
      <c r="I151" s="1348"/>
      <c r="J151" s="987"/>
      <c r="K151" s="392"/>
    </row>
    <row r="152" spans="1:11">
      <c r="A152" s="392"/>
      <c r="B152" s="392"/>
      <c r="C152" s="392"/>
      <c r="D152" s="392"/>
      <c r="E152" s="392"/>
      <c r="F152" s="392"/>
      <c r="G152" s="392"/>
      <c r="H152" s="392"/>
      <c r="I152" s="1348"/>
      <c r="J152" s="987"/>
      <c r="K152" s="392"/>
    </row>
    <row r="153" spans="1:11">
      <c r="A153" s="392"/>
      <c r="B153" s="392"/>
      <c r="C153" s="392"/>
      <c r="D153" s="392"/>
      <c r="E153" s="392"/>
      <c r="F153" s="392"/>
      <c r="G153" s="392"/>
      <c r="H153" s="392"/>
      <c r="I153" s="1348"/>
      <c r="J153" s="987"/>
      <c r="K153" s="392"/>
    </row>
    <row r="154" spans="1:11">
      <c r="A154" s="392"/>
      <c r="B154" s="392"/>
      <c r="C154" s="392"/>
      <c r="D154" s="392"/>
      <c r="E154" s="392"/>
      <c r="F154" s="392"/>
      <c r="G154" s="392"/>
      <c r="H154" s="392"/>
      <c r="I154" s="1348"/>
      <c r="J154" s="987"/>
      <c r="K154" s="392"/>
    </row>
    <row r="155" spans="1:11">
      <c r="A155" s="392"/>
      <c r="B155" s="392"/>
      <c r="C155" s="392"/>
      <c r="D155" s="392"/>
      <c r="E155" s="392"/>
      <c r="F155" s="392"/>
      <c r="G155" s="392"/>
      <c r="H155" s="392"/>
      <c r="I155" s="1348"/>
      <c r="J155" s="987"/>
      <c r="K155" s="392"/>
    </row>
    <row r="156" spans="1:11">
      <c r="A156" s="392"/>
      <c r="B156" s="392"/>
      <c r="C156" s="392"/>
      <c r="D156" s="392"/>
      <c r="E156" s="392"/>
      <c r="F156" s="392"/>
      <c r="G156" s="392"/>
      <c r="H156" s="392"/>
      <c r="I156" s="1348"/>
      <c r="J156" s="987"/>
      <c r="K156" s="392"/>
    </row>
    <row r="157" spans="1:11">
      <c r="A157" s="392"/>
      <c r="B157" s="392"/>
      <c r="C157" s="392"/>
      <c r="D157" s="392"/>
      <c r="E157" s="392"/>
      <c r="F157" s="392"/>
      <c r="G157" s="392"/>
      <c r="H157" s="392"/>
      <c r="I157" s="1348"/>
      <c r="J157" s="987"/>
      <c r="K157" s="392"/>
    </row>
    <row r="158" spans="1:11">
      <c r="A158" s="392"/>
      <c r="B158" s="392"/>
      <c r="C158" s="392"/>
      <c r="D158" s="392"/>
      <c r="E158" s="392"/>
      <c r="F158" s="392"/>
      <c r="G158" s="392"/>
      <c r="H158" s="392"/>
      <c r="I158" s="1348"/>
      <c r="J158" s="987"/>
      <c r="K158" s="392"/>
    </row>
    <row r="159" spans="1:11">
      <c r="A159" s="392"/>
      <c r="B159" s="392"/>
      <c r="C159" s="392"/>
      <c r="D159" s="392"/>
      <c r="E159" s="392"/>
      <c r="F159" s="392"/>
      <c r="G159" s="392"/>
      <c r="H159" s="392"/>
      <c r="I159" s="1348"/>
      <c r="J159" s="987"/>
      <c r="K159" s="392"/>
    </row>
    <row r="160" spans="1:11">
      <c r="A160" s="392"/>
      <c r="B160" s="392"/>
      <c r="C160" s="392"/>
      <c r="D160" s="392"/>
      <c r="E160" s="392"/>
      <c r="F160" s="392"/>
      <c r="G160" s="392"/>
      <c r="H160" s="392"/>
      <c r="I160" s="1348"/>
      <c r="J160" s="987"/>
      <c r="K160" s="392"/>
    </row>
    <row r="161" spans="1:11">
      <c r="A161" s="392"/>
      <c r="B161" s="392"/>
      <c r="C161" s="392"/>
      <c r="D161" s="392"/>
      <c r="E161" s="392"/>
      <c r="F161" s="392"/>
      <c r="G161" s="392"/>
      <c r="H161" s="392"/>
      <c r="I161" s="1348"/>
      <c r="J161" s="987"/>
      <c r="K161" s="392"/>
    </row>
    <row r="162" spans="1:11">
      <c r="A162" s="392"/>
      <c r="B162" s="392"/>
      <c r="C162" s="392"/>
      <c r="D162" s="392"/>
      <c r="E162" s="392"/>
      <c r="F162" s="392"/>
      <c r="G162" s="392"/>
      <c r="H162" s="392"/>
      <c r="I162" s="1348"/>
      <c r="J162" s="987"/>
      <c r="K162" s="392"/>
    </row>
    <row r="163" spans="1:11">
      <c r="A163" s="392"/>
      <c r="B163" s="392"/>
      <c r="C163" s="392"/>
      <c r="D163" s="392"/>
      <c r="E163" s="392"/>
      <c r="F163" s="392"/>
      <c r="G163" s="392"/>
      <c r="H163" s="392"/>
      <c r="I163" s="1348"/>
      <c r="J163" s="987"/>
      <c r="K163" s="392"/>
    </row>
    <row r="164" spans="1:11">
      <c r="A164" s="392"/>
      <c r="B164" s="392"/>
      <c r="C164" s="392"/>
      <c r="D164" s="392"/>
      <c r="E164" s="392"/>
      <c r="F164" s="392"/>
      <c r="G164" s="392"/>
      <c r="H164" s="392"/>
      <c r="I164" s="1348"/>
      <c r="J164" s="987"/>
      <c r="K164" s="392"/>
    </row>
    <row r="165" spans="1:11">
      <c r="A165" s="392"/>
      <c r="B165" s="392"/>
      <c r="C165" s="392"/>
      <c r="D165" s="392"/>
      <c r="E165" s="392"/>
      <c r="F165" s="392"/>
      <c r="G165" s="392"/>
      <c r="H165" s="392"/>
      <c r="I165" s="1348"/>
      <c r="J165" s="987"/>
      <c r="K165" s="392"/>
    </row>
    <row r="166" spans="1:11">
      <c r="A166" s="392"/>
      <c r="B166" s="392"/>
      <c r="C166" s="392"/>
      <c r="D166" s="392"/>
      <c r="E166" s="392"/>
      <c r="F166" s="392"/>
      <c r="G166" s="392"/>
      <c r="H166" s="392"/>
      <c r="I166" s="1348"/>
      <c r="J166" s="987"/>
      <c r="K166" s="392"/>
    </row>
    <row r="167" spans="1:11">
      <c r="A167" s="392"/>
      <c r="B167" s="392"/>
      <c r="C167" s="392"/>
      <c r="D167" s="392"/>
      <c r="E167" s="392"/>
      <c r="F167" s="392"/>
      <c r="G167" s="392"/>
      <c r="H167" s="392"/>
      <c r="I167" s="1348"/>
      <c r="J167" s="987"/>
      <c r="K167" s="392"/>
    </row>
    <row r="168" spans="1:11">
      <c r="A168" s="392"/>
      <c r="B168" s="392"/>
      <c r="C168" s="392"/>
      <c r="D168" s="392"/>
      <c r="E168" s="392"/>
      <c r="F168" s="392"/>
      <c r="G168" s="392"/>
      <c r="H168" s="392"/>
      <c r="I168" s="1348"/>
      <c r="J168" s="987"/>
      <c r="K168" s="392"/>
    </row>
    <row r="169" spans="1:11">
      <c r="A169" s="392"/>
      <c r="B169" s="392"/>
      <c r="C169" s="392"/>
      <c r="D169" s="392"/>
      <c r="E169" s="392"/>
      <c r="F169" s="392"/>
      <c r="G169" s="392"/>
      <c r="H169" s="392"/>
      <c r="I169" s="1348"/>
      <c r="J169" s="987"/>
      <c r="K169" s="392"/>
    </row>
    <row r="170" spans="1:11">
      <c r="A170" s="392"/>
      <c r="B170" s="392"/>
      <c r="C170" s="392"/>
      <c r="D170" s="392"/>
      <c r="E170" s="392"/>
      <c r="F170" s="392"/>
      <c r="G170" s="392"/>
      <c r="H170" s="392"/>
      <c r="I170" s="1348"/>
      <c r="J170" s="987"/>
      <c r="K170" s="392"/>
    </row>
    <row r="171" spans="1:11">
      <c r="A171" s="392"/>
      <c r="B171" s="392"/>
      <c r="C171" s="392"/>
      <c r="D171" s="392"/>
      <c r="E171" s="392"/>
      <c r="F171" s="392"/>
      <c r="G171" s="392"/>
      <c r="H171" s="392"/>
      <c r="I171" s="1348"/>
      <c r="J171" s="987"/>
      <c r="K171" s="392"/>
    </row>
    <row r="172" spans="1:11">
      <c r="A172" s="392"/>
      <c r="B172" s="392"/>
      <c r="C172" s="392"/>
      <c r="D172" s="392"/>
      <c r="E172" s="392"/>
      <c r="F172" s="392"/>
      <c r="G172" s="392"/>
      <c r="H172" s="392"/>
      <c r="I172" s="1348"/>
      <c r="J172" s="987"/>
      <c r="K172" s="392"/>
    </row>
    <row r="173" spans="1:11">
      <c r="A173" s="392"/>
      <c r="B173" s="392"/>
      <c r="C173" s="392"/>
      <c r="D173" s="392"/>
      <c r="E173" s="392"/>
      <c r="F173" s="392"/>
      <c r="G173" s="392"/>
      <c r="H173" s="392"/>
      <c r="I173" s="1348"/>
      <c r="J173" s="987"/>
      <c r="K173" s="392"/>
    </row>
    <row r="174" spans="1:11">
      <c r="A174" s="392"/>
      <c r="B174" s="392"/>
      <c r="C174" s="392"/>
      <c r="D174" s="392"/>
      <c r="E174" s="392"/>
      <c r="F174" s="392"/>
      <c r="G174" s="392"/>
      <c r="H174" s="392"/>
      <c r="I174" s="1348"/>
      <c r="J174" s="987"/>
      <c r="K174" s="392"/>
    </row>
    <row r="175" spans="1:11">
      <c r="A175" s="392"/>
      <c r="B175" s="392"/>
      <c r="C175" s="392"/>
      <c r="D175" s="392"/>
      <c r="E175" s="392"/>
      <c r="F175" s="392"/>
      <c r="G175" s="392"/>
      <c r="H175" s="392"/>
      <c r="I175" s="1348"/>
      <c r="J175" s="987"/>
      <c r="K175" s="392"/>
    </row>
    <row r="176" spans="1:11">
      <c r="A176" s="392"/>
      <c r="B176" s="392"/>
      <c r="C176" s="392"/>
      <c r="D176" s="392"/>
      <c r="E176" s="392"/>
      <c r="F176" s="392"/>
      <c r="G176" s="392"/>
      <c r="H176" s="392"/>
      <c r="I176" s="1348"/>
      <c r="J176" s="987"/>
      <c r="K176" s="392"/>
    </row>
    <row r="177" spans="1:11">
      <c r="A177" s="392"/>
      <c r="B177" s="392"/>
      <c r="C177" s="392"/>
      <c r="D177" s="392"/>
      <c r="E177" s="392"/>
      <c r="F177" s="392"/>
      <c r="G177" s="392"/>
      <c r="H177" s="392"/>
      <c r="I177" s="1348"/>
      <c r="J177" s="987"/>
      <c r="K177" s="392"/>
    </row>
    <row r="178" spans="1:11">
      <c r="A178" s="392"/>
      <c r="B178" s="392"/>
      <c r="C178" s="392"/>
      <c r="D178" s="392"/>
      <c r="E178" s="392"/>
      <c r="F178" s="392"/>
      <c r="G178" s="392"/>
      <c r="H178" s="392"/>
      <c r="I178" s="1348"/>
      <c r="J178" s="987"/>
      <c r="K178" s="392"/>
    </row>
    <row r="179" spans="1:11">
      <c r="A179" s="392"/>
      <c r="B179" s="392"/>
      <c r="C179" s="392"/>
      <c r="D179" s="392"/>
      <c r="E179" s="392"/>
      <c r="F179" s="392"/>
      <c r="G179" s="392"/>
      <c r="H179" s="392"/>
      <c r="I179" s="1348"/>
      <c r="J179" s="987"/>
      <c r="K179" s="392"/>
    </row>
    <row r="180" spans="1:11">
      <c r="A180" s="392"/>
      <c r="B180" s="392"/>
      <c r="C180" s="392"/>
      <c r="D180" s="392"/>
      <c r="E180" s="392"/>
      <c r="F180" s="392"/>
      <c r="G180" s="392"/>
      <c r="H180" s="392"/>
      <c r="I180" s="1348"/>
      <c r="J180" s="987"/>
      <c r="K180" s="392"/>
    </row>
    <row r="181" spans="1:11">
      <c r="A181" s="392"/>
      <c r="B181" s="392"/>
      <c r="C181" s="392"/>
      <c r="D181" s="392"/>
      <c r="E181" s="392"/>
      <c r="F181" s="392"/>
      <c r="G181" s="392"/>
      <c r="H181" s="392"/>
      <c r="I181" s="1348"/>
      <c r="J181" s="987"/>
      <c r="K181" s="392"/>
    </row>
    <row r="182" spans="1:11">
      <c r="A182" s="392"/>
      <c r="B182" s="392"/>
      <c r="C182" s="392"/>
      <c r="D182" s="392"/>
      <c r="E182" s="392"/>
      <c r="F182" s="392"/>
      <c r="G182" s="392"/>
      <c r="H182" s="392"/>
      <c r="I182" s="1348"/>
      <c r="J182" s="987"/>
      <c r="K182" s="392"/>
    </row>
    <row r="183" spans="1:11">
      <c r="A183" s="392"/>
      <c r="B183" s="392"/>
      <c r="C183" s="392"/>
      <c r="D183" s="392"/>
      <c r="E183" s="392"/>
      <c r="F183" s="392"/>
      <c r="G183" s="392"/>
      <c r="H183" s="392"/>
      <c r="I183" s="1348"/>
      <c r="J183" s="987"/>
      <c r="K183" s="392"/>
    </row>
    <row r="184" spans="1:11">
      <c r="A184" s="392"/>
      <c r="B184" s="392"/>
      <c r="C184" s="392"/>
      <c r="D184" s="392"/>
      <c r="E184" s="392"/>
      <c r="F184" s="392"/>
      <c r="G184" s="392"/>
      <c r="H184" s="392"/>
      <c r="I184" s="1348"/>
      <c r="J184" s="987"/>
      <c r="K184" s="392"/>
    </row>
    <row r="185" spans="1:11">
      <c r="A185" s="392"/>
      <c r="B185" s="392"/>
      <c r="C185" s="392"/>
      <c r="D185" s="392"/>
      <c r="E185" s="392"/>
      <c r="F185" s="392"/>
      <c r="G185" s="392"/>
      <c r="H185" s="392"/>
      <c r="I185" s="1348"/>
      <c r="J185" s="987"/>
      <c r="K185" s="392"/>
    </row>
    <row r="186" spans="1:11">
      <c r="A186" s="392"/>
      <c r="B186" s="392"/>
      <c r="C186" s="392"/>
      <c r="D186" s="392"/>
      <c r="E186" s="392"/>
      <c r="F186" s="392"/>
      <c r="G186" s="392"/>
      <c r="H186" s="392"/>
      <c r="I186" s="1348"/>
      <c r="J186" s="987"/>
      <c r="K186" s="392"/>
    </row>
    <row r="187" spans="1:11">
      <c r="A187" s="392"/>
      <c r="B187" s="392"/>
      <c r="C187" s="392"/>
      <c r="D187" s="392"/>
      <c r="E187" s="392"/>
      <c r="F187" s="392"/>
      <c r="G187" s="392"/>
      <c r="H187" s="392"/>
      <c r="I187" s="1348"/>
      <c r="J187" s="987"/>
      <c r="K187" s="392"/>
    </row>
    <row r="188" spans="1:11">
      <c r="A188" s="392"/>
      <c r="B188" s="392"/>
      <c r="C188" s="392"/>
      <c r="D188" s="392"/>
      <c r="E188" s="392"/>
      <c r="F188" s="392"/>
      <c r="G188" s="392"/>
      <c r="H188" s="392"/>
      <c r="I188" s="1348"/>
      <c r="J188" s="987"/>
      <c r="K188" s="392"/>
    </row>
    <row r="189" spans="1:11">
      <c r="A189" s="392"/>
      <c r="B189" s="392"/>
      <c r="C189" s="392"/>
      <c r="D189" s="392"/>
      <c r="E189" s="392"/>
      <c r="F189" s="392"/>
      <c r="G189" s="392"/>
      <c r="H189" s="392"/>
      <c r="I189" s="1348"/>
      <c r="J189" s="987"/>
      <c r="K189" s="392"/>
    </row>
    <row r="190" spans="1:11">
      <c r="A190" s="392"/>
      <c r="B190" s="392"/>
      <c r="C190" s="392"/>
      <c r="D190" s="392"/>
      <c r="E190" s="392"/>
      <c r="F190" s="392"/>
      <c r="G190" s="392"/>
      <c r="H190" s="392"/>
      <c r="I190" s="1348"/>
      <c r="J190" s="987"/>
      <c r="K190" s="392"/>
    </row>
    <row r="191" spans="1:11">
      <c r="A191" s="392"/>
      <c r="B191" s="392"/>
      <c r="C191" s="392"/>
      <c r="D191" s="392"/>
      <c r="E191" s="392"/>
      <c r="F191" s="392"/>
      <c r="G191" s="392"/>
      <c r="H191" s="392"/>
      <c r="I191" s="1348"/>
      <c r="J191" s="987"/>
      <c r="K191" s="392"/>
    </row>
  </sheetData>
  <mergeCells count="60">
    <mergeCell ref="A6:K6"/>
    <mergeCell ref="B80:F80"/>
    <mergeCell ref="B93:F93"/>
    <mergeCell ref="B94:F94"/>
    <mergeCell ref="B69:F69"/>
    <mergeCell ref="B61:F61"/>
    <mergeCell ref="B72:F72"/>
    <mergeCell ref="B70:F70"/>
    <mergeCell ref="B64:F64"/>
    <mergeCell ref="B65:F65"/>
    <mergeCell ref="B85:F85"/>
    <mergeCell ref="B71:F71"/>
    <mergeCell ref="B73:F73"/>
    <mergeCell ref="B74:F74"/>
    <mergeCell ref="B75:F75"/>
    <mergeCell ref="B77:F77"/>
    <mergeCell ref="B96:F96"/>
    <mergeCell ref="B97:F97"/>
    <mergeCell ref="B98:F98"/>
    <mergeCell ref="B95:F95"/>
    <mergeCell ref="B86:F86"/>
    <mergeCell ref="B87:F87"/>
    <mergeCell ref="B88:F88"/>
    <mergeCell ref="B89:F89"/>
    <mergeCell ref="B90:F90"/>
    <mergeCell ref="B84:F84"/>
    <mergeCell ref="B67:F67"/>
    <mergeCell ref="B62:F62"/>
    <mergeCell ref="B82:F82"/>
    <mergeCell ref="B76:F76"/>
    <mergeCell ref="B83:F83"/>
    <mergeCell ref="B81:F81"/>
    <mergeCell ref="B78:F78"/>
    <mergeCell ref="B79:F79"/>
    <mergeCell ref="B63:F63"/>
    <mergeCell ref="B66:F66"/>
    <mergeCell ref="B68:F68"/>
    <mergeCell ref="B60:F60"/>
    <mergeCell ref="A56:K56"/>
    <mergeCell ref="B20:F20"/>
    <mergeCell ref="B18:F18"/>
    <mergeCell ref="B19:F19"/>
    <mergeCell ref="B24:F24"/>
    <mergeCell ref="B21:F21"/>
    <mergeCell ref="B23:F23"/>
    <mergeCell ref="B22:F22"/>
    <mergeCell ref="B57:F57"/>
    <mergeCell ref="B59:F59"/>
    <mergeCell ref="B58:F58"/>
    <mergeCell ref="B14:F14"/>
    <mergeCell ref="B15:F15"/>
    <mergeCell ref="B16:F16"/>
    <mergeCell ref="B17:F17"/>
    <mergeCell ref="B12:F12"/>
    <mergeCell ref="B13:F13"/>
    <mergeCell ref="B7:F7"/>
    <mergeCell ref="B8:F8"/>
    <mergeCell ref="B11:F11"/>
    <mergeCell ref="B9:F9"/>
    <mergeCell ref="B10:F10"/>
  </mergeCells>
  <phoneticPr fontId="88" type="noConversion"/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CCFF"/>
  </sheetPr>
  <dimension ref="A11:H59"/>
  <sheetViews>
    <sheetView showGridLines="0" tabSelected="1" topLeftCell="A17" workbookViewId="0">
      <selection activeCell="J32" sqref="J32"/>
    </sheetView>
  </sheetViews>
  <sheetFormatPr defaultColWidth="10.28515625" defaultRowHeight="15"/>
  <cols>
    <col min="1" max="1" width="13.28515625" style="373" customWidth="1"/>
    <col min="2" max="2" width="11.140625" style="373" customWidth="1"/>
    <col min="3" max="3" width="22.28515625" style="373" customWidth="1"/>
    <col min="4" max="4" width="3.42578125" style="373" customWidth="1"/>
    <col min="5" max="5" width="35.42578125" style="373" customWidth="1"/>
    <col min="6" max="6" width="11.7109375" style="373" customWidth="1"/>
    <col min="7" max="7" width="10" style="373" customWidth="1"/>
    <col min="8" max="8" width="3.5703125" style="373" customWidth="1"/>
    <col min="9" max="16384" width="10.28515625" style="373"/>
  </cols>
  <sheetData>
    <row r="11" spans="1:8">
      <c r="A11" s="375"/>
      <c r="B11" s="374"/>
      <c r="C11" s="374"/>
      <c r="D11" s="374"/>
    </row>
    <row r="12" spans="1:8">
      <c r="A12" s="375"/>
      <c r="B12" s="374"/>
      <c r="C12" s="374"/>
      <c r="D12" s="374"/>
    </row>
    <row r="13" spans="1:8">
      <c r="A13" s="1060"/>
      <c r="B13" s="374"/>
      <c r="C13" s="374"/>
      <c r="D13" s="374"/>
    </row>
    <row r="14" spans="1:8" ht="46.5">
      <c r="A14" s="1681" t="s">
        <v>1708</v>
      </c>
      <c r="B14" s="1681"/>
      <c r="C14" s="1681"/>
      <c r="D14" s="1681"/>
      <c r="E14" s="1681"/>
      <c r="F14" s="1681"/>
      <c r="G14" s="1681"/>
      <c r="H14" s="1681"/>
    </row>
    <row r="15" spans="1:8">
      <c r="B15" s="375"/>
      <c r="C15" s="374"/>
      <c r="D15" s="374"/>
      <c r="E15" s="374"/>
    </row>
    <row r="16" spans="1:8">
      <c r="B16" s="375"/>
      <c r="C16" s="374"/>
      <c r="D16" s="374"/>
      <c r="E16" s="374"/>
    </row>
    <row r="17" spans="1:8" ht="32.25" customHeight="1">
      <c r="A17" s="1682" t="s">
        <v>1709</v>
      </c>
      <c r="B17" s="1682"/>
      <c r="C17" s="1682"/>
      <c r="D17" s="1682"/>
      <c r="E17" s="1682"/>
      <c r="F17" s="1682"/>
      <c r="G17" s="1682"/>
      <c r="H17" s="1682"/>
    </row>
    <row r="19" spans="1:8">
      <c r="A19" s="1060"/>
      <c r="B19" s="374"/>
      <c r="C19" s="374"/>
      <c r="D19" s="374"/>
    </row>
    <row r="20" spans="1:8">
      <c r="A20" s="1060"/>
      <c r="B20" s="374"/>
      <c r="C20" s="374"/>
      <c r="D20" s="374"/>
    </row>
    <row r="21" spans="1:8">
      <c r="A21" s="1060"/>
      <c r="B21" s="374"/>
      <c r="C21" s="374"/>
      <c r="D21" s="374"/>
    </row>
    <row r="22" spans="1:8">
      <c r="A22" s="1060"/>
      <c r="B22" s="374"/>
      <c r="C22" s="374"/>
      <c r="D22" s="374"/>
    </row>
    <row r="23" spans="1:8">
      <c r="A23" s="1060"/>
      <c r="B23" s="374"/>
      <c r="C23" s="374"/>
      <c r="D23" s="374"/>
    </row>
    <row r="24" spans="1:8">
      <c r="A24" s="1060"/>
      <c r="B24" s="374"/>
      <c r="C24" s="374"/>
      <c r="D24" s="374"/>
    </row>
    <row r="25" spans="1:8">
      <c r="A25" s="1060"/>
      <c r="B25" s="374"/>
      <c r="C25" s="374"/>
      <c r="D25" s="374"/>
    </row>
    <row r="26" spans="1:8">
      <c r="A26" s="1060"/>
      <c r="B26" s="374"/>
      <c r="C26" s="374"/>
      <c r="D26" s="374"/>
    </row>
    <row r="27" spans="1:8">
      <c r="A27" s="1060"/>
      <c r="B27" s="374"/>
      <c r="C27" s="374"/>
      <c r="D27" s="374"/>
    </row>
    <row r="28" spans="1:8">
      <c r="A28" s="1060"/>
      <c r="B28" s="374"/>
      <c r="C28" s="374"/>
      <c r="D28" s="374"/>
    </row>
    <row r="29" spans="1:8">
      <c r="A29" s="1678" t="s">
        <v>737</v>
      </c>
      <c r="B29" s="1679"/>
      <c r="C29" s="1680"/>
      <c r="D29" s="374"/>
      <c r="E29" s="1678" t="s">
        <v>738</v>
      </c>
      <c r="F29" s="1679"/>
      <c r="G29" s="1680"/>
    </row>
    <row r="30" spans="1:8">
      <c r="A30" s="479"/>
      <c r="B30" s="374"/>
      <c r="C30" s="376"/>
      <c r="D30" s="374"/>
      <c r="E30" s="377"/>
      <c r="F30" s="374"/>
      <c r="G30" s="376"/>
    </row>
    <row r="31" spans="1:8">
      <c r="A31" s="479" t="s">
        <v>282</v>
      </c>
      <c r="B31" s="374"/>
      <c r="C31" s="376"/>
      <c r="D31" s="374"/>
      <c r="E31" s="377"/>
      <c r="F31" s="374"/>
      <c r="G31" s="378"/>
    </row>
    <row r="32" spans="1:8">
      <c r="A32" s="1061"/>
      <c r="B32" s="374"/>
      <c r="C32" s="376"/>
      <c r="D32" s="374"/>
      <c r="E32" s="479" t="s">
        <v>283</v>
      </c>
      <c r="F32" s="374" t="s">
        <v>284</v>
      </c>
      <c r="G32" s="1062"/>
    </row>
    <row r="33" spans="1:7">
      <c r="A33" s="479" t="s">
        <v>285</v>
      </c>
      <c r="B33" s="374"/>
      <c r="C33" s="376"/>
      <c r="D33" s="374"/>
      <c r="E33" s="377"/>
      <c r="F33" s="374"/>
      <c r="G33" s="1063"/>
    </row>
    <row r="34" spans="1:7">
      <c r="A34" s="1061"/>
      <c r="B34" s="374"/>
      <c r="C34" s="376"/>
      <c r="D34" s="374"/>
      <c r="E34" s="377"/>
      <c r="F34" s="374"/>
      <c r="G34" s="376"/>
    </row>
    <row r="35" spans="1:7">
      <c r="A35" s="479" t="s">
        <v>292</v>
      </c>
      <c r="B35" s="374" t="s">
        <v>293</v>
      </c>
      <c r="C35" s="376"/>
      <c r="D35" s="374"/>
      <c r="E35" s="479" t="s">
        <v>286</v>
      </c>
      <c r="F35" s="1060"/>
      <c r="G35" s="376"/>
    </row>
    <row r="36" spans="1:7">
      <c r="A36" s="379"/>
      <c r="B36" s="374" t="s">
        <v>291</v>
      </c>
      <c r="C36" s="376"/>
      <c r="D36" s="374"/>
      <c r="E36" s="479"/>
      <c r="F36" s="1060"/>
      <c r="G36" s="376"/>
    </row>
    <row r="37" spans="1:7">
      <c r="A37" s="479" t="s">
        <v>287</v>
      </c>
      <c r="B37" s="374"/>
      <c r="C37" s="376"/>
      <c r="D37" s="374"/>
      <c r="E37" s="479" t="s">
        <v>288</v>
      </c>
      <c r="F37" s="1060" t="s">
        <v>342</v>
      </c>
      <c r="G37" s="376"/>
    </row>
    <row r="38" spans="1:7">
      <c r="A38" s="380"/>
      <c r="B38" s="374"/>
      <c r="C38" s="376"/>
      <c r="D38" s="374"/>
      <c r="E38" s="479"/>
      <c r="F38" s="1060" t="s">
        <v>343</v>
      </c>
      <c r="G38" s="376"/>
    </row>
    <row r="39" spans="1:7">
      <c r="A39" s="479"/>
      <c r="B39" s="374"/>
      <c r="C39" s="376"/>
      <c r="D39" s="374"/>
      <c r="E39" s="377"/>
      <c r="F39" s="1060"/>
      <c r="G39" s="376"/>
    </row>
    <row r="40" spans="1:7">
      <c r="A40" s="479"/>
      <c r="B40" s="374"/>
      <c r="C40" s="376"/>
      <c r="D40" s="374"/>
      <c r="E40" s="479" t="s">
        <v>289</v>
      </c>
      <c r="F40" s="1064">
        <v>41727</v>
      </c>
      <c r="G40" s="1065"/>
    </row>
    <row r="41" spans="1:7" ht="16.5" customHeight="1">
      <c r="A41" s="1672" t="s">
        <v>290</v>
      </c>
      <c r="B41" s="1673"/>
      <c r="C41" s="1674"/>
      <c r="D41" s="374"/>
      <c r="E41" s="377"/>
      <c r="F41" s="374"/>
      <c r="G41" s="376"/>
    </row>
    <row r="42" spans="1:7" ht="17.25" customHeight="1">
      <c r="A42" s="1672"/>
      <c r="B42" s="1673"/>
      <c r="C42" s="1674"/>
      <c r="D42" s="374"/>
      <c r="E42" s="479"/>
      <c r="F42" s="374"/>
      <c r="G42" s="530"/>
    </row>
    <row r="43" spans="1:7" ht="18" customHeight="1">
      <c r="A43" s="1675"/>
      <c r="B43" s="1676"/>
      <c r="C43" s="1677"/>
      <c r="D43" s="374"/>
      <c r="E43" s="381"/>
      <c r="F43" s="382"/>
      <c r="G43" s="383"/>
    </row>
    <row r="44" spans="1:7">
      <c r="A44" s="375"/>
      <c r="B44" s="374"/>
      <c r="C44" s="374"/>
      <c r="D44" s="374"/>
    </row>
    <row r="45" spans="1:7">
      <c r="A45" s="375"/>
      <c r="B45" s="374"/>
      <c r="C45" s="374"/>
      <c r="D45" s="374"/>
    </row>
    <row r="46" spans="1:7">
      <c r="A46" s="375"/>
      <c r="B46" s="374"/>
      <c r="C46" s="374"/>
      <c r="D46" s="374"/>
    </row>
    <row r="47" spans="1:7">
      <c r="A47" s="375"/>
      <c r="B47" s="374"/>
      <c r="C47" s="374"/>
      <c r="D47" s="374"/>
    </row>
    <row r="48" spans="1:7">
      <c r="A48" s="1066"/>
      <c r="B48" s="374"/>
      <c r="C48" s="374"/>
      <c r="D48" s="374"/>
    </row>
    <row r="49" spans="1:4">
      <c r="A49" s="1060"/>
      <c r="B49" s="374"/>
      <c r="C49" s="374"/>
      <c r="D49" s="374"/>
    </row>
    <row r="50" spans="1:4">
      <c r="A50" s="1060"/>
      <c r="B50" s="374"/>
      <c r="C50" s="374"/>
      <c r="D50" s="374"/>
    </row>
    <row r="51" spans="1:4">
      <c r="A51" s="375"/>
      <c r="B51" s="374"/>
      <c r="C51" s="374"/>
      <c r="D51" s="374"/>
    </row>
    <row r="52" spans="1:4">
      <c r="A52" s="375"/>
      <c r="B52" s="374"/>
      <c r="C52" s="374"/>
      <c r="D52" s="374"/>
    </row>
    <row r="53" spans="1:4">
      <c r="A53" s="375"/>
      <c r="B53" s="374"/>
      <c r="C53" s="374"/>
      <c r="D53" s="374"/>
    </row>
    <row r="54" spans="1:4">
      <c r="A54" s="1060"/>
      <c r="B54" s="374"/>
      <c r="C54" s="374"/>
      <c r="D54" s="374"/>
    </row>
    <row r="55" spans="1:4">
      <c r="A55" s="1060"/>
      <c r="B55" s="374"/>
      <c r="C55" s="374"/>
      <c r="D55" s="374"/>
    </row>
    <row r="56" spans="1:4">
      <c r="A56" s="1060"/>
      <c r="B56" s="374"/>
      <c r="C56" s="374"/>
      <c r="D56" s="374"/>
    </row>
    <row r="57" spans="1:4">
      <c r="A57" s="1066"/>
      <c r="B57" s="374"/>
      <c r="C57" s="374"/>
      <c r="D57" s="374"/>
    </row>
    <row r="58" spans="1:4" ht="17.25" customHeight="1">
      <c r="A58" s="1066"/>
      <c r="B58" s="374"/>
      <c r="C58" s="374"/>
      <c r="D58" s="374"/>
    </row>
    <row r="59" spans="1:4">
      <c r="A59" s="374"/>
      <c r="B59" s="374"/>
      <c r="C59" s="374"/>
      <c r="D59" s="374"/>
    </row>
  </sheetData>
  <mergeCells count="5">
    <mergeCell ref="A41:C43"/>
    <mergeCell ref="A29:C29"/>
    <mergeCell ref="E29:G29"/>
    <mergeCell ref="A14:H14"/>
    <mergeCell ref="A17:H17"/>
  </mergeCells>
  <phoneticPr fontId="124" type="noConversion"/>
  <pageMargins left="0.23" right="0.23" top="0.77" bottom="0.77" header="0.41" footer="0.41"/>
  <pageSetup paperSize="9" scale="91" orientation="portrait" horizont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O66"/>
  <sheetViews>
    <sheetView showGridLines="0" topLeftCell="H22" workbookViewId="0">
      <selection activeCell="P51" sqref="P51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</cols>
  <sheetData>
    <row r="1" spans="1:11">
      <c r="A1" s="388" t="s">
        <v>1020</v>
      </c>
      <c r="B1" s="388" t="s">
        <v>1021</v>
      </c>
      <c r="C1" s="388" t="s">
        <v>1022</v>
      </c>
      <c r="I1" s="832" t="s">
        <v>315</v>
      </c>
    </row>
    <row r="2" spans="1:11">
      <c r="B2" s="388" t="s">
        <v>1023</v>
      </c>
      <c r="C2" s="388" t="s">
        <v>1023</v>
      </c>
      <c r="I2" s="832" t="s">
        <v>316</v>
      </c>
    </row>
    <row r="3" spans="1:11">
      <c r="B3" s="388"/>
      <c r="C3" s="388"/>
      <c r="I3" s="832"/>
      <c r="K3" s="388" t="s">
        <v>1024</v>
      </c>
    </row>
    <row r="4" spans="1:11">
      <c r="B4" s="388"/>
      <c r="C4" s="388"/>
    </row>
    <row r="5" spans="1:11">
      <c r="B5" s="392" t="s">
        <v>1025</v>
      </c>
      <c r="C5" s="392" t="s">
        <v>1025</v>
      </c>
      <c r="H5" s="843"/>
      <c r="I5" s="843"/>
      <c r="J5" s="921" t="s">
        <v>1444</v>
      </c>
      <c r="K5" s="921" t="s">
        <v>1026</v>
      </c>
    </row>
    <row r="6" spans="1:11">
      <c r="B6" s="392" t="s">
        <v>1027</v>
      </c>
      <c r="C6" s="392" t="s">
        <v>1027</v>
      </c>
      <c r="H6" s="843">
        <v>1</v>
      </c>
      <c r="I6" s="921" t="s">
        <v>1023</v>
      </c>
      <c r="J6" s="842" t="s">
        <v>1025</v>
      </c>
      <c r="K6" s="842"/>
    </row>
    <row r="7" spans="1:11">
      <c r="B7" s="392" t="s">
        <v>1028</v>
      </c>
      <c r="C7" s="392" t="s">
        <v>1028</v>
      </c>
      <c r="H7" s="843">
        <v>2</v>
      </c>
      <c r="I7" s="921" t="s">
        <v>1023</v>
      </c>
      <c r="J7" s="842" t="s">
        <v>1029</v>
      </c>
      <c r="K7" s="843"/>
    </row>
    <row r="8" spans="1:11">
      <c r="B8" s="392" t="s">
        <v>1030</v>
      </c>
      <c r="C8" s="392" t="s">
        <v>1030</v>
      </c>
      <c r="H8" s="843">
        <v>3</v>
      </c>
      <c r="I8" s="921" t="s">
        <v>1023</v>
      </c>
      <c r="J8" s="842" t="s">
        <v>1031</v>
      </c>
      <c r="K8" s="843"/>
    </row>
    <row r="9" spans="1:11">
      <c r="B9" s="392" t="s">
        <v>1032</v>
      </c>
      <c r="C9" s="392" t="s">
        <v>1032</v>
      </c>
      <c r="H9" s="843">
        <v>4</v>
      </c>
      <c r="I9" s="921" t="s">
        <v>1023</v>
      </c>
      <c r="J9" s="842" t="s">
        <v>1030</v>
      </c>
      <c r="K9" s="843"/>
    </row>
    <row r="10" spans="1:11">
      <c r="B10" s="392" t="s">
        <v>1033</v>
      </c>
      <c r="C10" s="392" t="s">
        <v>1033</v>
      </c>
      <c r="H10" s="843">
        <v>5</v>
      </c>
      <c r="I10" s="921" t="s">
        <v>1023</v>
      </c>
      <c r="J10" s="842" t="s">
        <v>1032</v>
      </c>
      <c r="K10" s="843"/>
    </row>
    <row r="11" spans="1:11">
      <c r="B11" s="392" t="s">
        <v>1034</v>
      </c>
      <c r="C11" s="392" t="s">
        <v>1034</v>
      </c>
      <c r="H11" s="843">
        <v>6</v>
      </c>
      <c r="I11" s="921" t="s">
        <v>1023</v>
      </c>
      <c r="J11" s="842" t="s">
        <v>1033</v>
      </c>
      <c r="K11" s="843"/>
    </row>
    <row r="12" spans="1:11">
      <c r="B12" s="392" t="s">
        <v>1035</v>
      </c>
      <c r="C12" s="392" t="s">
        <v>1035</v>
      </c>
      <c r="H12" s="843">
        <v>7</v>
      </c>
      <c r="I12" s="921" t="s">
        <v>1023</v>
      </c>
      <c r="J12" s="842" t="s">
        <v>1036</v>
      </c>
      <c r="K12" s="843"/>
    </row>
    <row r="13" spans="1:11">
      <c r="B13" s="388" t="s">
        <v>1037</v>
      </c>
      <c r="C13" s="388" t="s">
        <v>1037</v>
      </c>
      <c r="H13" s="843">
        <v>8</v>
      </c>
      <c r="I13" s="921" t="s">
        <v>1023</v>
      </c>
      <c r="J13" s="842" t="s">
        <v>1035</v>
      </c>
      <c r="K13" s="843"/>
    </row>
    <row r="14" spans="1:11">
      <c r="B14" s="388"/>
      <c r="C14" s="388"/>
      <c r="H14" s="921" t="s">
        <v>752</v>
      </c>
      <c r="I14" s="921"/>
      <c r="J14" s="921" t="s">
        <v>1038</v>
      </c>
      <c r="K14" s="921"/>
    </row>
    <row r="15" spans="1:11">
      <c r="B15" s="392" t="s">
        <v>1039</v>
      </c>
      <c r="C15" s="392" t="s">
        <v>1039</v>
      </c>
      <c r="H15" s="843">
        <v>9</v>
      </c>
      <c r="I15" s="921" t="s">
        <v>1037</v>
      </c>
      <c r="J15" s="842" t="s">
        <v>1045</v>
      </c>
      <c r="K15" s="843"/>
    </row>
    <row r="16" spans="1:11">
      <c r="B16" s="392" t="s">
        <v>1046</v>
      </c>
      <c r="C16" s="392" t="s">
        <v>1046</v>
      </c>
      <c r="H16" s="843">
        <v>10</v>
      </c>
      <c r="I16" s="921" t="s">
        <v>1037</v>
      </c>
      <c r="J16" s="842" t="s">
        <v>1046</v>
      </c>
      <c r="K16" s="842"/>
    </row>
    <row r="17" spans="2:11">
      <c r="B17" s="392" t="s">
        <v>1047</v>
      </c>
      <c r="C17" s="392" t="s">
        <v>1047</v>
      </c>
      <c r="H17" s="843">
        <v>11</v>
      </c>
      <c r="I17" s="921" t="s">
        <v>1037</v>
      </c>
      <c r="J17" s="842" t="s">
        <v>1047</v>
      </c>
      <c r="K17" s="843"/>
    </row>
    <row r="18" spans="2:11">
      <c r="B18" s="392"/>
      <c r="C18" s="392"/>
      <c r="H18" s="921" t="s">
        <v>757</v>
      </c>
      <c r="I18" s="921"/>
      <c r="J18" s="921" t="s">
        <v>1048</v>
      </c>
      <c r="K18" s="921"/>
    </row>
    <row r="19" spans="2:11">
      <c r="B19" s="388" t="s">
        <v>1049</v>
      </c>
      <c r="C19" s="388" t="s">
        <v>1049</v>
      </c>
      <c r="H19" s="843">
        <v>12</v>
      </c>
      <c r="I19" s="921" t="s">
        <v>1049</v>
      </c>
      <c r="J19" s="842" t="s">
        <v>1050</v>
      </c>
      <c r="K19" s="843"/>
    </row>
    <row r="20" spans="2:11">
      <c r="B20" s="392" t="s">
        <v>1034</v>
      </c>
      <c r="C20" s="392" t="s">
        <v>1034</v>
      </c>
      <c r="H20" s="843">
        <v>13</v>
      </c>
      <c r="I20" s="921" t="s">
        <v>1049</v>
      </c>
      <c r="J20" s="921" t="s">
        <v>1051</v>
      </c>
      <c r="K20" s="843"/>
    </row>
    <row r="21" spans="2:11">
      <c r="B21" s="392" t="s">
        <v>1052</v>
      </c>
      <c r="C21" s="392" t="s">
        <v>1052</v>
      </c>
      <c r="H21" s="843">
        <v>14</v>
      </c>
      <c r="I21" s="921" t="s">
        <v>1049</v>
      </c>
      <c r="J21" s="842" t="s">
        <v>1053</v>
      </c>
      <c r="K21" s="843"/>
    </row>
    <row r="22" spans="2:11">
      <c r="B22" s="392" t="s">
        <v>1053</v>
      </c>
      <c r="C22" s="392" t="s">
        <v>1053</v>
      </c>
      <c r="H22" s="843">
        <v>15</v>
      </c>
      <c r="I22" s="921" t="s">
        <v>1049</v>
      </c>
      <c r="J22" s="842" t="s">
        <v>1054</v>
      </c>
      <c r="K22" s="843"/>
    </row>
    <row r="23" spans="2:11">
      <c r="B23" s="392" t="s">
        <v>1054</v>
      </c>
      <c r="C23" s="392" t="s">
        <v>1054</v>
      </c>
      <c r="H23" s="843">
        <v>16</v>
      </c>
      <c r="I23" s="921" t="s">
        <v>1049</v>
      </c>
      <c r="J23" s="842" t="s">
        <v>1055</v>
      </c>
      <c r="K23" s="843"/>
    </row>
    <row r="24" spans="2:11">
      <c r="B24" s="392" t="s">
        <v>1056</v>
      </c>
      <c r="C24" s="392" t="s">
        <v>1056</v>
      </c>
      <c r="H24" s="843">
        <v>17</v>
      </c>
      <c r="I24" s="921" t="s">
        <v>1049</v>
      </c>
      <c r="J24" s="842" t="s">
        <v>1057</v>
      </c>
      <c r="K24" s="843"/>
    </row>
    <row r="25" spans="2:11">
      <c r="B25" s="392" t="s">
        <v>1057</v>
      </c>
      <c r="C25" s="392" t="s">
        <v>1057</v>
      </c>
      <c r="H25" s="843">
        <v>18</v>
      </c>
      <c r="I25" s="921" t="s">
        <v>1049</v>
      </c>
      <c r="J25" s="842" t="s">
        <v>1058</v>
      </c>
      <c r="K25" s="843"/>
    </row>
    <row r="26" spans="2:11">
      <c r="B26" s="392" t="s">
        <v>1059</v>
      </c>
      <c r="C26" s="392" t="s">
        <v>1059</v>
      </c>
      <c r="H26" s="843">
        <v>19</v>
      </c>
      <c r="I26" s="921" t="s">
        <v>1049</v>
      </c>
      <c r="J26" s="842" t="s">
        <v>1060</v>
      </c>
      <c r="K26" s="843"/>
    </row>
    <row r="27" spans="2:11">
      <c r="B27" s="392"/>
      <c r="C27" s="392"/>
      <c r="H27" s="921" t="s">
        <v>1162</v>
      </c>
      <c r="I27" s="921"/>
      <c r="J27" s="921" t="s">
        <v>1061</v>
      </c>
      <c r="K27" s="843"/>
    </row>
    <row r="28" spans="2:11">
      <c r="B28" s="392" t="s">
        <v>1060</v>
      </c>
      <c r="C28" s="392" t="s">
        <v>1060</v>
      </c>
      <c r="H28" s="843">
        <v>20</v>
      </c>
      <c r="I28" s="921" t="s">
        <v>1062</v>
      </c>
      <c r="J28" s="842" t="s">
        <v>1063</v>
      </c>
      <c r="K28" s="843"/>
    </row>
    <row r="29" spans="2:11">
      <c r="B29" s="388" t="s">
        <v>1062</v>
      </c>
      <c r="C29" s="388" t="s">
        <v>1062</v>
      </c>
      <c r="H29" s="843">
        <v>21</v>
      </c>
      <c r="I29" s="921" t="s">
        <v>1062</v>
      </c>
      <c r="J29" s="842" t="s">
        <v>1064</v>
      </c>
      <c r="K29" s="842"/>
    </row>
    <row r="30" spans="2:11">
      <c r="B30" s="392" t="s">
        <v>1065</v>
      </c>
      <c r="C30" s="392" t="s">
        <v>1065</v>
      </c>
      <c r="H30" s="843">
        <v>22</v>
      </c>
      <c r="I30" s="921" t="s">
        <v>1062</v>
      </c>
      <c r="J30" s="842" t="s">
        <v>1066</v>
      </c>
      <c r="K30" s="842"/>
    </row>
    <row r="31" spans="2:11">
      <c r="B31" s="392" t="s">
        <v>1064</v>
      </c>
      <c r="C31" s="392" t="s">
        <v>1064</v>
      </c>
      <c r="H31" s="843">
        <v>23</v>
      </c>
      <c r="I31" s="921" t="s">
        <v>1062</v>
      </c>
      <c r="J31" s="842" t="s">
        <v>1067</v>
      </c>
      <c r="K31" s="843"/>
    </row>
    <row r="32" spans="2:11">
      <c r="B32" s="392"/>
      <c r="C32" s="392"/>
      <c r="H32" s="921" t="s">
        <v>1188</v>
      </c>
      <c r="I32" s="921"/>
      <c r="J32" s="921" t="s">
        <v>1068</v>
      </c>
      <c r="K32" s="843"/>
    </row>
    <row r="33" spans="2:11">
      <c r="B33" s="392" t="s">
        <v>1066</v>
      </c>
      <c r="C33" s="392" t="s">
        <v>1066</v>
      </c>
      <c r="H33" s="843">
        <v>24</v>
      </c>
      <c r="I33" s="921" t="s">
        <v>1069</v>
      </c>
      <c r="J33" s="842" t="s">
        <v>1070</v>
      </c>
      <c r="K33" s="843"/>
    </row>
    <row r="34" spans="2:11">
      <c r="B34" s="392" t="s">
        <v>1067</v>
      </c>
      <c r="C34" s="392" t="s">
        <v>1067</v>
      </c>
      <c r="H34" s="843">
        <v>25</v>
      </c>
      <c r="I34" s="921" t="s">
        <v>1069</v>
      </c>
      <c r="J34" s="842" t="s">
        <v>1071</v>
      </c>
      <c r="K34" s="843"/>
    </row>
    <row r="35" spans="2:11">
      <c r="H35" s="843">
        <v>26</v>
      </c>
      <c r="I35" s="921" t="s">
        <v>1069</v>
      </c>
      <c r="J35" s="842" t="s">
        <v>1072</v>
      </c>
      <c r="K35" s="843"/>
    </row>
    <row r="36" spans="2:11">
      <c r="B36" s="388" t="s">
        <v>1069</v>
      </c>
      <c r="C36" s="388" t="s">
        <v>1069</v>
      </c>
      <c r="H36" s="843">
        <v>27</v>
      </c>
      <c r="I36" s="921" t="s">
        <v>1069</v>
      </c>
      <c r="J36" s="842" t="s">
        <v>1073</v>
      </c>
      <c r="K36" s="843"/>
    </row>
    <row r="37" spans="2:11">
      <c r="B37" s="392" t="s">
        <v>1070</v>
      </c>
      <c r="C37" s="392" t="s">
        <v>1070</v>
      </c>
      <c r="H37" s="843">
        <v>28</v>
      </c>
      <c r="I37" s="921" t="s">
        <v>1069</v>
      </c>
      <c r="J37" s="842" t="s">
        <v>1074</v>
      </c>
      <c r="K37" s="842"/>
    </row>
    <row r="38" spans="2:11">
      <c r="B38" s="392" t="s">
        <v>1071</v>
      </c>
      <c r="C38" s="392" t="s">
        <v>1071</v>
      </c>
      <c r="H38" s="843">
        <v>29</v>
      </c>
      <c r="I38" s="921" t="s">
        <v>1069</v>
      </c>
      <c r="J38" s="958" t="s">
        <v>1075</v>
      </c>
      <c r="K38" s="843"/>
    </row>
    <row r="39" spans="2:11">
      <c r="B39" s="392" t="s">
        <v>1072</v>
      </c>
      <c r="C39" s="392" t="s">
        <v>1072</v>
      </c>
      <c r="H39" s="843">
        <v>30</v>
      </c>
      <c r="I39" s="921" t="s">
        <v>1069</v>
      </c>
      <c r="J39" s="842" t="s">
        <v>1076</v>
      </c>
      <c r="K39" s="969">
        <f>'PASH 13'!F10</f>
        <v>29487625.153988</v>
      </c>
    </row>
    <row r="40" spans="2:11">
      <c r="B40" s="392" t="s">
        <v>1073</v>
      </c>
      <c r="C40" s="392" t="s">
        <v>1073</v>
      </c>
      <c r="H40" s="843">
        <v>31</v>
      </c>
      <c r="I40" s="921" t="s">
        <v>1069</v>
      </c>
      <c r="J40" s="842" t="s">
        <v>1077</v>
      </c>
      <c r="K40" s="970"/>
    </row>
    <row r="41" spans="2:11">
      <c r="B41" s="392"/>
      <c r="C41" s="392"/>
      <c r="H41" s="843">
        <v>32</v>
      </c>
      <c r="I41" s="921" t="s">
        <v>1069</v>
      </c>
      <c r="J41" s="842" t="s">
        <v>1078</v>
      </c>
      <c r="K41" s="970"/>
    </row>
    <row r="42" spans="2:11">
      <c r="B42" s="392" t="s">
        <v>1074</v>
      </c>
      <c r="C42" s="392" t="s">
        <v>1074</v>
      </c>
      <c r="H42" s="843">
        <v>33</v>
      </c>
      <c r="I42" s="921" t="s">
        <v>1069</v>
      </c>
      <c r="J42" s="842" t="s">
        <v>1079</v>
      </c>
      <c r="K42" s="970"/>
    </row>
    <row r="43" spans="2:11">
      <c r="B43" s="392" t="s">
        <v>1075</v>
      </c>
      <c r="C43" s="392" t="s">
        <v>1075</v>
      </c>
      <c r="H43" s="959">
        <v>34</v>
      </c>
      <c r="I43" s="921" t="s">
        <v>1069</v>
      </c>
      <c r="J43" s="842" t="s">
        <v>1080</v>
      </c>
      <c r="K43" s="970"/>
    </row>
    <row r="44" spans="2:11">
      <c r="B44" s="392" t="s">
        <v>1076</v>
      </c>
      <c r="C44" s="392" t="s">
        <v>1076</v>
      </c>
      <c r="H44" s="921" t="s">
        <v>1081</v>
      </c>
      <c r="I44" s="843"/>
      <c r="J44" s="921" t="s">
        <v>1082</v>
      </c>
      <c r="K44" s="971">
        <f>SUM(K39:K43)</f>
        <v>29487625.153988</v>
      </c>
    </row>
    <row r="45" spans="2:11">
      <c r="B45" s="392" t="s">
        <v>1077</v>
      </c>
      <c r="C45" s="392" t="s">
        <v>1077</v>
      </c>
      <c r="H45" s="843"/>
      <c r="I45" s="843"/>
      <c r="J45" s="921" t="s">
        <v>1083</v>
      </c>
      <c r="K45" s="960"/>
    </row>
    <row r="46" spans="2:11">
      <c r="B46" s="392" t="s">
        <v>1080</v>
      </c>
      <c r="C46" s="392" t="s">
        <v>1080</v>
      </c>
    </row>
    <row r="48" spans="2:11">
      <c r="I48" s="961" t="s">
        <v>427</v>
      </c>
      <c r="J48" s="845"/>
      <c r="K48" s="921" t="s">
        <v>1084</v>
      </c>
    </row>
    <row r="49" spans="8:15">
      <c r="I49" s="962"/>
      <c r="J49" s="963"/>
      <c r="K49" s="963">
        <v>55</v>
      </c>
    </row>
    <row r="50" spans="8:15">
      <c r="I50" s="1362" t="s">
        <v>431</v>
      </c>
      <c r="J50" s="957"/>
      <c r="K50" s="843">
        <v>0</v>
      </c>
    </row>
    <row r="51" spans="8:15">
      <c r="I51" s="842" t="s">
        <v>432</v>
      </c>
      <c r="J51" s="843"/>
      <c r="K51" s="843">
        <v>12</v>
      </c>
    </row>
    <row r="52" spans="8:15">
      <c r="I52" s="843" t="s">
        <v>1085</v>
      </c>
      <c r="J52" s="843"/>
      <c r="K52" s="843">
        <v>41</v>
      </c>
    </row>
    <row r="53" spans="8:15">
      <c r="I53" s="842" t="s">
        <v>434</v>
      </c>
      <c r="J53" s="843"/>
      <c r="K53" s="843">
        <v>1</v>
      </c>
    </row>
    <row r="54" spans="8:15">
      <c r="I54" s="964" t="s">
        <v>433</v>
      </c>
      <c r="J54" s="845"/>
      <c r="K54" s="843">
        <v>1</v>
      </c>
    </row>
    <row r="55" spans="8:15">
      <c r="I55" s="965"/>
      <c r="J55" s="966" t="s">
        <v>1319</v>
      </c>
      <c r="K55" s="966">
        <f>SUM(K50:K54)</f>
        <v>55</v>
      </c>
    </row>
    <row r="57" spans="8:15">
      <c r="K57" s="388" t="s">
        <v>904</v>
      </c>
    </row>
    <row r="58" spans="8:15">
      <c r="K58" s="388" t="s">
        <v>320</v>
      </c>
    </row>
    <row r="59" spans="8:15">
      <c r="I59" s="388"/>
    </row>
    <row r="61" spans="8:15">
      <c r="I61" s="388"/>
    </row>
    <row r="62" spans="8:15">
      <c r="H62" s="388"/>
      <c r="I62" s="388"/>
      <c r="J62" s="388"/>
      <c r="K62" s="388"/>
      <c r="L62" s="388"/>
      <c r="M62" s="388"/>
      <c r="N62" s="388"/>
      <c r="O62" s="388"/>
    </row>
    <row r="63" spans="8:15">
      <c r="H63" s="388"/>
      <c r="I63" s="388"/>
      <c r="J63" s="388"/>
      <c r="K63" s="388"/>
      <c r="L63" s="388"/>
      <c r="M63" s="388"/>
      <c r="N63" s="388"/>
      <c r="O63" s="388"/>
    </row>
    <row r="64" spans="8:15">
      <c r="I64" s="388"/>
      <c r="J64" s="388"/>
      <c r="K64" s="388"/>
      <c r="L64" s="388"/>
      <c r="M64" s="388"/>
      <c r="N64" s="388"/>
      <c r="O64" s="388"/>
    </row>
    <row r="65" spans="8:15">
      <c r="I65" s="388"/>
      <c r="J65" s="388"/>
      <c r="K65" s="388"/>
      <c r="L65" s="388"/>
      <c r="M65" s="388"/>
      <c r="N65" s="388"/>
      <c r="O65" s="388"/>
    </row>
    <row r="66" spans="8:15">
      <c r="H66" s="388"/>
      <c r="I66" s="388"/>
    </row>
  </sheetData>
  <phoneticPr fontId="88" type="noConversion"/>
  <pageMargins left="0.75" right="0.75" top="0.25" bottom="0.53" header="0.17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M68"/>
  <sheetViews>
    <sheetView showGridLines="0" topLeftCell="A31" workbookViewId="0">
      <selection activeCell="F61" sqref="F61"/>
    </sheetView>
  </sheetViews>
  <sheetFormatPr defaultRowHeight="15"/>
  <cols>
    <col min="1" max="1" width="5.140625" style="1566" customWidth="1"/>
    <col min="2" max="2" width="29" style="1566" customWidth="1"/>
    <col min="3" max="3" width="10.28515625" style="1566" bestFit="1" customWidth="1"/>
    <col min="4" max="4" width="15.7109375" style="1567" bestFit="1" customWidth="1"/>
    <col min="5" max="5" width="15.42578125" style="1567" bestFit="1" customWidth="1"/>
    <col min="6" max="6" width="15.7109375" style="1567" bestFit="1" customWidth="1"/>
    <col min="7" max="8" width="10" style="1567" bestFit="1" customWidth="1"/>
    <col min="9" max="10" width="15.42578125" style="1567" bestFit="1" customWidth="1"/>
    <col min="11" max="11" width="15.7109375" style="1567" bestFit="1" customWidth="1"/>
    <col min="12" max="12" width="9.140625" style="1568"/>
    <col min="13" max="13" width="14.140625" style="1564" customWidth="1"/>
    <col min="14" max="16384" width="9.140625" style="1566"/>
  </cols>
  <sheetData>
    <row r="1" spans="1:12">
      <c r="A1" s="1574"/>
      <c r="B1" s="1575"/>
      <c r="C1" s="1576"/>
      <c r="D1" s="1561" t="s">
        <v>1715</v>
      </c>
      <c r="E1" s="1562"/>
      <c r="F1" s="1562"/>
      <c r="G1" s="1562"/>
      <c r="H1" s="1562"/>
      <c r="I1" s="1562"/>
      <c r="J1" s="1562">
        <v>486</v>
      </c>
      <c r="K1" s="1562"/>
      <c r="L1" s="1563"/>
    </row>
    <row r="2" spans="1:12">
      <c r="A2" s="1574"/>
      <c r="B2" s="1574"/>
      <c r="C2" s="1574" t="s">
        <v>1716</v>
      </c>
      <c r="D2" s="1565" t="s">
        <v>151</v>
      </c>
      <c r="E2" s="1565" t="s">
        <v>1717</v>
      </c>
      <c r="F2" s="1565" t="s">
        <v>1718</v>
      </c>
      <c r="G2" s="1565" t="s">
        <v>1719</v>
      </c>
      <c r="H2" s="1565" t="s">
        <v>1720</v>
      </c>
      <c r="I2" s="1565" t="s">
        <v>1721</v>
      </c>
      <c r="J2" s="1565" t="s">
        <v>1722</v>
      </c>
      <c r="K2" s="1565" t="s">
        <v>1723</v>
      </c>
      <c r="L2" s="1563"/>
    </row>
    <row r="4" spans="1:12" s="1577" customFormat="1" ht="12.75">
      <c r="A4" s="1577">
        <v>1</v>
      </c>
      <c r="B4" s="1578" t="str">
        <f>'[5]Sist Elek 13'!B4</f>
        <v>Sisteme Elektrike 2013</v>
      </c>
      <c r="C4" s="1577" t="str">
        <f>'[5]Sist Elek 13'!C4</f>
        <v>12.03.2013</v>
      </c>
      <c r="D4" s="1579">
        <f>'[5]Sist Elek 13'!D4</f>
        <v>242680</v>
      </c>
      <c r="E4" s="1579">
        <f>'[5]Sist Elek 13'!E4</f>
        <v>0</v>
      </c>
      <c r="F4" s="1579">
        <f>'[5]Sist Elek 13'!F4</f>
        <v>242680</v>
      </c>
      <c r="G4" s="1579">
        <f>'[5]Sist Elek 13'!G4</f>
        <v>0</v>
      </c>
      <c r="H4" s="1579">
        <f>'[5]Sist Elek 13'!H4</f>
        <v>9</v>
      </c>
      <c r="I4" s="1579">
        <f>'[5]Sist Elek 13'!I4</f>
        <v>91005</v>
      </c>
      <c r="J4" s="1579">
        <f>'[5]Sist Elek 13'!J4</f>
        <v>91005</v>
      </c>
      <c r="K4" s="1579">
        <f>'[5]Sist Elek 13'!K4</f>
        <v>151675</v>
      </c>
      <c r="L4" s="1580"/>
    </row>
    <row r="5" spans="1:12">
      <c r="B5" s="1578"/>
    </row>
    <row r="6" spans="1:12" s="1577" customFormat="1" ht="12.75">
      <c r="A6" s="1577">
        <v>2</v>
      </c>
      <c r="B6" s="1578" t="str">
        <f>'[5]Linoleum. 13'!B4</f>
        <v>Linoleum 2013</v>
      </c>
      <c r="C6" s="1577" t="str">
        <f>'[5]Linoleum. 13'!C4</f>
        <v>05.11.2013</v>
      </c>
      <c r="D6" s="1579">
        <f>'[5]Linoleum. 13'!D4</f>
        <v>14652</v>
      </c>
      <c r="E6" s="1579">
        <f>'[5]Linoleum. 13'!E4</f>
        <v>0</v>
      </c>
      <c r="F6" s="1579">
        <f>'[5]Linoleum. 13'!F4</f>
        <v>14652</v>
      </c>
      <c r="G6" s="1579">
        <f>'[5]Linoleum. 13'!G4</f>
        <v>0</v>
      </c>
      <c r="H6" s="1579">
        <f>'[5]Linoleum. 13'!H4</f>
        <v>1</v>
      </c>
      <c r="I6" s="1579">
        <f>'[5]Linoleum. 13'!I4</f>
        <v>610.5</v>
      </c>
      <c r="J6" s="1579">
        <f>'[5]Linoleum. 13'!J4</f>
        <v>610.5</v>
      </c>
      <c r="K6" s="1579">
        <f>'[5]Linoleum. 13'!K4</f>
        <v>14041.5</v>
      </c>
      <c r="L6" s="1580"/>
    </row>
    <row r="7" spans="1:12">
      <c r="B7" s="1578"/>
    </row>
    <row r="8" spans="1:12" s="1577" customFormat="1" ht="12.75">
      <c r="A8" s="1577">
        <v>3</v>
      </c>
      <c r="B8" s="1578" t="str">
        <f>'[5]Dinamo Auto 13'!B4</f>
        <v>Dinamo Auto 2013</v>
      </c>
      <c r="C8" s="1577" t="str">
        <f>'[5]Dinamo Auto 13'!C4</f>
        <v>11.09.2013</v>
      </c>
      <c r="D8" s="1579">
        <f>'[5]Dinamo Auto 13'!D4</f>
        <v>28008</v>
      </c>
      <c r="E8" s="1579">
        <f>'[5]Dinamo Auto 13'!E4</f>
        <v>0</v>
      </c>
      <c r="F8" s="1579">
        <f>'[5]Dinamo Auto 13'!F4</f>
        <v>28008</v>
      </c>
      <c r="G8" s="1579">
        <f>'[5]Dinamo Auto 13'!G4</f>
        <v>0</v>
      </c>
      <c r="H8" s="1579">
        <f>'[5]Dinamo Auto 13'!H4</f>
        <v>3</v>
      </c>
      <c r="I8" s="1579">
        <f>'[5]Dinamo Auto 13'!I4</f>
        <v>3501</v>
      </c>
      <c r="J8" s="1579">
        <f>'[5]Dinamo Auto 13'!J4</f>
        <v>3501</v>
      </c>
      <c r="K8" s="1579">
        <f>'[5]Dinamo Auto 13'!K4</f>
        <v>24507</v>
      </c>
      <c r="L8" s="1580"/>
    </row>
    <row r="9" spans="1:12">
      <c r="B9" s="1578"/>
    </row>
    <row r="10" spans="1:12" s="1577" customFormat="1" ht="12.75">
      <c r="A10" s="1577">
        <v>4</v>
      </c>
      <c r="B10" s="1578" t="str">
        <f>[5]Ferrota...13!B4</f>
        <v>Ferrota 2013</v>
      </c>
      <c r="C10" s="1577" t="str">
        <f>[5]Ferrota...13!C4</f>
        <v>05.09.2013</v>
      </c>
      <c r="D10" s="1579">
        <f>[5]Ferrota...13!D4</f>
        <v>11000</v>
      </c>
      <c r="E10" s="1579">
        <f>[5]Ferrota...13!E4</f>
        <v>0</v>
      </c>
      <c r="F10" s="1579">
        <f>[5]Ferrota...13!F4</f>
        <v>11000</v>
      </c>
      <c r="G10" s="1579">
        <f>[5]Ferrota...13!G4</f>
        <v>0</v>
      </c>
      <c r="H10" s="1579">
        <f>[5]Ferrota...13!H4</f>
        <v>3</v>
      </c>
      <c r="I10" s="1579">
        <f>[5]Ferrota...13!I4</f>
        <v>1375</v>
      </c>
      <c r="J10" s="1579">
        <f>[5]Ferrota...13!J4</f>
        <v>1375</v>
      </c>
      <c r="K10" s="1579">
        <f>[5]Ferrota...13!K4</f>
        <v>9625</v>
      </c>
      <c r="L10" s="1580"/>
    </row>
    <row r="11" spans="1:12">
      <c r="A11" s="1577"/>
      <c r="B11" s="1578"/>
    </row>
    <row r="12" spans="1:12" s="1577" customFormat="1">
      <c r="A12" s="1566">
        <v>5</v>
      </c>
      <c r="B12" s="1578" t="str">
        <f>'[5]Mat Sken13'!B4</f>
        <v>Materile Skenografi  2013</v>
      </c>
      <c r="C12" s="1577" t="str">
        <f>'[5]Mat Sken13'!C4</f>
        <v>20.09.2013</v>
      </c>
      <c r="D12" s="1579">
        <f>'[5]Mat Sken13'!D4</f>
        <v>226707</v>
      </c>
      <c r="E12" s="1579">
        <f>'[5]Mat Sken13'!E4</f>
        <v>0</v>
      </c>
      <c r="F12" s="1579">
        <f>'[5]Mat Sken13'!F4</f>
        <v>226707</v>
      </c>
      <c r="G12" s="1579">
        <f>'[5]Mat Sken13'!G4</f>
        <v>0</v>
      </c>
      <c r="H12" s="1579">
        <f>'[5]Mat Sken13'!H4</f>
        <v>3</v>
      </c>
      <c r="I12" s="1579">
        <f>'[5]Mat Sken13'!I4</f>
        <v>28338.375</v>
      </c>
      <c r="J12" s="1579">
        <f>'[5]Mat Sken13'!J4</f>
        <v>28338.375</v>
      </c>
      <c r="K12" s="1579">
        <f>'[5]Mat Sken13'!K4</f>
        <v>198368.625</v>
      </c>
      <c r="L12" s="1580"/>
    </row>
    <row r="13" spans="1:12">
      <c r="A13" s="1577"/>
      <c r="B13" s="1578"/>
    </row>
    <row r="14" spans="1:12" s="1577" customFormat="1">
      <c r="A14" s="1566">
        <v>6</v>
      </c>
      <c r="B14" s="1578" t="str">
        <f>[5]Ferrota..2013!B4</f>
        <v>Ferrota 2013</v>
      </c>
      <c r="C14" s="1577" t="str">
        <f>[5]Ferrota..2013!C4</f>
        <v>26.07.2013</v>
      </c>
      <c r="D14" s="1579">
        <f>[5]Ferrota..2013!D4</f>
        <v>15000</v>
      </c>
      <c r="E14" s="1579">
        <f>[5]Ferrota..2013!E4</f>
        <v>0</v>
      </c>
      <c r="F14" s="1579">
        <f>[5]Ferrota..2013!F4</f>
        <v>15000</v>
      </c>
      <c r="G14" s="1579">
        <f>[5]Ferrota..2013!G4</f>
        <v>0</v>
      </c>
      <c r="H14" s="1579">
        <f>[5]Ferrota..2013!H4</f>
        <v>5</v>
      </c>
      <c r="I14" s="1579">
        <f>[5]Ferrota..2013!I4</f>
        <v>3125</v>
      </c>
      <c r="J14" s="1579">
        <f>[5]Ferrota..2013!J4</f>
        <v>3125</v>
      </c>
      <c r="K14" s="1579">
        <f>[5]Ferrota..2013!K4</f>
        <v>11875</v>
      </c>
      <c r="L14" s="1580"/>
    </row>
    <row r="15" spans="1:12">
      <c r="A15" s="1577"/>
      <c r="B15" s="1578"/>
    </row>
    <row r="16" spans="1:12" s="1577" customFormat="1">
      <c r="A16" s="1566">
        <v>7</v>
      </c>
      <c r="B16" s="1578" t="str">
        <f>'[5]Ferrota. 13'!B4</f>
        <v>Ferrota 2013</v>
      </c>
      <c r="C16" s="1577" t="str">
        <f>'[5]Ferrota. 13'!C4</f>
        <v>25.08.2013</v>
      </c>
      <c r="D16" s="1579">
        <f>'[5]Ferrota. 13'!D4</f>
        <v>11000</v>
      </c>
      <c r="E16" s="1579">
        <f>'[5]Ferrota. 13'!E4</f>
        <v>0</v>
      </c>
      <c r="F16" s="1579">
        <f>'[5]Ferrota. 13'!F4</f>
        <v>11000</v>
      </c>
      <c r="G16" s="1579">
        <f>'[5]Ferrota. 13'!G4</f>
        <v>0</v>
      </c>
      <c r="H16" s="1579">
        <f>'[5]Ferrota. 13'!H4</f>
        <v>4</v>
      </c>
      <c r="I16" s="1579">
        <f>'[5]Ferrota. 13'!I4</f>
        <v>1833.3333333333333</v>
      </c>
      <c r="J16" s="1579">
        <f>'[5]Ferrota. 13'!J4</f>
        <v>1833.3333333333333</v>
      </c>
      <c r="K16" s="1579">
        <f>'[5]Ferrota. 13'!K4</f>
        <v>9166.6666666666661</v>
      </c>
      <c r="L16" s="1580"/>
    </row>
    <row r="17" spans="1:12">
      <c r="A17" s="1577"/>
      <c r="B17" s="1578"/>
    </row>
    <row r="18" spans="1:12" s="1577" customFormat="1" ht="12.75">
      <c r="A18" s="1577">
        <v>8</v>
      </c>
      <c r="B18" s="1578" t="str">
        <f>[5]UPS.13!B4</f>
        <v>UPS 2013</v>
      </c>
      <c r="C18" s="1577" t="str">
        <f>[5]UPS.13!C4</f>
        <v>08.06.2013</v>
      </c>
      <c r="D18" s="1579">
        <f>[5]UPS.13!D4</f>
        <v>14105</v>
      </c>
      <c r="E18" s="1579">
        <f>[5]UPS.13!E4</f>
        <v>0</v>
      </c>
      <c r="F18" s="1579">
        <f>[5]UPS.13!F4</f>
        <v>14105</v>
      </c>
      <c r="G18" s="1579">
        <f>[5]UPS.13!G4</f>
        <v>0</v>
      </c>
      <c r="H18" s="1579">
        <f>[5]UPS.13!H4</f>
        <v>6</v>
      </c>
      <c r="I18" s="1579">
        <f>[5]UPS.13!I4</f>
        <v>3526.25</v>
      </c>
      <c r="J18" s="1579">
        <f>[5]UPS.13!J4</f>
        <v>3526.25</v>
      </c>
      <c r="K18" s="1579">
        <f>[5]UPS.13!K4</f>
        <v>10578.75</v>
      </c>
      <c r="L18" s="1580"/>
    </row>
    <row r="19" spans="1:12">
      <c r="B19" s="1578"/>
    </row>
    <row r="20" spans="1:12" s="1577" customFormat="1" ht="12.75">
      <c r="A20" s="1577">
        <v>9</v>
      </c>
      <c r="B20" s="1578" t="str">
        <f>'[5]Skenografi 13'!B4</f>
        <v>Skenografi 2013</v>
      </c>
      <c r="C20" s="1577" t="str">
        <f>'[5]Skenografi 13'!C4</f>
        <v>17.09.2013</v>
      </c>
      <c r="D20" s="1579">
        <f>'[5]Skenografi 13'!D4</f>
        <v>25850</v>
      </c>
      <c r="E20" s="1579">
        <f>'[5]Skenografi 13'!E4</f>
        <v>0</v>
      </c>
      <c r="F20" s="1579">
        <f>'[5]Skenografi 13'!F4</f>
        <v>25850</v>
      </c>
      <c r="G20" s="1579">
        <f>'[5]Skenografi 13'!G4</f>
        <v>0</v>
      </c>
      <c r="H20" s="1579">
        <f>'[5]Skenografi 13'!H4</f>
        <v>3</v>
      </c>
      <c r="I20" s="1579">
        <f>'[5]Skenografi 13'!I4</f>
        <v>3231.25</v>
      </c>
      <c r="J20" s="1579">
        <f>'[5]Skenografi 13'!J4</f>
        <v>3231.25</v>
      </c>
      <c r="K20" s="1579">
        <f>'[5]Skenografi 13'!K4</f>
        <v>22618.75</v>
      </c>
      <c r="L20" s="1580"/>
    </row>
    <row r="21" spans="1:12">
      <c r="B21" s="1578"/>
    </row>
    <row r="22" spans="1:12" s="1577" customFormat="1" ht="12.75">
      <c r="A22" s="1577">
        <v>10</v>
      </c>
      <c r="B22" s="1578" t="str">
        <f>'[5]Pleksiglass 13'!B4</f>
        <v>Pleksiglass 2013</v>
      </c>
      <c r="C22" s="1577" t="str">
        <f>'[5]Pleksiglass 13'!C4</f>
        <v>19.08.2013</v>
      </c>
      <c r="D22" s="1579">
        <f>'[5]Pleksiglass 13'!D4</f>
        <v>139178</v>
      </c>
      <c r="E22" s="1579">
        <f>'[5]Pleksiglass 13'!E4</f>
        <v>0</v>
      </c>
      <c r="F22" s="1579">
        <f>'[5]Pleksiglass 13'!F4</f>
        <v>139178</v>
      </c>
      <c r="G22" s="1579">
        <f>'[5]Pleksiglass 13'!G4</f>
        <v>0</v>
      </c>
      <c r="H22" s="1579">
        <f>'[5]Pleksiglass 13'!H4</f>
        <v>4</v>
      </c>
      <c r="I22" s="1579">
        <f>'[5]Pleksiglass 13'!I4</f>
        <v>23196.333333333332</v>
      </c>
      <c r="J22" s="1579">
        <f>'[5]Pleksiglass 13'!J4</f>
        <v>23196.333333333332</v>
      </c>
      <c r="K22" s="1579">
        <f>'[5]Pleksiglass 13'!K4</f>
        <v>115981.66666666667</v>
      </c>
      <c r="L22" s="1580"/>
    </row>
    <row r="23" spans="1:12" s="1577" customFormat="1">
      <c r="A23" s="1566"/>
      <c r="B23" s="1578"/>
      <c r="D23" s="1579"/>
      <c r="E23" s="1579"/>
      <c r="F23" s="1579"/>
      <c r="G23" s="1579"/>
      <c r="H23" s="1579"/>
      <c r="I23" s="1579"/>
      <c r="J23" s="1579"/>
      <c r="K23" s="1579"/>
      <c r="L23" s="1580"/>
    </row>
    <row r="24" spans="1:12" s="1577" customFormat="1" ht="12.75">
      <c r="A24" s="1577">
        <v>11</v>
      </c>
      <c r="B24" s="1578" t="str">
        <f>'[5]Materiale Sken 13'!B4</f>
        <v>Materiale Skenografi 2013</v>
      </c>
      <c r="C24" s="1577" t="str">
        <f>'[5]Materiale Sken 13'!C4</f>
        <v>10.08.2013</v>
      </c>
      <c r="D24" s="1579">
        <f>'[5]Materiale Sken 13'!D4</f>
        <v>12750</v>
      </c>
      <c r="E24" s="1579">
        <f>'[5]Materiale Sken 13'!E4</f>
        <v>0</v>
      </c>
      <c r="F24" s="1579">
        <f>'[5]Materiale Sken 13'!F4</f>
        <v>12750</v>
      </c>
      <c r="G24" s="1579">
        <f>'[5]Materiale Sken 13'!G4</f>
        <v>0</v>
      </c>
      <c r="H24" s="1579">
        <f>'[5]Materiale Sken 13'!H4</f>
        <v>4</v>
      </c>
      <c r="I24" s="1579">
        <f>'[5]Materiale Sken 13'!I4</f>
        <v>2125</v>
      </c>
      <c r="J24" s="1579">
        <f>'[5]Materiale Sken 13'!J4</f>
        <v>2125</v>
      </c>
      <c r="K24" s="1579">
        <f>'[5]Materiale Sken 13'!K4</f>
        <v>10625</v>
      </c>
      <c r="L24" s="1580"/>
    </row>
    <row r="25" spans="1:12" s="1577" customFormat="1" ht="12.75">
      <c r="B25" s="1578"/>
      <c r="D25" s="1579"/>
      <c r="E25" s="1579"/>
      <c r="F25" s="1579"/>
      <c r="G25" s="1579"/>
      <c r="H25" s="1579"/>
      <c r="I25" s="1579"/>
      <c r="J25" s="1579"/>
      <c r="K25" s="1579"/>
      <c r="L25" s="1580"/>
    </row>
    <row r="26" spans="1:12" s="1577" customFormat="1">
      <c r="A26" s="1566">
        <v>12</v>
      </c>
      <c r="B26" s="1578" t="str">
        <f>'[5]Bateri Auto 13'!B4</f>
        <v>Bateri Auto 2013</v>
      </c>
      <c r="C26" s="1577" t="str">
        <f>'[5]Bateri Auto 13'!C4</f>
        <v>08.07.2013</v>
      </c>
      <c r="D26" s="1579">
        <f>'[5]Bateri Auto 13'!D4</f>
        <v>10500</v>
      </c>
      <c r="E26" s="1579">
        <f>'[5]Bateri Auto 13'!E4</f>
        <v>0</v>
      </c>
      <c r="F26" s="1579">
        <f>'[5]Bateri Auto 13'!F4</f>
        <v>10500</v>
      </c>
      <c r="G26" s="1579">
        <f>'[5]Bateri Auto 13'!G4</f>
        <v>0</v>
      </c>
      <c r="H26" s="1579">
        <f>'[5]Bateri Auto 13'!H4</f>
        <v>5</v>
      </c>
      <c r="I26" s="1579">
        <f>'[5]Bateri Auto 13'!I4</f>
        <v>2187.5</v>
      </c>
      <c r="J26" s="1579">
        <f>'[5]Bateri Auto 13'!J4</f>
        <v>2187.5</v>
      </c>
      <c r="K26" s="1579">
        <f>'[5]Bateri Auto 13'!K4</f>
        <v>8312.5</v>
      </c>
      <c r="L26" s="1580"/>
    </row>
    <row r="27" spans="1:12" s="1577" customFormat="1" ht="12.75">
      <c r="B27" s="1578"/>
      <c r="D27" s="1579"/>
      <c r="E27" s="1579"/>
      <c r="F27" s="1579"/>
      <c r="G27" s="1579"/>
      <c r="H27" s="1579"/>
      <c r="I27" s="1579"/>
      <c r="J27" s="1579"/>
      <c r="K27" s="1579"/>
      <c r="L27" s="1580"/>
    </row>
    <row r="28" spans="1:12" s="1577" customFormat="1">
      <c r="A28" s="1566">
        <v>13</v>
      </c>
      <c r="B28" s="1578" t="str">
        <f>'[5]Led Shirit 13'!B4</f>
        <v>Led Shirit 2013</v>
      </c>
      <c r="C28" s="1577" t="str">
        <f>'[5]Led Shirit 13'!C4</f>
        <v>08.05.2013</v>
      </c>
      <c r="D28" s="1579">
        <f>'[5]Led Shirit 13'!D4</f>
        <v>11250</v>
      </c>
      <c r="E28" s="1579">
        <f>'[5]Led Shirit 13'!E4</f>
        <v>0</v>
      </c>
      <c r="F28" s="1579">
        <f>'[5]Led Shirit 13'!F4</f>
        <v>11250</v>
      </c>
      <c r="G28" s="1579">
        <f>'[5]Led Shirit 13'!G4</f>
        <v>0</v>
      </c>
      <c r="H28" s="1579">
        <f>'[5]Led Shirit 13'!H4</f>
        <v>7</v>
      </c>
      <c r="I28" s="1579">
        <f>'[5]Led Shirit 13'!I4</f>
        <v>3281.25</v>
      </c>
      <c r="J28" s="1579">
        <f>'[5]Led Shirit 13'!J4</f>
        <v>3281.25</v>
      </c>
      <c r="K28" s="1579">
        <f>'[5]Led Shirit 13'!K4</f>
        <v>7968.75</v>
      </c>
      <c r="L28" s="1580"/>
    </row>
    <row r="29" spans="1:12" s="1577" customFormat="1" ht="12.75">
      <c r="B29" s="1578"/>
      <c r="D29" s="1579"/>
      <c r="E29" s="1579"/>
      <c r="F29" s="1579"/>
      <c r="G29" s="1579"/>
      <c r="H29" s="1579"/>
      <c r="I29" s="1579"/>
      <c r="J29" s="1579"/>
      <c r="K29" s="1579"/>
      <c r="L29" s="1580"/>
    </row>
    <row r="30" spans="1:12" s="1577" customFormat="1">
      <c r="A30" s="1566">
        <v>14</v>
      </c>
      <c r="B30" s="1578" t="str">
        <f>'[5]Ferrota 13'!B4</f>
        <v>Ferrota 2013</v>
      </c>
      <c r="C30" s="1577" t="str">
        <f>'[5]Ferrota 13'!C4</f>
        <v>05.06.2013</v>
      </c>
      <c r="D30" s="1579">
        <f>'[5]Ferrota 13'!D4</f>
        <v>13500</v>
      </c>
      <c r="E30" s="1579">
        <f>'[5]Ferrota 13'!E4</f>
        <v>0</v>
      </c>
      <c r="F30" s="1579">
        <f>'[5]Ferrota 13'!F4</f>
        <v>13500</v>
      </c>
      <c r="G30" s="1579">
        <f>'[5]Ferrota 13'!G4</f>
        <v>0</v>
      </c>
      <c r="H30" s="1579">
        <f>'[5]Ferrota 13'!H4</f>
        <v>6</v>
      </c>
      <c r="I30" s="1579">
        <f>'[5]Ferrota 13'!I4</f>
        <v>3375</v>
      </c>
      <c r="J30" s="1579">
        <f>'[5]Ferrota 13'!J4</f>
        <v>3375</v>
      </c>
      <c r="K30" s="1579">
        <f>'[5]Ferrota 13'!K4</f>
        <v>10125</v>
      </c>
      <c r="L30" s="1580"/>
    </row>
    <row r="31" spans="1:12" s="1577" customFormat="1" ht="12.75">
      <c r="B31" s="1578"/>
      <c r="D31" s="1579"/>
      <c r="E31" s="1579"/>
      <c r="F31" s="1579"/>
      <c r="G31" s="1579"/>
      <c r="H31" s="1579"/>
      <c r="I31" s="1579"/>
      <c r="J31" s="1579"/>
      <c r="K31" s="1579"/>
      <c r="L31" s="1580"/>
    </row>
    <row r="32" spans="1:12" s="1577" customFormat="1" ht="12.75">
      <c r="A32" s="1577">
        <v>15</v>
      </c>
      <c r="B32" s="1578" t="str">
        <f>'[5]Punime Studio 13'!B4</f>
        <v>Punime Studio 2013</v>
      </c>
      <c r="C32" s="1577" t="str">
        <f>'[5]Punime Studio 13'!C4</f>
        <v>01.06.2013</v>
      </c>
      <c r="D32" s="1579">
        <f>'[5]Punime Studio 13'!D4</f>
        <v>45600</v>
      </c>
      <c r="E32" s="1579">
        <f>'[5]Punime Studio 13'!E4</f>
        <v>0</v>
      </c>
      <c r="F32" s="1579">
        <f>'[5]Punime Studio 13'!F4</f>
        <v>45600</v>
      </c>
      <c r="G32" s="1579">
        <f>'[5]Punime Studio 13'!G4</f>
        <v>0</v>
      </c>
      <c r="H32" s="1579">
        <f>'[5]Punime Studio 13'!H4</f>
        <v>6</v>
      </c>
      <c r="I32" s="1579">
        <f>'[5]Punime Studio 13'!I4</f>
        <v>11400</v>
      </c>
      <c r="J32" s="1579">
        <f>'[5]Punime Studio 13'!J4</f>
        <v>11400</v>
      </c>
      <c r="K32" s="1579">
        <f>'[5]Punime Studio 13'!K4</f>
        <v>34200</v>
      </c>
      <c r="L32" s="1580"/>
    </row>
    <row r="33" spans="1:12" s="1577" customFormat="1">
      <c r="A33" s="1566"/>
      <c r="B33" s="1578"/>
      <c r="D33" s="1579"/>
      <c r="E33" s="1579"/>
      <c r="F33" s="1579"/>
      <c r="G33" s="1579"/>
      <c r="H33" s="1579"/>
      <c r="I33" s="1579"/>
      <c r="J33" s="1579"/>
      <c r="K33" s="1579"/>
      <c r="L33" s="1580"/>
    </row>
    <row r="34" spans="1:12" s="1577" customFormat="1" ht="12.75">
      <c r="A34" s="1577">
        <v>16</v>
      </c>
      <c r="B34" s="1578" t="str">
        <f>'[5]Moket Blu 13'!B4</f>
        <v>Moket Blu 2013</v>
      </c>
      <c r="C34" s="1577" t="str">
        <f>'[5]Moket Blu 13'!C4</f>
        <v>04.05.2013</v>
      </c>
      <c r="D34" s="1579">
        <f>'[5]Moket Blu 13'!D4</f>
        <v>15516</v>
      </c>
      <c r="E34" s="1579">
        <f>'[5]Moket Blu 13'!E4</f>
        <v>0</v>
      </c>
      <c r="F34" s="1579">
        <f>'[5]Moket Blu 13'!F4</f>
        <v>15516</v>
      </c>
      <c r="G34" s="1579">
        <f>'[5]Moket Blu 13'!G4</f>
        <v>0</v>
      </c>
      <c r="H34" s="1579">
        <f>'[5]Moket Blu 13'!H4</f>
        <v>7</v>
      </c>
      <c r="I34" s="1579">
        <f>'[5]Moket Blu 13'!I4</f>
        <v>4525.5</v>
      </c>
      <c r="J34" s="1579">
        <f>'[5]Moket Blu 13'!J4</f>
        <v>4525.5</v>
      </c>
      <c r="K34" s="1579">
        <f>'[5]Moket Blu 13'!K4</f>
        <v>10990.5</v>
      </c>
      <c r="L34" s="1580"/>
    </row>
    <row r="35" spans="1:12" s="1577" customFormat="1" ht="12.75">
      <c r="B35" s="1578"/>
      <c r="D35" s="1579"/>
      <c r="E35" s="1579"/>
      <c r="F35" s="1579"/>
      <c r="G35" s="1579"/>
      <c r="H35" s="1579"/>
      <c r="I35" s="1579"/>
      <c r="J35" s="1579"/>
      <c r="K35" s="1579"/>
      <c r="L35" s="1580"/>
    </row>
    <row r="36" spans="1:12" s="1577" customFormat="1">
      <c r="A36" s="1566">
        <v>17</v>
      </c>
      <c r="B36" s="1578" t="str">
        <f>'[5]kabell teknika'!B6</f>
        <v>Kabell teknika 2013</v>
      </c>
      <c r="C36" s="1577" t="str">
        <f>'[5]kabell teknika'!C6</f>
        <v>01.05.13</v>
      </c>
      <c r="D36" s="1579">
        <f>'[5]kabell teknika'!D6</f>
        <v>46170</v>
      </c>
      <c r="E36" s="1579">
        <f>'[5]kabell teknika'!E6</f>
        <v>0</v>
      </c>
      <c r="F36" s="1579">
        <f>'[5]kabell teknika'!F6</f>
        <v>46170</v>
      </c>
      <c r="G36" s="1579">
        <f>'[5]kabell teknika'!G6</f>
        <v>0</v>
      </c>
      <c r="H36" s="1579">
        <f>'[5]kabell teknika'!H6</f>
        <v>7</v>
      </c>
      <c r="I36" s="1579">
        <f>'[5]kabell teknika'!I6</f>
        <v>13466.25</v>
      </c>
      <c r="J36" s="1579">
        <f>'[5]kabell teknika'!J6</f>
        <v>13466.25</v>
      </c>
      <c r="K36" s="1579">
        <f>'[5]kabell teknika'!K6</f>
        <v>32703.75</v>
      </c>
      <c r="L36" s="1580"/>
    </row>
    <row r="37" spans="1:12" s="1577" customFormat="1">
      <c r="A37" s="1566"/>
      <c r="B37" s="1578"/>
      <c r="D37" s="1579"/>
      <c r="E37" s="1579"/>
      <c r="F37" s="1579"/>
      <c r="G37" s="1579"/>
      <c r="H37" s="1579"/>
      <c r="I37" s="1579"/>
      <c r="J37" s="1579"/>
      <c r="K37" s="1579"/>
      <c r="L37" s="1580"/>
    </row>
    <row r="38" spans="1:12" s="1577" customFormat="1" ht="12.75">
      <c r="A38" s="1577">
        <v>18</v>
      </c>
      <c r="B38" s="1578" t="str">
        <f>'[5]Boje Rul 13'!B4</f>
        <v>Boje Rul 2013</v>
      </c>
      <c r="C38" s="1577" t="str">
        <f>'[5]Boje Rul 13'!C4</f>
        <v>18.04.2013</v>
      </c>
      <c r="D38" s="1579">
        <f>'[5]Boje Rul 13'!D4</f>
        <v>12950</v>
      </c>
      <c r="E38" s="1579">
        <f>'[5]Boje Rul 13'!E4</f>
        <v>0</v>
      </c>
      <c r="F38" s="1579">
        <f>'[5]Boje Rul 13'!F4</f>
        <v>12950</v>
      </c>
      <c r="G38" s="1579">
        <f>'[5]Boje Rul 13'!G4</f>
        <v>0</v>
      </c>
      <c r="H38" s="1579">
        <f>'[5]Boje Rul 13'!H4</f>
        <v>8</v>
      </c>
      <c r="I38" s="1579">
        <f>'[5]Boje Rul 13'!I4</f>
        <v>4316.666666666667</v>
      </c>
      <c r="J38" s="1579">
        <f>'[5]Boje Rul 13'!J4</f>
        <v>4316.666666666667</v>
      </c>
      <c r="K38" s="1579">
        <f>'[5]Boje Rul 13'!K4</f>
        <v>8633.3333333333321</v>
      </c>
      <c r="L38" s="1580"/>
    </row>
    <row r="39" spans="1:12" s="1577" customFormat="1">
      <c r="A39" s="1566"/>
      <c r="B39" s="1578"/>
      <c r="D39" s="1579"/>
      <c r="E39" s="1579"/>
      <c r="F39" s="1579"/>
      <c r="G39" s="1579"/>
      <c r="H39" s="1579"/>
      <c r="I39" s="1579"/>
      <c r="J39" s="1579"/>
      <c r="K39" s="1579"/>
      <c r="L39" s="1580"/>
    </row>
    <row r="40" spans="1:12" s="1577" customFormat="1" ht="12.75">
      <c r="A40" s="1577">
        <v>19</v>
      </c>
      <c r="B40" s="1578" t="str">
        <f>'[5]Ene Kuzhine 13'!B4</f>
        <v>Ene Kuzhine , 2013</v>
      </c>
      <c r="C40" s="1577" t="str">
        <f>'[5]Ene Kuzhine 13'!C4</f>
        <v>18.04.2013</v>
      </c>
      <c r="D40" s="1579">
        <f>'[5]Ene Kuzhine 13'!D4</f>
        <v>144608</v>
      </c>
      <c r="E40" s="1579">
        <f>'[5]Ene Kuzhine 13'!E4</f>
        <v>0</v>
      </c>
      <c r="F40" s="1579">
        <f>'[5]Ene Kuzhine 13'!F4</f>
        <v>144608</v>
      </c>
      <c r="G40" s="1579">
        <f>'[5]Ene Kuzhine 13'!G4</f>
        <v>0</v>
      </c>
      <c r="H40" s="1579">
        <f>'[5]Ene Kuzhine 13'!H4</f>
        <v>8</v>
      </c>
      <c r="I40" s="1579">
        <f>'[5]Ene Kuzhine 13'!I4</f>
        <v>48202.666666666664</v>
      </c>
      <c r="J40" s="1579">
        <f>'[5]Ene Kuzhine 13'!J4</f>
        <v>48202.666666666664</v>
      </c>
      <c r="K40" s="1579">
        <f>'[5]Ene Kuzhine 13'!K4</f>
        <v>96405.333333333343</v>
      </c>
      <c r="L40" s="1580"/>
    </row>
    <row r="41" spans="1:12" s="1577" customFormat="1" ht="12.75">
      <c r="B41" s="1578"/>
      <c r="D41" s="1579"/>
      <c r="E41" s="1579"/>
      <c r="F41" s="1579"/>
      <c r="G41" s="1579"/>
      <c r="H41" s="1579"/>
      <c r="I41" s="1579"/>
      <c r="J41" s="1579"/>
      <c r="K41" s="1579"/>
      <c r="L41" s="1580"/>
    </row>
    <row r="42" spans="1:12" s="1577" customFormat="1">
      <c r="A42" s="1566">
        <v>20</v>
      </c>
      <c r="B42" s="1578" t="str">
        <f>'[5]Profile, Vida 13'!B4</f>
        <v>Profile, Vida 2013</v>
      </c>
      <c r="C42" s="1577" t="str">
        <f>'[5]Profile, Vida 13'!C4</f>
        <v>09.04.2013</v>
      </c>
      <c r="D42" s="1579">
        <f>'[5]Profile, Vida 13'!D4</f>
        <v>15600</v>
      </c>
      <c r="E42" s="1579">
        <f>'[5]Profile, Vida 13'!E4</f>
        <v>0</v>
      </c>
      <c r="F42" s="1579">
        <f>'[5]Profile, Vida 13'!F4</f>
        <v>15600</v>
      </c>
      <c r="G42" s="1579">
        <f>'[5]Profile, Vida 13'!G4</f>
        <v>0</v>
      </c>
      <c r="H42" s="1579">
        <f>'[5]Profile, Vida 13'!H4</f>
        <v>8</v>
      </c>
      <c r="I42" s="1579">
        <f>'[5]Profile, Vida 13'!I4</f>
        <v>5200</v>
      </c>
      <c r="J42" s="1579">
        <f>'[5]Profile, Vida 13'!J4</f>
        <v>5200</v>
      </c>
      <c r="K42" s="1579">
        <f>'[5]Profile, Vida 13'!K4</f>
        <v>10400</v>
      </c>
      <c r="L42" s="1580"/>
    </row>
    <row r="43" spans="1:12" s="1577" customFormat="1" ht="12.75">
      <c r="B43" s="1578"/>
      <c r="D43" s="1579"/>
      <c r="E43" s="1579"/>
      <c r="F43" s="1579"/>
      <c r="G43" s="1579"/>
      <c r="H43" s="1579"/>
      <c r="I43" s="1579"/>
      <c r="J43" s="1579"/>
      <c r="K43" s="1579"/>
      <c r="L43" s="1580"/>
    </row>
    <row r="44" spans="1:12" s="1577" customFormat="1">
      <c r="A44" s="1566">
        <v>21</v>
      </c>
      <c r="B44" s="1578" t="str">
        <f>'[5]Linoleum 13'!B4</f>
        <v>Linoleum 2013</v>
      </c>
      <c r="C44" s="1577" t="str">
        <f>'[5]Linoleum 13'!C4</f>
        <v>01.04.2013</v>
      </c>
      <c r="D44" s="1579">
        <f>'[5]Linoleum 13'!D4</f>
        <v>18041</v>
      </c>
      <c r="E44" s="1579">
        <f>'[5]Linoleum 13'!E4</f>
        <v>0</v>
      </c>
      <c r="F44" s="1579">
        <f>'[5]Linoleum 13'!F4</f>
        <v>18041</v>
      </c>
      <c r="G44" s="1579">
        <f>'[5]Linoleum 13'!G4</f>
        <v>0</v>
      </c>
      <c r="H44" s="1579">
        <f>'[5]Linoleum 13'!H4</f>
        <v>8</v>
      </c>
      <c r="I44" s="1579">
        <f>'[5]Linoleum 13'!I4</f>
        <v>6013.666666666667</v>
      </c>
      <c r="J44" s="1579">
        <f>'[5]Linoleum 13'!J4</f>
        <v>6013.666666666667</v>
      </c>
      <c r="K44" s="1579">
        <f>'[5]Linoleum 13'!K4</f>
        <v>12027.333333333332</v>
      </c>
      <c r="L44" s="1580"/>
    </row>
    <row r="45" spans="1:12" s="1577" customFormat="1" ht="12.75">
      <c r="B45" s="1578"/>
      <c r="D45" s="1579"/>
      <c r="E45" s="1579"/>
      <c r="F45" s="1579"/>
      <c r="G45" s="1579"/>
      <c r="H45" s="1579"/>
      <c r="I45" s="1579"/>
      <c r="J45" s="1579"/>
      <c r="K45" s="1579"/>
      <c r="L45" s="1580"/>
    </row>
    <row r="46" spans="1:12" s="1577" customFormat="1">
      <c r="A46" s="1566">
        <v>22</v>
      </c>
      <c r="B46" s="1578" t="str">
        <f>'[5]Boje Lyerje 13'!B4</f>
        <v>Boje Lyerje 2013</v>
      </c>
      <c r="C46" s="1577" t="str">
        <f>'[5]Boje Lyerje 13'!C4</f>
        <v>12.01.2013</v>
      </c>
      <c r="D46" s="1579">
        <f>'[5]Boje Lyerje 13'!D4</f>
        <v>8000</v>
      </c>
      <c r="E46" s="1579">
        <f>'[5]Boje Lyerje 13'!E4</f>
        <v>0</v>
      </c>
      <c r="F46" s="1579">
        <f>'[5]Boje Lyerje 13'!F4</f>
        <v>8000</v>
      </c>
      <c r="G46" s="1579">
        <f>'[5]Boje Lyerje 13'!G4</f>
        <v>0</v>
      </c>
      <c r="H46" s="1579">
        <f>'[5]Boje Lyerje 13'!H4</f>
        <v>11</v>
      </c>
      <c r="I46" s="1579">
        <f>'[5]Boje Lyerje 13'!I4</f>
        <v>3666.6666666666665</v>
      </c>
      <c r="J46" s="1579">
        <f>'[5]Boje Lyerje 13'!J4</f>
        <v>3666.6666666666665</v>
      </c>
      <c r="K46" s="1579">
        <f>'[5]Boje Lyerje 13'!K4</f>
        <v>4333.3333333333339</v>
      </c>
      <c r="L46" s="1580"/>
    </row>
    <row r="47" spans="1:12" s="1577" customFormat="1" ht="12.75">
      <c r="B47" s="1578"/>
      <c r="D47" s="1579"/>
      <c r="E47" s="1579"/>
      <c r="F47" s="1579"/>
      <c r="G47" s="1579"/>
      <c r="H47" s="1579"/>
      <c r="I47" s="1579"/>
      <c r="J47" s="1579"/>
      <c r="K47" s="1579"/>
      <c r="L47" s="1580"/>
    </row>
    <row r="48" spans="1:12" s="1577" customFormat="1" ht="12.75">
      <c r="A48" s="1577">
        <v>23</v>
      </c>
      <c r="B48" s="1578" t="str">
        <f>'[5]Kabell teknik 13'!B4</f>
        <v>Kabell Teknik 2013</v>
      </c>
      <c r="C48" s="1577" t="str">
        <f>'[5]Kabell teknik 13'!C4</f>
        <v>07.01.2013</v>
      </c>
      <c r="D48" s="1579">
        <f>'[5]Kabell teknik 13'!D4</f>
        <v>94700</v>
      </c>
      <c r="E48" s="1579">
        <f>'[5]Kabell teknik 13'!E4</f>
        <v>0</v>
      </c>
      <c r="F48" s="1579">
        <f>'[5]Kabell teknik 13'!F4</f>
        <v>94700</v>
      </c>
      <c r="G48" s="1579">
        <f>'[5]Kabell teknik 13'!G4</f>
        <v>0</v>
      </c>
      <c r="H48" s="1579">
        <f>'[5]Kabell teknik 13'!H4</f>
        <v>11</v>
      </c>
      <c r="I48" s="1579">
        <f>'[5]Kabell teknik 13'!I4</f>
        <v>43404.166666666672</v>
      </c>
      <c r="J48" s="1579">
        <f>'[5]Kabell teknik 13'!J4</f>
        <v>43404.166666666672</v>
      </c>
      <c r="K48" s="1579">
        <f>'[5]Kabell teknik 13'!K4</f>
        <v>51295.833333333328</v>
      </c>
      <c r="L48" s="1580"/>
    </row>
    <row r="49" spans="1:13" s="1577" customFormat="1">
      <c r="A49" s="1566"/>
      <c r="B49" s="1578"/>
      <c r="D49" s="1579"/>
      <c r="E49" s="1579"/>
      <c r="F49" s="1579"/>
      <c r="G49" s="1579"/>
      <c r="H49" s="1579"/>
      <c r="I49" s="1579"/>
      <c r="J49" s="1579"/>
      <c r="K49" s="1579"/>
      <c r="L49" s="1580"/>
    </row>
    <row r="50" spans="1:13" s="1577" customFormat="1" ht="12.75">
      <c r="A50" s="1577">
        <v>24</v>
      </c>
      <c r="B50" s="1578" t="s">
        <v>1724</v>
      </c>
      <c r="C50" s="1577" t="s">
        <v>1725</v>
      </c>
      <c r="D50" s="1579">
        <v>7539</v>
      </c>
      <c r="E50" s="1579">
        <v>0</v>
      </c>
      <c r="F50" s="1579">
        <f>D50</f>
        <v>7539</v>
      </c>
      <c r="G50" s="1579">
        <v>0</v>
      </c>
      <c r="H50" s="1579">
        <v>9</v>
      </c>
      <c r="I50" s="1579">
        <f>F50*100%/24*H50</f>
        <v>2827.125</v>
      </c>
      <c r="J50" s="1579">
        <f>I50</f>
        <v>2827.125</v>
      </c>
      <c r="K50" s="1579">
        <f>D50-I50</f>
        <v>4711.875</v>
      </c>
      <c r="L50" s="1580"/>
    </row>
    <row r="51" spans="1:13" s="1577" customFormat="1" ht="12.75">
      <c r="B51" s="1578"/>
      <c r="D51" s="1579"/>
      <c r="E51" s="1579"/>
      <c r="F51" s="1579"/>
      <c r="G51" s="1579"/>
      <c r="H51" s="1579"/>
      <c r="I51" s="1579"/>
      <c r="J51" s="1579"/>
      <c r="K51" s="1579"/>
      <c r="L51" s="1580"/>
    </row>
    <row r="52" spans="1:13" s="1577" customFormat="1">
      <c r="A52" s="1566">
        <v>25</v>
      </c>
      <c r="B52" s="1578" t="str">
        <f>'[5]UPS 13'!B4</f>
        <v>UPS 2013</v>
      </c>
      <c r="C52" s="1577" t="str">
        <f>'[5]UPS 13'!C4</f>
        <v>06.02.2013</v>
      </c>
      <c r="D52" s="1579">
        <f>'[5]UPS 13'!D4</f>
        <v>7000</v>
      </c>
      <c r="E52" s="1579">
        <f>'[5]UPS 13'!E4</f>
        <v>0</v>
      </c>
      <c r="F52" s="1579">
        <f>'[5]UPS 13'!F4</f>
        <v>7000</v>
      </c>
      <c r="G52" s="1579">
        <f>'[5]UPS 13'!G4</f>
        <v>0</v>
      </c>
      <c r="H52" s="1579">
        <f>'[5]UPS 13'!H4</f>
        <v>10</v>
      </c>
      <c r="I52" s="1579">
        <f>'[5]UPS 13'!I4</f>
        <v>2916.666666666667</v>
      </c>
      <c r="J52" s="1579">
        <f>'[5]UPS 13'!J4</f>
        <v>2916.666666666667</v>
      </c>
      <c r="K52" s="1579">
        <f>'[5]UPS 13'!K4</f>
        <v>4083.333333333333</v>
      </c>
      <c r="L52" s="1580"/>
    </row>
    <row r="53" spans="1:13" s="1577" customFormat="1">
      <c r="A53" s="1566"/>
      <c r="B53" s="1578"/>
      <c r="D53" s="1579"/>
      <c r="E53" s="1579"/>
      <c r="F53" s="1579"/>
      <c r="G53" s="1579"/>
      <c r="H53" s="1579"/>
      <c r="I53" s="1579"/>
      <c r="J53" s="1579"/>
      <c r="K53" s="1579"/>
      <c r="L53" s="1580"/>
    </row>
    <row r="54" spans="1:13" s="1577" customFormat="1">
      <c r="A54" s="1566">
        <v>26</v>
      </c>
      <c r="B54" s="1578" t="str">
        <f>'[5]Kond 13'!B4</f>
        <v>Kondiconer 2013</v>
      </c>
      <c r="C54" s="1577" t="str">
        <f>'[5]Kond 13'!C4</f>
        <v>22.01.2013</v>
      </c>
      <c r="D54" s="1579">
        <f>'[5]Kond 13'!D4</f>
        <v>50000</v>
      </c>
      <c r="E54" s="1579">
        <f>'[5]Kond 13'!E4</f>
        <v>0</v>
      </c>
      <c r="F54" s="1579">
        <f>'[5]Kond 13'!F4</f>
        <v>50000</v>
      </c>
      <c r="G54" s="1579">
        <f>'[5]Kond 13'!G4</f>
        <v>0</v>
      </c>
      <c r="H54" s="1579">
        <f>'[5]Kond 13'!H4</f>
        <v>11</v>
      </c>
      <c r="I54" s="1579">
        <f>'[5]Kond 13'!I4</f>
        <v>22916.666666666668</v>
      </c>
      <c r="J54" s="1579">
        <f>'[5]Kond 13'!J4</f>
        <v>22916.666666666668</v>
      </c>
      <c r="K54" s="1579">
        <f>'[5]Kond 13'!K4</f>
        <v>27083.333333333332</v>
      </c>
      <c r="L54" s="1580"/>
    </row>
    <row r="55" spans="1:13" s="1577" customFormat="1">
      <c r="A55" s="1566"/>
      <c r="B55" s="1578"/>
      <c r="D55" s="1579"/>
      <c r="E55" s="1579"/>
      <c r="F55" s="1579"/>
      <c r="G55" s="1579"/>
      <c r="H55" s="1579"/>
      <c r="I55" s="1579"/>
      <c r="J55" s="1579"/>
      <c r="K55" s="1579"/>
      <c r="L55" s="1580"/>
    </row>
    <row r="56" spans="1:13" s="1577" customFormat="1">
      <c r="A56" s="1566">
        <v>27</v>
      </c>
      <c r="B56" s="1578" t="str">
        <f>'[5]Punime Gipsi 13'!B4</f>
        <v>Punime gipsi 2013</v>
      </c>
      <c r="C56" s="1577" t="str">
        <f>'[5]Punime Gipsi 13'!C4</f>
        <v>05.01.2013</v>
      </c>
      <c r="D56" s="1579">
        <f>'[5]Punime Gipsi 13'!D4</f>
        <v>9230</v>
      </c>
      <c r="E56" s="1579">
        <f>'[5]Punime Gipsi 13'!E4</f>
        <v>0</v>
      </c>
      <c r="F56" s="1579">
        <f>'[5]Punime Gipsi 13'!F4</f>
        <v>9230</v>
      </c>
      <c r="G56" s="1579">
        <f>'[5]Punime Gipsi 13'!G4</f>
        <v>0</v>
      </c>
      <c r="H56" s="1579">
        <f>'[5]Punime Gipsi 13'!H4</f>
        <v>11</v>
      </c>
      <c r="I56" s="1579">
        <f>'[5]Punime Gipsi 13'!I4</f>
        <v>4230.4166666666661</v>
      </c>
      <c r="J56" s="1579">
        <f>'[5]Punime Gipsi 13'!J4</f>
        <v>4230.4166666666661</v>
      </c>
      <c r="K56" s="1579">
        <f>'[5]Punime Gipsi 13'!K4</f>
        <v>4999.5833333333339</v>
      </c>
      <c r="L56" s="1580"/>
    </row>
    <row r="57" spans="1:13" s="1577" customFormat="1">
      <c r="B57" s="1578"/>
      <c r="C57" s="1566"/>
      <c r="D57" s="1567"/>
      <c r="E57" s="1567"/>
      <c r="F57" s="1567"/>
      <c r="G57" s="1567"/>
      <c r="H57" s="1567"/>
      <c r="I57" s="1567"/>
      <c r="J57" s="1567"/>
      <c r="K57" s="1567"/>
      <c r="L57" s="1580"/>
    </row>
    <row r="58" spans="1:13" s="1577" customFormat="1" ht="12.75">
      <c r="A58" s="1577">
        <v>28</v>
      </c>
      <c r="B58" s="1578" t="str">
        <f>'[5]Karikues Bateri 13'!B4</f>
        <v>Karikues Bateri 2013</v>
      </c>
      <c r="C58" s="1577" t="str">
        <f>'[5]Karikues Bateri 13'!C4</f>
        <v>17.01.2013</v>
      </c>
      <c r="D58" s="1579">
        <f>'[5]Karikues Bateri 13'!D4</f>
        <v>32000</v>
      </c>
      <c r="E58" s="1579">
        <f>'[5]Karikues Bateri 13'!E4</f>
        <v>0</v>
      </c>
      <c r="F58" s="1579">
        <f>'[5]Karikues Bateri 13'!F4</f>
        <v>32000</v>
      </c>
      <c r="G58" s="1579">
        <f>'[5]Karikues Bateri 13'!G4</f>
        <v>0</v>
      </c>
      <c r="H58" s="1579">
        <f>'[5]Karikues Bateri 13'!H4</f>
        <v>11</v>
      </c>
      <c r="I58" s="1579">
        <f>'[5]Karikues Bateri 13'!I4</f>
        <v>14666.666666666666</v>
      </c>
      <c r="J58" s="1579">
        <f>'[5]Karikues Bateri 13'!J4</f>
        <v>14666.666666666666</v>
      </c>
      <c r="K58" s="1579">
        <f>'[5]Karikues Bateri 13'!K4</f>
        <v>17333.333333333336</v>
      </c>
      <c r="L58" s="1580"/>
    </row>
    <row r="59" spans="1:13" s="1577" customFormat="1" ht="12.75">
      <c r="B59" s="1578"/>
      <c r="D59" s="1579"/>
      <c r="E59" s="1579"/>
      <c r="F59" s="1579"/>
      <c r="G59" s="1579"/>
      <c r="H59" s="1579"/>
      <c r="I59" s="1579"/>
      <c r="J59" s="1579"/>
      <c r="K59" s="1579"/>
      <c r="L59" s="1580"/>
    </row>
    <row r="60" spans="1:13">
      <c r="A60" s="1577">
        <v>29</v>
      </c>
      <c r="B60" s="1578" t="str">
        <f>'[5]mater sken 26.10.13'!B6</f>
        <v>Karikues Bateri 2013</v>
      </c>
      <c r="C60" s="1566" t="str">
        <f>'[5]mater sken 26.10.13'!C6</f>
        <v>26.10.13</v>
      </c>
      <c r="D60" s="1567">
        <f>'[5]mater sken 26.10.13'!D6</f>
        <v>36126</v>
      </c>
      <c r="E60" s="1567">
        <f>'[5]mater sken 26.10.13'!E6</f>
        <v>0</v>
      </c>
      <c r="F60" s="1567">
        <f>'[5]mater sken 26.10.13'!F6</f>
        <v>36126</v>
      </c>
      <c r="G60" s="1567">
        <f>'[5]mater sken 26.10.13'!G6</f>
        <v>0</v>
      </c>
      <c r="H60" s="1567">
        <f>'[5]mater sken 26.10.13'!H6</f>
        <v>2</v>
      </c>
      <c r="I60" s="1567">
        <f>'[5]mater sken 26.10.13'!I6</f>
        <v>3010.5</v>
      </c>
      <c r="J60" s="1567">
        <f>'[5]mater sken 26.10.13'!J6</f>
        <v>3010.5</v>
      </c>
      <c r="K60" s="1567">
        <f>'[5]mater sken 26.10.13'!K6</f>
        <v>33115.5</v>
      </c>
    </row>
    <row r="61" spans="1:13" s="1577" customFormat="1">
      <c r="B61" s="1578"/>
      <c r="C61" s="1566"/>
      <c r="D61" s="1567"/>
      <c r="E61" s="1567"/>
      <c r="F61" s="1567"/>
      <c r="G61" s="1567"/>
      <c r="H61" s="1567"/>
      <c r="I61" s="1567"/>
      <c r="J61" s="1567"/>
      <c r="K61" s="1567"/>
      <c r="L61" s="1580"/>
    </row>
    <row r="62" spans="1:13">
      <c r="A62" s="1566">
        <v>30</v>
      </c>
      <c r="B62" s="1566" t="str">
        <f>'[5]mat teknike 11.5'!B6</f>
        <v xml:space="preserve">Materiale teknike </v>
      </c>
      <c r="C62" s="1566" t="str">
        <f>'[5]mat teknike 11.5'!C6</f>
        <v>11.05.13</v>
      </c>
      <c r="D62" s="1567">
        <f>'[5]mat teknike 11.5'!D6</f>
        <v>7000</v>
      </c>
      <c r="E62" s="1567">
        <f>'[5]mat teknike 11.5'!E6</f>
        <v>0</v>
      </c>
      <c r="F62" s="1567">
        <f>'[5]mat teknike 11.5'!F6</f>
        <v>7000</v>
      </c>
      <c r="G62" s="1567">
        <f>'[5]mat teknike 11.5'!G6</f>
        <v>0</v>
      </c>
      <c r="H62" s="1567">
        <f>'[5]mat teknike 11.5'!H6</f>
        <v>7</v>
      </c>
      <c r="I62" s="1567">
        <f>'[5]mat teknike 11.5'!I6</f>
        <v>2041.6666666666667</v>
      </c>
      <c r="J62" s="1567">
        <f>'[5]mat teknike 11.5'!J6</f>
        <v>2041.6666666666667</v>
      </c>
      <c r="K62" s="1567">
        <f>'[5]mat teknike 11.5'!K6</f>
        <v>4958.333333333333</v>
      </c>
    </row>
    <row r="64" spans="1:13" s="1571" customFormat="1">
      <c r="A64" s="1577"/>
      <c r="B64" s="1581" t="s">
        <v>1727</v>
      </c>
      <c r="C64" s="1581">
        <v>2013</v>
      </c>
      <c r="D64" s="1582">
        <f t="shared" ref="D64:K64" si="0">SUM(D4:D62)</f>
        <v>1326260</v>
      </c>
      <c r="E64" s="1582">
        <f t="shared" si="0"/>
        <v>0</v>
      </c>
      <c r="F64" s="1582">
        <f t="shared" si="0"/>
        <v>1326260</v>
      </c>
      <c r="G64" s="1582">
        <f t="shared" si="0"/>
        <v>0</v>
      </c>
      <c r="H64" s="1582">
        <f t="shared" si="0"/>
        <v>198</v>
      </c>
      <c r="I64" s="1582">
        <f t="shared" si="0"/>
        <v>363516.08333333343</v>
      </c>
      <c r="J64" s="1582">
        <f t="shared" si="0"/>
        <v>363516.08333333343</v>
      </c>
      <c r="K64" s="1582">
        <f t="shared" si="0"/>
        <v>962743.91666666709</v>
      </c>
      <c r="L64" s="1569"/>
      <c r="M64" s="1570"/>
    </row>
    <row r="65" spans="1:13" s="1572" customFormat="1">
      <c r="A65" s="1566"/>
      <c r="D65" s="1569"/>
      <c r="E65" s="1569"/>
      <c r="F65" s="1569"/>
      <c r="G65" s="1569"/>
      <c r="H65" s="1569"/>
      <c r="I65" s="1569"/>
      <c r="J65" s="1569"/>
      <c r="K65" s="1569"/>
      <c r="L65" s="1573"/>
      <c r="M65" s="1570"/>
    </row>
    <row r="66" spans="1:13">
      <c r="B66" s="1583" t="s">
        <v>1726</v>
      </c>
      <c r="C66" s="1583">
        <v>2012</v>
      </c>
      <c r="D66" s="1584">
        <f>'[5]zentr shpernd 12'!D123</f>
        <v>4942987</v>
      </c>
      <c r="E66" s="1584">
        <f>'[5]zentr shpernd 12'!E123</f>
        <v>4047756.3551388886</v>
      </c>
      <c r="F66" s="1584">
        <f>'[5]zentr shpernd 12'!F123</f>
        <v>4942987</v>
      </c>
      <c r="G66" s="1584">
        <f>'[5]zentr shpernd 12'!G123</f>
        <v>0</v>
      </c>
      <c r="H66" s="1584">
        <f>'[5]zentr shpernd 12'!H123</f>
        <v>24</v>
      </c>
      <c r="I66" s="1584">
        <f>'[5]zentr shpernd 12'!I123</f>
        <v>1721052.1085277775</v>
      </c>
      <c r="J66" s="1584">
        <f>'[5]zentr shpernd 12'!J123</f>
        <v>2616282.7533888891</v>
      </c>
      <c r="K66" s="1584">
        <f>'[5]zentr shpernd 12'!K123</f>
        <v>2326704.2466111109</v>
      </c>
    </row>
    <row r="68" spans="1:13" s="1585" customFormat="1">
      <c r="B68" s="1586" t="s">
        <v>1728</v>
      </c>
      <c r="C68" s="1586">
        <v>2013</v>
      </c>
      <c r="D68" s="1587">
        <f>D64+D66</f>
        <v>6269247</v>
      </c>
      <c r="E68" s="1587">
        <f t="shared" ref="E68:K68" si="1">E64+E66</f>
        <v>4047756.3551388886</v>
      </c>
      <c r="F68" s="1587">
        <f t="shared" si="1"/>
        <v>6269247</v>
      </c>
      <c r="G68" s="1587">
        <f t="shared" si="1"/>
        <v>0</v>
      </c>
      <c r="H68" s="1587">
        <v>12</v>
      </c>
      <c r="I68" s="1587">
        <f>I64+I66</f>
        <v>2084568.191861111</v>
      </c>
      <c r="J68" s="1587">
        <f t="shared" si="1"/>
        <v>2979798.8367222226</v>
      </c>
      <c r="K68" s="1587">
        <f t="shared" si="1"/>
        <v>3289448.1632777778</v>
      </c>
      <c r="L68" s="1588"/>
      <c r="M68" s="1589"/>
    </row>
  </sheetData>
  <pageMargins left="0.7" right="0.7" top="0.75" bottom="0.75" header="0.3" footer="0.3"/>
  <pageSetup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1"/>
  <sheetViews>
    <sheetView showGridLines="0" topLeftCell="A181" workbookViewId="0">
      <selection activeCell="K210" sqref="K210"/>
    </sheetView>
  </sheetViews>
  <sheetFormatPr defaultRowHeight="12.75"/>
  <cols>
    <col min="1" max="1" width="6.7109375" style="1577" customWidth="1"/>
    <col min="2" max="2" width="24.7109375" style="1577" customWidth="1"/>
    <col min="3" max="3" width="12.85546875" style="1592" customWidth="1"/>
    <col min="4" max="4" width="14" style="1577" customWidth="1"/>
    <col min="5" max="5" width="14.140625" style="1577" bestFit="1" customWidth="1"/>
    <col min="6" max="6" width="15.85546875" style="1577" bestFit="1" customWidth="1"/>
    <col min="7" max="7" width="8.42578125" style="1577" customWidth="1"/>
    <col min="8" max="8" width="7.28515625" style="1577" customWidth="1"/>
    <col min="9" max="9" width="15.5703125" style="1577" customWidth="1"/>
    <col min="10" max="10" width="16.7109375" style="1577" customWidth="1"/>
    <col min="11" max="11" width="15.85546875" style="1577" customWidth="1"/>
    <col min="12" max="16384" width="9.140625" style="1577"/>
  </cols>
  <sheetData>
    <row r="1" spans="1:11">
      <c r="A1" s="1590"/>
      <c r="B1" s="1590"/>
      <c r="C1" s="1591"/>
      <c r="D1" s="1590" t="str">
        <f>'[6]ZENTR INST TEKN 13'!D2</f>
        <v>INSTALIME TEKNIKE</v>
      </c>
      <c r="E1" s="1590"/>
      <c r="F1" s="1590"/>
      <c r="G1" s="1590"/>
      <c r="H1" s="1590"/>
      <c r="I1" s="1590"/>
      <c r="J1" s="1590">
        <f>'[6]ZENTR INST TEKN 13'!J2</f>
        <v>2131</v>
      </c>
      <c r="K1" s="1590"/>
    </row>
    <row r="2" spans="1:11">
      <c r="A2" s="1590"/>
      <c r="B2" s="1590"/>
      <c r="C2" s="1591" t="str">
        <f>'[6]ZENTR INST TEKN 13'!C3</f>
        <v>viti ushtr</v>
      </c>
      <c r="D2" s="1590" t="str">
        <f>'[6]ZENTR INST TEKN 13'!D3</f>
        <v>vl fillestare</v>
      </c>
      <c r="E2" s="1590" t="str">
        <f>'[6]ZENTR INST TEKN 13'!E3</f>
        <v>vl fill mbet</v>
      </c>
      <c r="F2" s="1590" t="str">
        <f>'[6]ZENTR INST TEKN 13'!F3</f>
        <v>blerje</v>
      </c>
      <c r="G2" s="1590" t="str">
        <f>'[6]ZENTR INST TEKN 13'!G3</f>
        <v>% amort</v>
      </c>
      <c r="H2" s="1590" t="str">
        <f>'[6]ZENTR INST TEKN 13'!H3</f>
        <v>koha e perd</v>
      </c>
      <c r="I2" s="1590" t="str">
        <f>'[6]ZENTR INST TEKN 13'!I3</f>
        <v>amort ushtr</v>
      </c>
      <c r="J2" s="1590" t="str">
        <f>'[6]ZENTR INST TEKN 13'!J3</f>
        <v>amort tot</v>
      </c>
      <c r="K2" s="1590" t="str">
        <f>'[6]ZENTR INST TEKN 13'!K3</f>
        <v>vl mbetur</v>
      </c>
    </row>
    <row r="3" spans="1:11">
      <c r="A3" s="1577">
        <f>'[6]ZENTR INST TEKN 13'!A4</f>
        <v>1</v>
      </c>
      <c r="B3" s="1577" t="str">
        <f>'[6]ZENTR INST TEKN 13'!B4</f>
        <v>Stabilizator 2013</v>
      </c>
      <c r="C3" s="1592" t="str">
        <f>'[6]ZENTR INST TEKN 13'!C4</f>
        <v>09.07.2013</v>
      </c>
      <c r="D3" s="1593">
        <f>'[6]ZENTR INST TEKN 13'!D4</f>
        <v>42000</v>
      </c>
      <c r="E3" s="1593">
        <f>'[6]ZENTR INST TEKN 13'!E4</f>
        <v>0</v>
      </c>
      <c r="F3" s="1593">
        <f>'[6]ZENTR INST TEKN 13'!F4</f>
        <v>42000</v>
      </c>
      <c r="G3" s="1593">
        <f>'[6]ZENTR INST TEKN 13'!G4</f>
        <v>20</v>
      </c>
      <c r="H3" s="1593">
        <f>'[6]ZENTR INST TEKN 13'!H4</f>
        <v>5</v>
      </c>
      <c r="I3" s="1593">
        <f>'[6]ZENTR INST TEKN 13'!I4</f>
        <v>3500</v>
      </c>
      <c r="J3" s="1593">
        <f>'[6]ZENTR INST TEKN 13'!J4</f>
        <v>3500</v>
      </c>
      <c r="K3" s="1593">
        <f>'[6]ZENTR INST TEKN 13'!K4</f>
        <v>38500</v>
      </c>
    </row>
    <row r="4" spans="1:11">
      <c r="D4" s="1593"/>
      <c r="E4" s="1593"/>
      <c r="F4" s="1593"/>
      <c r="G4" s="1593"/>
      <c r="H4" s="1593"/>
      <c r="I4" s="1593"/>
      <c r="J4" s="1593"/>
      <c r="K4" s="1593"/>
    </row>
    <row r="5" spans="1:11">
      <c r="A5" s="1577">
        <f>'[6]ZENTR INST TEKN 13'!A6</f>
        <v>2</v>
      </c>
      <c r="B5" s="1577" t="str">
        <f>'[6]ZENTR INST TEKN 13'!B6</f>
        <v>Mixer RGB 2013</v>
      </c>
      <c r="C5" s="1592" t="str">
        <f>'[6]ZENTR INST TEKN 13'!C6</f>
        <v>08.05.2013</v>
      </c>
      <c r="D5" s="1593">
        <f>'[6]ZENTR INST TEKN 13'!D6</f>
        <v>4500</v>
      </c>
      <c r="E5" s="1593">
        <f>'[6]ZENTR INST TEKN 13'!E6</f>
        <v>0</v>
      </c>
      <c r="F5" s="1593">
        <f>'[6]ZENTR INST TEKN 13'!F6</f>
        <v>4500</v>
      </c>
      <c r="G5" s="1593">
        <f>'[6]ZENTR INST TEKN 13'!G6</f>
        <v>20</v>
      </c>
      <c r="H5" s="1593">
        <f>'[6]ZENTR INST TEKN 13'!H6</f>
        <v>7</v>
      </c>
      <c r="I5" s="1593">
        <f>'[6]ZENTR INST TEKN 13'!I6</f>
        <v>525</v>
      </c>
      <c r="J5" s="1593">
        <f>'[6]ZENTR INST TEKN 13'!J6</f>
        <v>525</v>
      </c>
      <c r="K5" s="1593">
        <f>'[6]ZENTR INST TEKN 13'!K6</f>
        <v>3975</v>
      </c>
    </row>
    <row r="6" spans="1:11">
      <c r="D6" s="1593"/>
      <c r="E6" s="1593"/>
      <c r="F6" s="1593"/>
      <c r="G6" s="1593"/>
      <c r="H6" s="1593"/>
      <c r="I6" s="1593"/>
      <c r="J6" s="1593"/>
      <c r="K6" s="1593"/>
    </row>
    <row r="7" spans="1:11">
      <c r="A7" s="1577">
        <f>'[6]ZENTR INST TEKN 13'!A8</f>
        <v>3</v>
      </c>
      <c r="B7" s="1577" t="str">
        <f>'[6]ZENTR INST TEKN 13'!B8</f>
        <v>Kondicioner 2013</v>
      </c>
      <c r="C7" s="1592" t="str">
        <f>'[6]ZENTR INST TEKN 13'!C8</f>
        <v>19.06.2013</v>
      </c>
      <c r="D7" s="1593">
        <f>'[6]ZENTR INST TEKN 13'!D8</f>
        <v>82000</v>
      </c>
      <c r="E7" s="1593">
        <f>'[6]ZENTR INST TEKN 13'!E8</f>
        <v>0</v>
      </c>
      <c r="F7" s="1593">
        <f>'[6]ZENTR INST TEKN 13'!F8</f>
        <v>82000</v>
      </c>
      <c r="G7" s="1593">
        <f>'[6]ZENTR INST TEKN 13'!G8</f>
        <v>20</v>
      </c>
      <c r="H7" s="1593">
        <f>'[6]ZENTR INST TEKN 13'!H8</f>
        <v>6</v>
      </c>
      <c r="I7" s="1593">
        <f>'[6]ZENTR INST TEKN 13'!I8</f>
        <v>8200</v>
      </c>
      <c r="J7" s="1593">
        <f>'[6]ZENTR INST TEKN 13'!J8</f>
        <v>8200</v>
      </c>
      <c r="K7" s="1593">
        <f>'[6]ZENTR INST TEKN 13'!K8</f>
        <v>73800</v>
      </c>
    </row>
    <row r="8" spans="1:11">
      <c r="D8" s="1593"/>
      <c r="E8" s="1593"/>
      <c r="F8" s="1593"/>
      <c r="G8" s="1593"/>
      <c r="H8" s="1593"/>
      <c r="I8" s="1593"/>
      <c r="J8" s="1593"/>
      <c r="K8" s="1593"/>
    </row>
    <row r="9" spans="1:11">
      <c r="A9" s="1577">
        <f>'[6]ZENTR INST TEKN 13'!A10</f>
        <v>4</v>
      </c>
      <c r="B9" s="1577" t="str">
        <f>'[6]ZENTR INST TEKN 13'!B10</f>
        <v>Link Digital 2013</v>
      </c>
      <c r="C9" s="1592" t="str">
        <f>'[6]ZENTR INST TEKN 13'!C10</f>
        <v>13.06.2013</v>
      </c>
      <c r="D9" s="1593">
        <f>'[6]ZENTR INST TEKN 13'!D10</f>
        <v>2091862</v>
      </c>
      <c r="E9" s="1593">
        <f>'[6]ZENTR INST TEKN 13'!E10</f>
        <v>0</v>
      </c>
      <c r="F9" s="1593">
        <f>'[6]ZENTR INST TEKN 13'!F10</f>
        <v>2091862</v>
      </c>
      <c r="G9" s="1593">
        <f>'[6]ZENTR INST TEKN 13'!G10</f>
        <v>20</v>
      </c>
      <c r="H9" s="1593">
        <f>'[6]ZENTR INST TEKN 13'!H10</f>
        <v>6</v>
      </c>
      <c r="I9" s="1593">
        <f>'[6]ZENTR INST TEKN 13'!I10</f>
        <v>209186.2</v>
      </c>
      <c r="J9" s="1593">
        <f>'[6]ZENTR INST TEKN 13'!J10</f>
        <v>209186.2</v>
      </c>
      <c r="K9" s="1593">
        <f>'[6]ZENTR INST TEKN 13'!K10</f>
        <v>1882675.8</v>
      </c>
    </row>
    <row r="10" spans="1:11">
      <c r="D10" s="1593"/>
      <c r="E10" s="1593"/>
      <c r="F10" s="1593"/>
      <c r="G10" s="1593"/>
      <c r="H10" s="1593"/>
      <c r="I10" s="1593"/>
      <c r="J10" s="1593"/>
      <c r="K10" s="1593"/>
    </row>
    <row r="11" spans="1:11">
      <c r="A11" s="1577">
        <f>'[6]ZENTR INST TEKN 13'!A12</f>
        <v>5</v>
      </c>
      <c r="B11" s="1577" t="str">
        <f>'[6]ZENTR INST TEKN 13'!B12</f>
        <v>Stabilizator 2013</v>
      </c>
      <c r="C11" s="1592" t="str">
        <f>'[6]ZENTR INST TEKN 13'!C12</f>
        <v>12.06.2013</v>
      </c>
      <c r="D11" s="1593">
        <f>'[6]ZENTR INST TEKN 13'!D12</f>
        <v>119382</v>
      </c>
      <c r="E11" s="1593">
        <f>'[6]ZENTR INST TEKN 13'!E12</f>
        <v>0</v>
      </c>
      <c r="F11" s="1593">
        <f>'[6]ZENTR INST TEKN 13'!F12</f>
        <v>119382</v>
      </c>
      <c r="G11" s="1593">
        <f>'[6]ZENTR INST TEKN 13'!G12</f>
        <v>20</v>
      </c>
      <c r="H11" s="1593">
        <f>'[6]ZENTR INST TEKN 13'!H12</f>
        <v>6</v>
      </c>
      <c r="I11" s="1593">
        <f>'[6]ZENTR INST TEKN 13'!I12</f>
        <v>11938.2</v>
      </c>
      <c r="J11" s="1593">
        <f>'[6]ZENTR INST TEKN 13'!J12</f>
        <v>11938.2</v>
      </c>
      <c r="K11" s="1593">
        <f>'[6]ZENTR INST TEKN 13'!K12</f>
        <v>107443.8</v>
      </c>
    </row>
    <row r="12" spans="1:11">
      <c r="D12" s="1593"/>
      <c r="E12" s="1593"/>
      <c r="F12" s="1593"/>
      <c r="G12" s="1593"/>
      <c r="H12" s="1593"/>
      <c r="I12" s="1593"/>
      <c r="J12" s="1593"/>
      <c r="K12" s="1593"/>
    </row>
    <row r="13" spans="1:11">
      <c r="A13" s="1577">
        <f>'[6]ZENTR INST TEKN 13'!A14</f>
        <v>6</v>
      </c>
      <c r="B13" s="1577" t="str">
        <f>'[6]ZENTR INST TEKN 13'!B14</f>
        <v>Kondicioner 2013</v>
      </c>
      <c r="C13" s="1592" t="str">
        <f>'[6]ZENTR INST TEKN 13'!C14</f>
        <v>13.05.2013</v>
      </c>
      <c r="D13" s="1593">
        <f>'[6]ZENTR INST TEKN 13'!D14</f>
        <v>107000</v>
      </c>
      <c r="E13" s="1593">
        <f>'[6]ZENTR INST TEKN 13'!E14</f>
        <v>0</v>
      </c>
      <c r="F13" s="1593">
        <f>'[6]ZENTR INST TEKN 13'!F14</f>
        <v>107000</v>
      </c>
      <c r="G13" s="1593">
        <f>'[6]ZENTR INST TEKN 13'!G14</f>
        <v>20</v>
      </c>
      <c r="H13" s="1593">
        <f>'[6]ZENTR INST TEKN 13'!H14</f>
        <v>7</v>
      </c>
      <c r="I13" s="1593">
        <f>'[6]ZENTR INST TEKN 13'!I14</f>
        <v>12483.333333333332</v>
      </c>
      <c r="J13" s="1593">
        <f>'[6]ZENTR INST TEKN 13'!J14</f>
        <v>12483.333333333332</v>
      </c>
      <c r="K13" s="1593">
        <f>'[6]ZENTR INST TEKN 13'!K14</f>
        <v>94516.666666666672</v>
      </c>
    </row>
    <row r="14" spans="1:11">
      <c r="D14" s="1593"/>
      <c r="E14" s="1593"/>
      <c r="F14" s="1593"/>
      <c r="G14" s="1593"/>
      <c r="H14" s="1593"/>
      <c r="I14" s="1593"/>
      <c r="J14" s="1593"/>
      <c r="K14" s="1593"/>
    </row>
    <row r="15" spans="1:11">
      <c r="A15" s="1577">
        <f>'[6]ZENTR INST TEKN 13'!A16</f>
        <v>7</v>
      </c>
      <c r="B15" s="1577" t="str">
        <f>'[6]ZENTR INST TEKN 13'!B16</f>
        <v>Mikrofon 2013</v>
      </c>
      <c r="C15" s="1592" t="str">
        <f>'[6]ZENTR INST TEKN 13'!C16</f>
        <v>14.05.2013</v>
      </c>
      <c r="D15" s="1593">
        <f>'[6]ZENTR INST TEKN 13'!D16</f>
        <v>23500</v>
      </c>
      <c r="E15" s="1593">
        <f>'[6]ZENTR INST TEKN 13'!E16</f>
        <v>0</v>
      </c>
      <c r="F15" s="1593">
        <f>'[6]ZENTR INST TEKN 13'!F16</f>
        <v>23500</v>
      </c>
      <c r="G15" s="1593">
        <f>'[6]ZENTR INST TEKN 13'!G16</f>
        <v>20</v>
      </c>
      <c r="H15" s="1593">
        <f>'[6]ZENTR INST TEKN 13'!H16</f>
        <v>7</v>
      </c>
      <c r="I15" s="1593">
        <f>'[6]ZENTR INST TEKN 13'!I16</f>
        <v>2741.666666666667</v>
      </c>
      <c r="J15" s="1593">
        <f>'[6]ZENTR INST TEKN 13'!J16</f>
        <v>2741.666666666667</v>
      </c>
      <c r="K15" s="1593">
        <f>'[6]ZENTR INST TEKN 13'!K16</f>
        <v>20758.333333333332</v>
      </c>
    </row>
    <row r="16" spans="1:11">
      <c r="D16" s="1593"/>
      <c r="E16" s="1593"/>
      <c r="F16" s="1593"/>
      <c r="G16" s="1593"/>
      <c r="H16" s="1593"/>
      <c r="I16" s="1593"/>
      <c r="J16" s="1593"/>
      <c r="K16" s="1593"/>
    </row>
    <row r="17" spans="1:11">
      <c r="A17" s="1577">
        <f>'[6]ZENTR INST TEKN 13'!A18</f>
        <v>8</v>
      </c>
      <c r="B17" s="1577" t="str">
        <f>'[6]ZENTR INST TEKN 13'!B18</f>
        <v>Radio Anten 2013</v>
      </c>
      <c r="C17" s="1592" t="str">
        <f>'[6]ZENTR INST TEKN 13'!C18</f>
        <v>04.04.2013</v>
      </c>
      <c r="D17" s="1593">
        <f>'[6]ZENTR INST TEKN 13'!D18</f>
        <v>28116</v>
      </c>
      <c r="E17" s="1593">
        <f>'[6]ZENTR INST TEKN 13'!E18</f>
        <v>0</v>
      </c>
      <c r="F17" s="1593">
        <f>'[6]ZENTR INST TEKN 13'!F18</f>
        <v>28116</v>
      </c>
      <c r="G17" s="1593">
        <f>'[6]ZENTR INST TEKN 13'!G18</f>
        <v>20</v>
      </c>
      <c r="H17" s="1593">
        <f>'[6]ZENTR INST TEKN 13'!H18</f>
        <v>8</v>
      </c>
      <c r="I17" s="1593">
        <f>'[6]ZENTR INST TEKN 13'!I18</f>
        <v>3748.8000000000006</v>
      </c>
      <c r="J17" s="1593">
        <f>'[6]ZENTR INST TEKN 13'!J18</f>
        <v>3748.8000000000006</v>
      </c>
      <c r="K17" s="1593">
        <f>'[6]ZENTR INST TEKN 13'!K18</f>
        <v>24367.200000000001</v>
      </c>
    </row>
    <row r="18" spans="1:11">
      <c r="D18" s="1593"/>
      <c r="E18" s="1593"/>
      <c r="F18" s="1593"/>
      <c r="G18" s="1593"/>
      <c r="H18" s="1593"/>
      <c r="I18" s="1593"/>
      <c r="J18" s="1593"/>
      <c r="K18" s="1593"/>
    </row>
    <row r="19" spans="1:11">
      <c r="A19" s="1577">
        <f>'[6]ZENTR INST TEKN 13'!A20</f>
        <v>9</v>
      </c>
      <c r="B19" s="1577" t="str">
        <f>'[6]ZENTR INST TEKN 13'!B20</f>
        <v>Kondicioner 2013</v>
      </c>
      <c r="C19" s="1592" t="str">
        <f>'[6]ZENTR INST TEKN 13'!C20</f>
        <v>21.03.2013</v>
      </c>
      <c r="D19" s="1593">
        <f>'[6]ZENTR INST TEKN 13'!D20</f>
        <v>123667</v>
      </c>
      <c r="E19" s="1593">
        <f>'[6]ZENTR INST TEKN 13'!E20</f>
        <v>0</v>
      </c>
      <c r="F19" s="1593">
        <f>'[6]ZENTR INST TEKN 13'!F20</f>
        <v>123667</v>
      </c>
      <c r="G19" s="1593">
        <f>'[6]ZENTR INST TEKN 13'!G20</f>
        <v>20</v>
      </c>
      <c r="H19" s="1593">
        <f>'[6]ZENTR INST TEKN 13'!H20</f>
        <v>9</v>
      </c>
      <c r="I19" s="1593">
        <f>'[6]ZENTR INST TEKN 13'!I20</f>
        <v>18550.050000000003</v>
      </c>
      <c r="J19" s="1593">
        <f>'[6]ZENTR INST TEKN 13'!J20</f>
        <v>18550.050000000003</v>
      </c>
      <c r="K19" s="1593">
        <f>'[6]ZENTR INST TEKN 13'!K20</f>
        <v>105116.95</v>
      </c>
    </row>
    <row r="20" spans="1:11">
      <c r="D20" s="1593"/>
      <c r="E20" s="1593"/>
      <c r="F20" s="1593"/>
      <c r="G20" s="1593"/>
      <c r="H20" s="1593"/>
      <c r="I20" s="1593"/>
      <c r="J20" s="1593"/>
      <c r="K20" s="1593"/>
    </row>
    <row r="21" spans="1:11">
      <c r="A21" s="1577">
        <f>'[6]ZENTR INST TEKN 13'!A22</f>
        <v>10</v>
      </c>
      <c r="B21" s="1577" t="str">
        <f>'[6]ZENTR INST TEKN 13'!B22</f>
        <v>Dekoder Satelitor  2013</v>
      </c>
      <c r="C21" s="1592" t="str">
        <f>'[6]ZENTR INST TEKN 13'!C22</f>
        <v>20.07.2013</v>
      </c>
      <c r="D21" s="1593">
        <f>'[6]ZENTR INST TEKN 13'!D22</f>
        <v>14000</v>
      </c>
      <c r="E21" s="1593">
        <f>'[6]ZENTR INST TEKN 13'!E22</f>
        <v>0</v>
      </c>
      <c r="F21" s="1593">
        <f>'[6]ZENTR INST TEKN 13'!F22</f>
        <v>14000</v>
      </c>
      <c r="G21" s="1593">
        <f>'[6]ZENTR INST TEKN 13'!G22</f>
        <v>20</v>
      </c>
      <c r="H21" s="1593">
        <f>'[6]ZENTR INST TEKN 13'!H22</f>
        <v>5</v>
      </c>
      <c r="I21" s="1593">
        <f>'[6]ZENTR INST TEKN 13'!I22</f>
        <v>1166.6666666666667</v>
      </c>
      <c r="J21" s="1593">
        <f>'[6]ZENTR INST TEKN 13'!J22</f>
        <v>1166.6666666666667</v>
      </c>
      <c r="K21" s="1593">
        <f>'[6]ZENTR INST TEKN 13'!K22</f>
        <v>12833.333333333334</v>
      </c>
    </row>
    <row r="22" spans="1:11">
      <c r="D22" s="1593"/>
      <c r="E22" s="1593"/>
      <c r="F22" s="1593"/>
      <c r="G22" s="1593"/>
      <c r="H22" s="1593"/>
      <c r="I22" s="1593"/>
      <c r="J22" s="1593"/>
      <c r="K22" s="1593"/>
    </row>
    <row r="23" spans="1:11">
      <c r="A23" s="1594"/>
      <c r="B23" s="1594" t="str">
        <f>'[6]ZENTR INST TEKN 13'!B24</f>
        <v>TOT</v>
      </c>
      <c r="C23" s="1595">
        <f>'[6]ZENTR INST TEKN 13'!C24</f>
        <v>2013</v>
      </c>
      <c r="D23" s="1596">
        <f>SUM(D3:D22)</f>
        <v>2636027</v>
      </c>
      <c r="E23" s="1596">
        <f t="shared" ref="E23:K23" si="0">SUM(E3:E22)</f>
        <v>0</v>
      </c>
      <c r="F23" s="1596">
        <f t="shared" si="0"/>
        <v>2636027</v>
      </c>
      <c r="G23" s="1596">
        <v>20</v>
      </c>
      <c r="H23" s="1596">
        <v>0</v>
      </c>
      <c r="I23" s="1596">
        <f t="shared" si="0"/>
        <v>272039.91666666669</v>
      </c>
      <c r="J23" s="1596">
        <f t="shared" si="0"/>
        <v>272039.91666666669</v>
      </c>
      <c r="K23" s="1596">
        <f t="shared" si="0"/>
        <v>2363987.083333334</v>
      </c>
    </row>
    <row r="25" spans="1:11">
      <c r="A25" s="1597"/>
      <c r="B25" s="1598" t="s">
        <v>1726</v>
      </c>
      <c r="C25" s="1599">
        <v>2012</v>
      </c>
      <c r="D25" s="1600">
        <f>'[6]ZENTRUM TOT 12'!D315</f>
        <v>743714</v>
      </c>
      <c r="E25" s="1600"/>
      <c r="F25" s="1600">
        <f>'[6]ZENTRUM TOT 12'!F315</f>
        <v>743714</v>
      </c>
      <c r="G25" s="1600">
        <f>'[6]ZENTRUM TOT 12'!G315</f>
        <v>20</v>
      </c>
      <c r="H25" s="1600">
        <f>'[6]ZENTRUM TOT 12'!H315</f>
        <v>12</v>
      </c>
      <c r="I25" s="1600">
        <f>'[6]ZENTRUM TOT 12'!I315</f>
        <v>138836.79999999999</v>
      </c>
      <c r="J25" s="1600">
        <f>'[6]ZENTRUM TOT 12'!J315</f>
        <v>188366.8</v>
      </c>
      <c r="K25" s="1600">
        <f>'[6]ZENTRUM TOT 12'!K315</f>
        <v>555347.19999999995</v>
      </c>
    </row>
    <row r="27" spans="1:11">
      <c r="A27" s="1601"/>
      <c r="B27" s="1601" t="s">
        <v>389</v>
      </c>
      <c r="C27" s="1602"/>
      <c r="D27" s="1603">
        <f>D23+D25</f>
        <v>3379741</v>
      </c>
      <c r="E27" s="1603">
        <f t="shared" ref="E27:J27" si="1">E23+E25</f>
        <v>0</v>
      </c>
      <c r="F27" s="1603">
        <f t="shared" si="1"/>
        <v>3379741</v>
      </c>
      <c r="G27" s="1603">
        <v>25</v>
      </c>
      <c r="H27" s="1603">
        <v>12</v>
      </c>
      <c r="I27" s="1603">
        <f>I23+I25</f>
        <v>410876.71666666667</v>
      </c>
      <c r="J27" s="1603">
        <f t="shared" si="1"/>
        <v>460406.71666666667</v>
      </c>
      <c r="K27" s="1603">
        <f>K23+K25</f>
        <v>2919334.2833333341</v>
      </c>
    </row>
    <row r="30" spans="1:11" s="1590" customFormat="1">
      <c r="C30" s="1591"/>
      <c r="D30" s="1590" t="str">
        <f>'[6]ZENTR INSTR VEGLA 13'!D2</f>
        <v xml:space="preserve">INSTRUMENTE DHE VEGLA </v>
      </c>
      <c r="J30" s="1590">
        <f>'[6]ZENTR INSTR VEGLA 13'!J2</f>
        <v>2135</v>
      </c>
    </row>
    <row r="31" spans="1:11" s="1590" customFormat="1">
      <c r="C31" s="1591" t="str">
        <f>'[6]ZENTR INSTR VEGLA 13'!C3</f>
        <v>viti ushtr</v>
      </c>
      <c r="D31" s="1590" t="str">
        <f>'[6]ZENTR INSTR VEGLA 13'!D3</f>
        <v>vl fillestare</v>
      </c>
      <c r="E31" s="1590" t="str">
        <f>'[6]ZENTR INSTR VEGLA 13'!E3</f>
        <v>vl fill mbet</v>
      </c>
      <c r="F31" s="1590" t="str">
        <f>'[6]ZENTR INSTR VEGLA 13'!F3</f>
        <v>blerje</v>
      </c>
      <c r="G31" s="1590" t="str">
        <f>'[6]ZENTR INSTR VEGLA 13'!G3</f>
        <v>% amort</v>
      </c>
      <c r="H31" s="1590" t="str">
        <f>'[6]ZENTR INSTR VEGLA 13'!H3</f>
        <v>koha e perd</v>
      </c>
      <c r="I31" s="1590" t="str">
        <f>'[6]ZENTR INSTR VEGLA 13'!I3</f>
        <v>amort ushtr</v>
      </c>
      <c r="J31" s="1590" t="str">
        <f>'[6]ZENTR INSTR VEGLA 13'!J3</f>
        <v>amort tot</v>
      </c>
      <c r="K31" s="1590" t="str">
        <f>'[6]ZENTR INSTR VEGLA 13'!K3</f>
        <v>vl mbetur</v>
      </c>
    </row>
    <row r="32" spans="1:11">
      <c r="A32" s="1577">
        <f>'[6]ZENTR INSTR VEGLA 13'!A4</f>
        <v>1</v>
      </c>
      <c r="B32" s="1577" t="str">
        <f>'[6]ZENTR INSTR VEGLA 13'!B4</f>
        <v>ROE NTG  2013</v>
      </c>
      <c r="C32" s="1592" t="str">
        <f>'[6]ZENTR INSTR VEGLA 13'!C4</f>
        <v>05.02.2013</v>
      </c>
      <c r="D32" s="1593">
        <f>'[6]ZENTR INSTR VEGLA 13'!D4</f>
        <v>21150</v>
      </c>
      <c r="E32" s="1593">
        <f>'[6]ZENTR INSTR VEGLA 13'!E4</f>
        <v>0</v>
      </c>
      <c r="F32" s="1593">
        <f>'[6]ZENTR INSTR VEGLA 13'!F4</f>
        <v>21150</v>
      </c>
      <c r="G32" s="1593">
        <f>'[6]ZENTR INSTR VEGLA 13'!G4</f>
        <v>20</v>
      </c>
      <c r="H32" s="1593">
        <f>'[6]ZENTR INSTR VEGLA 13'!H4</f>
        <v>10</v>
      </c>
      <c r="I32" s="1593">
        <f>'[6]ZENTR INSTR VEGLA 13'!I4</f>
        <v>3525</v>
      </c>
      <c r="J32" s="1593">
        <f>'[6]ZENTR INSTR VEGLA 13'!J4</f>
        <v>3525</v>
      </c>
      <c r="K32" s="1593">
        <f>'[6]ZENTR INSTR VEGLA 13'!K4</f>
        <v>17625</v>
      </c>
    </row>
    <row r="33" spans="1:12">
      <c r="D33" s="1593"/>
      <c r="E33" s="1593"/>
      <c r="F33" s="1593"/>
      <c r="G33" s="1593"/>
      <c r="H33" s="1593"/>
      <c r="I33" s="1593"/>
      <c r="J33" s="1593"/>
      <c r="K33" s="1593"/>
    </row>
    <row r="34" spans="1:12">
      <c r="A34" s="1577">
        <f>'[6]ZENTR INSTR VEGLA 13'!A6</f>
        <v>2</v>
      </c>
      <c r="B34" s="1577" t="str">
        <f>'[6]ZENTR INSTR VEGLA 13'!B6</f>
        <v>Mikrofon Shure 2013</v>
      </c>
      <c r="C34" s="1592" t="str">
        <f>'[6]ZENTR INSTR VEGLA 13'!C6</f>
        <v>26.02.2013</v>
      </c>
      <c r="D34" s="1593">
        <f>'[6]ZENTR INSTR VEGLA 13'!D6</f>
        <v>66035</v>
      </c>
      <c r="E34" s="1593">
        <f>'[6]ZENTR INSTR VEGLA 13'!E6</f>
        <v>0</v>
      </c>
      <c r="F34" s="1593">
        <f>'[6]ZENTR INSTR VEGLA 13'!F6</f>
        <v>66035</v>
      </c>
      <c r="G34" s="1593">
        <f>'[6]ZENTR INSTR VEGLA 13'!G6</f>
        <v>20</v>
      </c>
      <c r="H34" s="1593">
        <f>'[6]ZENTR INSTR VEGLA 13'!H6</f>
        <v>10</v>
      </c>
      <c r="I34" s="1593">
        <f>'[6]ZENTR INSTR VEGLA 13'!I6</f>
        <v>11005.833333333332</v>
      </c>
      <c r="J34" s="1593">
        <f>'[6]ZENTR INSTR VEGLA 13'!J6</f>
        <v>11005.833333333332</v>
      </c>
      <c r="K34" s="1593">
        <f>'[6]ZENTR INSTR VEGLA 13'!K6</f>
        <v>55029.166666666672</v>
      </c>
    </row>
    <row r="35" spans="1:12">
      <c r="D35" s="1593"/>
      <c r="E35" s="1593"/>
      <c r="F35" s="1593"/>
      <c r="G35" s="1593"/>
      <c r="H35" s="1593"/>
      <c r="I35" s="1593"/>
      <c r="J35" s="1593"/>
      <c r="K35" s="1593"/>
    </row>
    <row r="36" spans="1:12">
      <c r="A36" s="1577">
        <f>'[6]ZENTR INSTR VEGLA 13'!A8</f>
        <v>3</v>
      </c>
      <c r="B36" s="1577" t="str">
        <f>'[6]ZENTR INSTR VEGLA 13'!B8</f>
        <v>Mikrofon Shure 13</v>
      </c>
      <c r="C36" s="1592" t="str">
        <f>'[6]ZENTR INSTR VEGLA 13'!C8</f>
        <v>26.02.2013</v>
      </c>
      <c r="D36" s="1593">
        <f>'[6]ZENTR INSTR VEGLA 13'!D8</f>
        <v>53815</v>
      </c>
      <c r="E36" s="1593">
        <f>'[6]ZENTR INSTR VEGLA 13'!E8</f>
        <v>0</v>
      </c>
      <c r="F36" s="1593">
        <f>'[6]ZENTR INSTR VEGLA 13'!F8</f>
        <v>53815</v>
      </c>
      <c r="G36" s="1593">
        <f>'[6]ZENTR INSTR VEGLA 13'!G8</f>
        <v>20</v>
      </c>
      <c r="H36" s="1593">
        <f>'[6]ZENTR INSTR VEGLA 13'!H8</f>
        <v>10</v>
      </c>
      <c r="I36" s="1593">
        <f>'[6]ZENTR INSTR VEGLA 13'!I8</f>
        <v>8969.1666666666661</v>
      </c>
      <c r="J36" s="1593">
        <f>'[6]ZENTR INSTR VEGLA 13'!J8</f>
        <v>8969.1666666666661</v>
      </c>
      <c r="K36" s="1593">
        <f>'[6]ZENTR INSTR VEGLA 13'!K8</f>
        <v>44845.833333333336</v>
      </c>
    </row>
    <row r="37" spans="1:12">
      <c r="D37" s="1593"/>
      <c r="E37" s="1593"/>
      <c r="F37" s="1593"/>
      <c r="G37" s="1593"/>
      <c r="H37" s="1593"/>
      <c r="I37" s="1593"/>
      <c r="J37" s="1593"/>
      <c r="K37" s="1593"/>
    </row>
    <row r="38" spans="1:12">
      <c r="A38" s="1577">
        <f>'[6]ZENTR INSTR VEGLA 13'!A10</f>
        <v>4</v>
      </c>
      <c r="B38" s="1577" t="str">
        <f>'[6]ZENTR INSTR VEGLA 13'!B10</f>
        <v>Kitare 2013</v>
      </c>
      <c r="C38" s="1592" t="str">
        <f>'[6]ZENTR INSTR VEGLA 13'!C10</f>
        <v>28.01.2013</v>
      </c>
      <c r="D38" s="1593">
        <f>'[6]ZENTR INSTR VEGLA 13'!D10</f>
        <v>12925</v>
      </c>
      <c r="E38" s="1593">
        <f>'[6]ZENTR INSTR VEGLA 13'!E10</f>
        <v>0</v>
      </c>
      <c r="F38" s="1593">
        <f>'[6]ZENTR INSTR VEGLA 13'!F10</f>
        <v>12925</v>
      </c>
      <c r="G38" s="1593">
        <f>'[6]ZENTR INSTR VEGLA 13'!G10</f>
        <v>20</v>
      </c>
      <c r="H38" s="1593">
        <f>'[6]ZENTR INSTR VEGLA 13'!H10</f>
        <v>11</v>
      </c>
      <c r="I38" s="1593">
        <f>'[6]ZENTR INSTR VEGLA 13'!I10</f>
        <v>2369.583333333333</v>
      </c>
      <c r="J38" s="1593">
        <f>'[6]ZENTR INSTR VEGLA 13'!J10</f>
        <v>2369.583333333333</v>
      </c>
      <c r="K38" s="1593">
        <f>'[6]ZENTR INSTR VEGLA 13'!K10</f>
        <v>10555.416666666668</v>
      </c>
    </row>
    <row r="39" spans="1:12">
      <c r="D39" s="1593"/>
      <c r="E39" s="1593"/>
      <c r="F39" s="1593"/>
      <c r="G39" s="1593"/>
      <c r="H39" s="1593"/>
      <c r="I39" s="1593"/>
      <c r="J39" s="1593"/>
      <c r="K39" s="1593"/>
    </row>
    <row r="40" spans="1:12">
      <c r="A40" s="1594"/>
      <c r="B40" s="1594" t="str">
        <f>'[6]ZENTR INSTR VEGLA 13'!B12</f>
        <v>TOT</v>
      </c>
      <c r="C40" s="1595">
        <f>'[6]ZENTR INSTR VEGLA 13'!C12</f>
        <v>2013</v>
      </c>
      <c r="D40" s="1596">
        <f>SUM(D32:D39)</f>
        <v>153925</v>
      </c>
      <c r="E40" s="1596">
        <f t="shared" ref="E40:F40" si="2">SUM(E32:E39)</f>
        <v>0</v>
      </c>
      <c r="F40" s="1596">
        <f t="shared" si="2"/>
        <v>153925</v>
      </c>
      <c r="G40" s="1596">
        <f>'[6]ZENTR INSTR VEGLA 13'!G12</f>
        <v>20</v>
      </c>
      <c r="H40" s="1596">
        <f>'[6]ZENTR INSTR VEGLA 13'!H12</f>
        <v>41</v>
      </c>
      <c r="I40" s="1596">
        <f t="shared" ref="I40:K40" si="3">SUM(I32:I39)</f>
        <v>25869.583333333332</v>
      </c>
      <c r="J40" s="1596">
        <f t="shared" si="3"/>
        <v>25869.583333333332</v>
      </c>
      <c r="K40" s="1596">
        <f t="shared" si="3"/>
        <v>128055.41666666667</v>
      </c>
    </row>
    <row r="42" spans="1:12">
      <c r="A42" s="1600"/>
      <c r="B42" s="1598" t="s">
        <v>1726</v>
      </c>
      <c r="C42" s="1599">
        <v>2012</v>
      </c>
      <c r="D42" s="1600">
        <f>'[6]ZENTRUM TOT 12'!D288</f>
        <v>277167</v>
      </c>
      <c r="E42" s="1600"/>
      <c r="F42" s="1600">
        <f>'[6]ZENTRUM TOT 12'!F288</f>
        <v>277167</v>
      </c>
      <c r="G42" s="1600">
        <f>'[6]ZENTRUM TOT 12'!G288</f>
        <v>20</v>
      </c>
      <c r="H42" s="1600">
        <f>'[6]ZENTRUM TOT 12'!H288</f>
        <v>12</v>
      </c>
      <c r="I42" s="1600">
        <f>'[6]ZENTRUM TOT 12'!I288</f>
        <v>52873.393333333341</v>
      </c>
      <c r="J42" s="1600">
        <f>'[6]ZENTRUM TOT 12'!J288</f>
        <v>65673.426666666666</v>
      </c>
      <c r="K42" s="1600">
        <f>'[6]ZENTRUM TOT 12'!K288</f>
        <v>211493.57333333333</v>
      </c>
      <c r="L42" s="1604"/>
    </row>
    <row r="43" spans="1:12">
      <c r="B43" s="1592"/>
    </row>
    <row r="44" spans="1:12">
      <c r="A44" s="1601"/>
      <c r="B44" s="1601" t="s">
        <v>389</v>
      </c>
      <c r="C44" s="1602"/>
      <c r="D44" s="1603">
        <f>D40+D42</f>
        <v>431092</v>
      </c>
      <c r="E44" s="1603">
        <f t="shared" ref="E44:J44" si="4">E40+E42</f>
        <v>0</v>
      </c>
      <c r="F44" s="1603">
        <f t="shared" si="4"/>
        <v>431092</v>
      </c>
      <c r="G44" s="1603">
        <v>25</v>
      </c>
      <c r="H44" s="1603">
        <v>12</v>
      </c>
      <c r="I44" s="1603">
        <f>I40+I42</f>
        <v>78742.976666666669</v>
      </c>
      <c r="J44" s="1603">
        <f t="shared" si="4"/>
        <v>91543.01</v>
      </c>
      <c r="K44" s="1603">
        <f>K40+K42</f>
        <v>339548.99</v>
      </c>
    </row>
    <row r="49" spans="1:12" s="1590" customFormat="1">
      <c r="C49" s="1591"/>
      <c r="D49" s="1590" t="str">
        <f>'[6]ZENTR MAKIN PAISJE 13'!D2</f>
        <v xml:space="preserve">MAKINERI DHE PAJISJE PUNE </v>
      </c>
      <c r="J49" s="1590">
        <f>'[6]ZENTR MAKIN PAISJE 13'!J2</f>
        <v>2134</v>
      </c>
    </row>
    <row r="50" spans="1:12" s="1590" customFormat="1">
      <c r="A50" s="1590">
        <f>'[6]ZENTR MAKIN PAISJE 13'!A3</f>
        <v>0</v>
      </c>
      <c r="B50" s="1590">
        <f>'[6]ZENTR MAKIN PAISJE 13'!B3</f>
        <v>0</v>
      </c>
      <c r="C50" s="1591" t="str">
        <f>'[6]ZENTR MAKIN PAISJE 13'!C3</f>
        <v>viti ushtr</v>
      </c>
      <c r="D50" s="1590" t="str">
        <f>'[6]ZENTR MAKIN PAISJE 13'!D3</f>
        <v>vl fillestare</v>
      </c>
      <c r="E50" s="1590" t="str">
        <f>'[6]ZENTR MAKIN PAISJE 13'!E3</f>
        <v>vl fill mbet</v>
      </c>
      <c r="F50" s="1590" t="str">
        <f>'[6]ZENTR MAKIN PAISJE 13'!F3</f>
        <v>blerje</v>
      </c>
      <c r="G50" s="1590" t="str">
        <f>'[6]ZENTR MAKIN PAISJE 13'!G3</f>
        <v>% amort</v>
      </c>
      <c r="H50" s="1590" t="str">
        <f>'[6]ZENTR MAKIN PAISJE 13'!H3</f>
        <v>koha e perd</v>
      </c>
      <c r="I50" s="1590" t="str">
        <f>'[6]ZENTR MAKIN PAISJE 13'!I3</f>
        <v>amort ushtr</v>
      </c>
      <c r="J50" s="1590" t="str">
        <f>'[6]ZENTR MAKIN PAISJE 13'!J3</f>
        <v>amort tot</v>
      </c>
      <c r="K50" s="1590" t="str">
        <f>'[6]ZENTR MAKIN PAISJE 13'!K3</f>
        <v>vl mbetur</v>
      </c>
    </row>
    <row r="51" spans="1:12">
      <c r="A51" s="1577">
        <f>'[6]ZENTR MAKIN PAISJE 13'!A4</f>
        <v>1</v>
      </c>
      <c r="B51" s="1577" t="str">
        <f>'[6]ZENTR MAKIN PAISJE 13'!B4</f>
        <v>BMD - Perd 2013</v>
      </c>
      <c r="C51" s="1592" t="str">
        <f>'[6]ZENTR MAKIN PAISJE 13'!C4</f>
        <v>01.06.2013</v>
      </c>
      <c r="D51" s="1593">
        <f>'[6]ZENTR MAKIN PAISJE 13'!D4</f>
        <v>246417</v>
      </c>
      <c r="E51" s="1593">
        <f>'[6]ZENTR MAKIN PAISJE 13'!E4</f>
        <v>0</v>
      </c>
      <c r="F51" s="1593">
        <f>'[6]ZENTR MAKIN PAISJE 13'!F4</f>
        <v>246417</v>
      </c>
      <c r="G51" s="1593">
        <f>'[6]ZENTR MAKIN PAISJE 13'!G4</f>
        <v>20</v>
      </c>
      <c r="H51" s="1593">
        <f>'[6]ZENTR MAKIN PAISJE 13'!H4</f>
        <v>6</v>
      </c>
      <c r="I51" s="1593">
        <f>'[6]ZENTR MAKIN PAISJE 13'!I4</f>
        <v>24641.699999999997</v>
      </c>
      <c r="J51" s="1593">
        <f>'[6]ZENTR MAKIN PAISJE 13'!J4</f>
        <v>24641.699999999997</v>
      </c>
      <c r="K51" s="1593">
        <f>'[6]ZENTR MAKIN PAISJE 13'!K4</f>
        <v>221775.3</v>
      </c>
      <c r="L51" s="1593"/>
    </row>
    <row r="52" spans="1:12">
      <c r="D52" s="1593"/>
      <c r="E52" s="1593"/>
      <c r="F52" s="1593"/>
      <c r="G52" s="1593"/>
      <c r="H52" s="1593"/>
      <c r="I52" s="1593"/>
      <c r="J52" s="1593"/>
      <c r="K52" s="1593"/>
      <c r="L52" s="1593"/>
    </row>
    <row r="53" spans="1:12">
      <c r="A53" s="1577">
        <f>'[6]ZENTR MAKIN PAISJE 13'!A6</f>
        <v>2</v>
      </c>
      <c r="B53" s="1577" t="str">
        <f>'[6]ZENTR MAKIN PAISJE 13'!B6</f>
        <v>Mikser Zeri 2013</v>
      </c>
      <c r="C53" s="1592" t="str">
        <f>'[6]ZENTR MAKIN PAISJE 13'!C6</f>
        <v>07.01.2013</v>
      </c>
      <c r="D53" s="1593">
        <f>'[6]ZENTR MAKIN PAISJE 13'!D6</f>
        <v>334875</v>
      </c>
      <c r="E53" s="1593">
        <f>'[6]ZENTR MAKIN PAISJE 13'!E6</f>
        <v>0</v>
      </c>
      <c r="F53" s="1593">
        <f>'[6]ZENTR MAKIN PAISJE 13'!F6</f>
        <v>334875</v>
      </c>
      <c r="G53" s="1593">
        <f>'[6]ZENTR MAKIN PAISJE 13'!G6</f>
        <v>20</v>
      </c>
      <c r="H53" s="1593">
        <f>'[6]ZENTR MAKIN PAISJE 13'!H6</f>
        <v>11</v>
      </c>
      <c r="I53" s="1593">
        <f>'[6]ZENTR MAKIN PAISJE 13'!I6</f>
        <v>61393.75</v>
      </c>
      <c r="J53" s="1593">
        <f>'[6]ZENTR MAKIN PAISJE 13'!J6</f>
        <v>61393.75</v>
      </c>
      <c r="K53" s="1593">
        <f>'[6]ZENTR MAKIN PAISJE 13'!K6</f>
        <v>273481.25</v>
      </c>
      <c r="L53" s="1593"/>
    </row>
    <row r="54" spans="1:12">
      <c r="D54" s="1593"/>
      <c r="E54" s="1593"/>
      <c r="F54" s="1593"/>
      <c r="G54" s="1593"/>
      <c r="H54" s="1593"/>
      <c r="I54" s="1593"/>
      <c r="J54" s="1593"/>
      <c r="K54" s="1593"/>
      <c r="L54" s="1593"/>
    </row>
    <row r="55" spans="1:12">
      <c r="A55" s="1577">
        <f>'[6]ZENTR MAKIN PAISJE 13'!A8</f>
        <v>3</v>
      </c>
      <c r="B55" s="1577" t="str">
        <f>'[6]ZENTR MAKIN PAISJE 13'!B8</f>
        <v>Kamer 2013</v>
      </c>
      <c r="C55" s="1592" t="str">
        <f>'[6]ZENTR MAKIN PAISJE 13'!C8</f>
        <v>03.01.2013</v>
      </c>
      <c r="D55" s="1593">
        <f>'[6]ZENTR MAKIN PAISJE 13'!D8</f>
        <v>418830</v>
      </c>
      <c r="E55" s="1593">
        <f>'[6]ZENTR MAKIN PAISJE 13'!E8</f>
        <v>0</v>
      </c>
      <c r="F55" s="1593">
        <f>'[6]ZENTR MAKIN PAISJE 13'!F8</f>
        <v>418830</v>
      </c>
      <c r="G55" s="1593">
        <f>'[6]ZENTR MAKIN PAISJE 13'!G8</f>
        <v>20</v>
      </c>
      <c r="H55" s="1593">
        <f>'[6]ZENTR MAKIN PAISJE 13'!H8</f>
        <v>11</v>
      </c>
      <c r="I55" s="1593">
        <f>'[6]ZENTR MAKIN PAISJE 13'!I8</f>
        <v>76785.5</v>
      </c>
      <c r="J55" s="1593">
        <f>'[6]ZENTR MAKIN PAISJE 13'!J8</f>
        <v>76785.5</v>
      </c>
      <c r="K55" s="1593">
        <f>'[6]ZENTR MAKIN PAISJE 13'!K8</f>
        <v>342044.5</v>
      </c>
      <c r="L55" s="1593"/>
    </row>
    <row r="56" spans="1:12">
      <c r="D56" s="1593"/>
      <c r="E56" s="1593"/>
      <c r="F56" s="1593"/>
      <c r="G56" s="1593"/>
      <c r="H56" s="1593"/>
      <c r="I56" s="1593"/>
      <c r="J56" s="1593"/>
      <c r="K56" s="1593"/>
      <c r="L56" s="1593"/>
    </row>
    <row r="57" spans="1:12">
      <c r="A57" s="1594"/>
      <c r="B57" s="1594" t="str">
        <f>'[6]ZENTR MAKIN PAISJE 13'!B10</f>
        <v>TOT</v>
      </c>
      <c r="C57" s="1595">
        <f>'[6]ZENTR MAKIN PAISJE 13'!C10</f>
        <v>2013</v>
      </c>
      <c r="D57" s="1596">
        <f>SUM(D51:D56)</f>
        <v>1000122</v>
      </c>
      <c r="E57" s="1596">
        <f t="shared" ref="E57:K57" si="5">SUM(E51:E56)</f>
        <v>0</v>
      </c>
      <c r="F57" s="1596">
        <f t="shared" si="5"/>
        <v>1000122</v>
      </c>
      <c r="G57" s="1596">
        <v>20</v>
      </c>
      <c r="H57" s="1596">
        <v>12</v>
      </c>
      <c r="I57" s="1596">
        <f t="shared" si="5"/>
        <v>162820.95000000001</v>
      </c>
      <c r="J57" s="1596">
        <f t="shared" si="5"/>
        <v>162820.95000000001</v>
      </c>
      <c r="K57" s="1596">
        <f t="shared" si="5"/>
        <v>837301.05</v>
      </c>
      <c r="L57" s="1593"/>
    </row>
    <row r="63" spans="1:12" s="1590" customFormat="1">
      <c r="C63" s="1591"/>
      <c r="D63" s="1590" t="str">
        <f>'[6]ZENTR  MJET TRANSP 13'!D1</f>
        <v xml:space="preserve">MJETE TRANSPORTI </v>
      </c>
      <c r="J63" s="1590">
        <f>'[6]ZENTR  MJET TRANSP 13'!J1</f>
        <v>215</v>
      </c>
    </row>
    <row r="64" spans="1:12" s="1590" customFormat="1">
      <c r="C64" s="1591" t="str">
        <f>'[6]ZENTR  MJET TRANSP 13'!C2</f>
        <v>viti ushtr</v>
      </c>
      <c r="D64" s="1590" t="str">
        <f>'[6]ZENTR  MJET TRANSP 13'!D2</f>
        <v>vl fillestare</v>
      </c>
      <c r="E64" s="1590" t="str">
        <f>'[6]ZENTR  MJET TRANSP 13'!E2</f>
        <v>vl fill mbet</v>
      </c>
      <c r="F64" s="1590" t="str">
        <f>'[6]ZENTR  MJET TRANSP 13'!F2</f>
        <v>blerje</v>
      </c>
      <c r="G64" s="1590" t="str">
        <f>'[6]ZENTR  MJET TRANSP 13'!G2</f>
        <v>% amort</v>
      </c>
      <c r="H64" s="1590" t="str">
        <f>'[6]ZENTR  MJET TRANSP 13'!H2</f>
        <v>koha e perd</v>
      </c>
      <c r="I64" s="1590" t="str">
        <f>'[6]ZENTR  MJET TRANSP 13'!I2</f>
        <v>amort ushtr</v>
      </c>
      <c r="J64" s="1590" t="str">
        <f>'[6]ZENTR  MJET TRANSP 13'!J2</f>
        <v>amort tot</v>
      </c>
      <c r="K64" s="1590" t="str">
        <f>'[6]ZENTR  MJET TRANSP 13'!K2</f>
        <v>vl mbetur</v>
      </c>
    </row>
    <row r="65" spans="1:11">
      <c r="A65" s="1577">
        <f>'[6]ZENTR  MJET TRANSP 13'!A3</f>
        <v>1</v>
      </c>
      <c r="B65" s="1577" t="str">
        <f>'[6]ZENTR  MJET TRANSP 13'!B3</f>
        <v>VW TR 7422 U 2013</v>
      </c>
      <c r="C65" s="1592" t="str">
        <f>'[6]ZENTR  MJET TRANSP 13'!C3</f>
        <v>09.04.2013</v>
      </c>
      <c r="D65" s="1593">
        <f>'[6]ZENTR  MJET TRANSP 13'!D3</f>
        <v>998750</v>
      </c>
      <c r="E65" s="1593">
        <f>'[6]ZENTR  MJET TRANSP 13'!E3</f>
        <v>0</v>
      </c>
      <c r="F65" s="1593">
        <f>'[6]ZENTR  MJET TRANSP 13'!F3</f>
        <v>998750</v>
      </c>
      <c r="G65" s="1593">
        <f>'[6]ZENTR  MJET TRANSP 13'!G3</f>
        <v>20</v>
      </c>
      <c r="H65" s="1593">
        <f>'[6]ZENTR  MJET TRANSP 13'!H3</f>
        <v>8</v>
      </c>
      <c r="I65" s="1593">
        <f>'[6]ZENTR  MJET TRANSP 13'!I3</f>
        <v>133166.66666666666</v>
      </c>
      <c r="J65" s="1593">
        <f>'[6]ZENTR  MJET TRANSP 13'!J3</f>
        <v>133166.66666666666</v>
      </c>
      <c r="K65" s="1593">
        <f>'[6]ZENTR  MJET TRANSP 13'!K3</f>
        <v>865583.33333333337</v>
      </c>
    </row>
    <row r="66" spans="1:11">
      <c r="D66" s="1593"/>
      <c r="E66" s="1593"/>
      <c r="F66" s="1593"/>
      <c r="G66" s="1593"/>
      <c r="H66" s="1593"/>
      <c r="I66" s="1593"/>
      <c r="J66" s="1593"/>
      <c r="K66" s="1593"/>
    </row>
    <row r="67" spans="1:11">
      <c r="A67" s="1577">
        <f>'[6]ZENTR  MJET TRANSP 13'!A5</f>
        <v>2</v>
      </c>
      <c r="B67" s="1577" t="str">
        <f>'[6]ZENTR  MJET TRANSP 13'!B5</f>
        <v>VW TR 7466 U 2013</v>
      </c>
      <c r="C67" s="1592" t="str">
        <f>'[6]ZENTR  MJET TRANSP 13'!C5</f>
        <v>09.04.2013</v>
      </c>
      <c r="D67" s="1593">
        <f>'[6]ZENTR  MJET TRANSP 13'!D5</f>
        <v>998750</v>
      </c>
      <c r="E67" s="1593">
        <f>'[6]ZENTR  MJET TRANSP 13'!E5</f>
        <v>0</v>
      </c>
      <c r="F67" s="1593">
        <f>'[6]ZENTR  MJET TRANSP 13'!F5</f>
        <v>998750</v>
      </c>
      <c r="G67" s="1593">
        <f>'[6]ZENTR  MJET TRANSP 13'!G5</f>
        <v>20</v>
      </c>
      <c r="H67" s="1593">
        <f>'[6]ZENTR  MJET TRANSP 13'!H5</f>
        <v>8</v>
      </c>
      <c r="I67" s="1593">
        <f>'[6]ZENTR  MJET TRANSP 13'!I5</f>
        <v>133166.66666666666</v>
      </c>
      <c r="J67" s="1593">
        <f>'[6]ZENTR  MJET TRANSP 13'!J5</f>
        <v>133166.66666666666</v>
      </c>
      <c r="K67" s="1593">
        <f>'[6]ZENTR  MJET TRANSP 13'!K5</f>
        <v>865583.33333333337</v>
      </c>
    </row>
    <row r="68" spans="1:11">
      <c r="D68" s="1593"/>
      <c r="E68" s="1593"/>
      <c r="F68" s="1593"/>
      <c r="G68" s="1593"/>
      <c r="H68" s="1593"/>
      <c r="I68" s="1593"/>
      <c r="J68" s="1593"/>
      <c r="K68" s="1593"/>
    </row>
    <row r="69" spans="1:11">
      <c r="A69" s="1577">
        <f>'[6]ZENTR  MJET TRANSP 13'!A7</f>
        <v>3</v>
      </c>
      <c r="B69" s="1577" t="str">
        <f>'[6]ZENTR  MJET TRANSP 13'!B7</f>
        <v>VW AA846 DP 2013</v>
      </c>
      <c r="C69" s="1592" t="str">
        <f>'[6]ZENTR  MJET TRANSP 13'!C7</f>
        <v>09.04.2013</v>
      </c>
      <c r="D69" s="1593">
        <f>'[6]ZENTR  MJET TRANSP 13'!D7</f>
        <v>1938750</v>
      </c>
      <c r="E69" s="1593">
        <f>'[6]ZENTR  MJET TRANSP 13'!E7</f>
        <v>0</v>
      </c>
      <c r="F69" s="1593">
        <f>'[6]ZENTR  MJET TRANSP 13'!F7</f>
        <v>1938750</v>
      </c>
      <c r="G69" s="1593">
        <f>'[6]ZENTR  MJET TRANSP 13'!G7</f>
        <v>20</v>
      </c>
      <c r="H69" s="1593">
        <f>'[6]ZENTR  MJET TRANSP 13'!H7</f>
        <v>8</v>
      </c>
      <c r="I69" s="1593">
        <f>'[6]ZENTR  MJET TRANSP 13'!I7</f>
        <v>258500</v>
      </c>
      <c r="J69" s="1593">
        <f>'[6]ZENTR  MJET TRANSP 13'!J7</f>
        <v>258500</v>
      </c>
      <c r="K69" s="1593">
        <f>'[6]ZENTR  MJET TRANSP 13'!K7</f>
        <v>1680250</v>
      </c>
    </row>
    <row r="70" spans="1:11">
      <c r="D70" s="1593"/>
      <c r="E70" s="1593"/>
      <c r="F70" s="1593"/>
      <c r="G70" s="1593"/>
      <c r="H70" s="1593"/>
      <c r="I70" s="1593"/>
      <c r="J70" s="1593"/>
      <c r="K70" s="1593"/>
    </row>
    <row r="71" spans="1:11">
      <c r="A71" s="1577">
        <f>'[6]ZENTR  MJET TRANSP 13'!A9</f>
        <v>4</v>
      </c>
      <c r="B71" s="1577" t="str">
        <f>'[6]ZENTR  MJET TRANSP 13'!B9</f>
        <v>VW AA 847 DP 2013</v>
      </c>
      <c r="C71" s="1592" t="str">
        <f>'[6]ZENTR  MJET TRANSP 13'!C9</f>
        <v>09.04.2013</v>
      </c>
      <c r="D71" s="1593">
        <f>'[6]ZENTR  MJET TRANSP 13'!D9</f>
        <v>1938750</v>
      </c>
      <c r="E71" s="1593">
        <f>'[6]ZENTR  MJET TRANSP 13'!E9</f>
        <v>0</v>
      </c>
      <c r="F71" s="1593">
        <f>'[6]ZENTR  MJET TRANSP 13'!F9</f>
        <v>1938750</v>
      </c>
      <c r="G71" s="1593">
        <f>'[6]ZENTR  MJET TRANSP 13'!G9</f>
        <v>20</v>
      </c>
      <c r="H71" s="1593">
        <f>'[6]ZENTR  MJET TRANSP 13'!H9</f>
        <v>8</v>
      </c>
      <c r="I71" s="1593">
        <f>'[6]ZENTR  MJET TRANSP 13'!I9</f>
        <v>258500</v>
      </c>
      <c r="J71" s="1593">
        <f>'[6]ZENTR  MJET TRANSP 13'!J9</f>
        <v>258500</v>
      </c>
      <c r="K71" s="1593">
        <f>'[6]ZENTR  MJET TRANSP 13'!K9</f>
        <v>1680250</v>
      </c>
    </row>
    <row r="72" spans="1:11">
      <c r="D72" s="1593"/>
      <c r="E72" s="1593"/>
      <c r="F72" s="1593"/>
      <c r="G72" s="1593"/>
      <c r="H72" s="1593"/>
      <c r="I72" s="1593"/>
      <c r="J72" s="1593"/>
      <c r="K72" s="1593"/>
    </row>
    <row r="73" spans="1:11">
      <c r="A73" s="1577">
        <f>'[6]ZENTR  MJET TRANSP 13'!A11</f>
        <v>5</v>
      </c>
      <c r="B73" s="1577" t="str">
        <f>'[6]ZENTR  MJET TRANSP 13'!B11</f>
        <v>VW AA837 DP 2013</v>
      </c>
      <c r="C73" s="1592" t="str">
        <f>'[6]ZENTR  MJET TRANSP 13'!C11</f>
        <v>09.04.2013</v>
      </c>
      <c r="D73" s="1593">
        <f>'[6]ZENTR  MJET TRANSP 13'!D11</f>
        <v>1938750</v>
      </c>
      <c r="E73" s="1593">
        <f>'[6]ZENTR  MJET TRANSP 13'!E11</f>
        <v>0</v>
      </c>
      <c r="F73" s="1593">
        <f>'[6]ZENTR  MJET TRANSP 13'!F11</f>
        <v>1938750</v>
      </c>
      <c r="G73" s="1593">
        <f>'[6]ZENTR  MJET TRANSP 13'!G11</f>
        <v>20</v>
      </c>
      <c r="H73" s="1593">
        <f>'[6]ZENTR  MJET TRANSP 13'!H11</f>
        <v>8</v>
      </c>
      <c r="I73" s="1593">
        <f>'[6]ZENTR  MJET TRANSP 13'!I11</f>
        <v>258500</v>
      </c>
      <c r="J73" s="1593">
        <f>'[6]ZENTR  MJET TRANSP 13'!J11</f>
        <v>258500</v>
      </c>
      <c r="K73" s="1593">
        <f>'[6]ZENTR  MJET TRANSP 13'!K11</f>
        <v>1680250</v>
      </c>
    </row>
    <row r="74" spans="1:11">
      <c r="D74" s="1593"/>
      <c r="E74" s="1593"/>
      <c r="F74" s="1593"/>
      <c r="G74" s="1593"/>
      <c r="H74" s="1593"/>
      <c r="I74" s="1593"/>
      <c r="J74" s="1593"/>
      <c r="K74" s="1593"/>
    </row>
    <row r="75" spans="1:11">
      <c r="A75" s="1577">
        <f>'[6]ZENTR  MJET TRANSP 13'!A13</f>
        <v>6</v>
      </c>
      <c r="B75" s="1577" t="str">
        <f>'[6]ZENTR  MJET TRANSP 13'!B13</f>
        <v>VW AA839 DP  2013</v>
      </c>
      <c r="C75" s="1592" t="str">
        <f>'[6]ZENTR  MJET TRANSP 13'!C13</f>
        <v>09.04.2013</v>
      </c>
      <c r="D75" s="1593">
        <f>'[6]ZENTR  MJET TRANSP 13'!D13</f>
        <v>1938750</v>
      </c>
      <c r="E75" s="1593">
        <f>'[6]ZENTR  MJET TRANSP 13'!E13</f>
        <v>0</v>
      </c>
      <c r="F75" s="1593">
        <f>'[6]ZENTR  MJET TRANSP 13'!F13</f>
        <v>1938750</v>
      </c>
      <c r="G75" s="1593">
        <f>'[6]ZENTR  MJET TRANSP 13'!G13</f>
        <v>20</v>
      </c>
      <c r="H75" s="1593">
        <f>'[6]ZENTR  MJET TRANSP 13'!H13</f>
        <v>8</v>
      </c>
      <c r="I75" s="1593">
        <f>'[6]ZENTR  MJET TRANSP 13'!I13</f>
        <v>258500</v>
      </c>
      <c r="J75" s="1593">
        <f>'[6]ZENTR  MJET TRANSP 13'!J13</f>
        <v>258500</v>
      </c>
      <c r="K75" s="1593">
        <f>'[6]ZENTR  MJET TRANSP 13'!K13</f>
        <v>1680250</v>
      </c>
    </row>
    <row r="76" spans="1:11">
      <c r="D76" s="1593"/>
      <c r="E76" s="1593"/>
      <c r="F76" s="1593"/>
      <c r="G76" s="1593"/>
      <c r="H76" s="1593"/>
      <c r="I76" s="1593"/>
      <c r="J76" s="1593"/>
      <c r="K76" s="1593"/>
    </row>
    <row r="77" spans="1:11">
      <c r="A77" s="1594">
        <f>'[6]ZENTR  MJET TRANSP 13'!A15</f>
        <v>0</v>
      </c>
      <c r="B77" s="1594" t="str">
        <f>'[6]ZENTR  MJET TRANSP 13'!B15</f>
        <v>TOT</v>
      </c>
      <c r="C77" s="1595">
        <f>'[6]ZENTR  MJET TRANSP 13'!C15</f>
        <v>2013</v>
      </c>
      <c r="D77" s="1596">
        <f>SUM(D65:D76)</f>
        <v>9752500</v>
      </c>
      <c r="E77" s="1596">
        <f t="shared" ref="E77:K77" si="6">SUM(E65:E76)</f>
        <v>0</v>
      </c>
      <c r="F77" s="1596">
        <f t="shared" si="6"/>
        <v>9752500</v>
      </c>
      <c r="G77" s="1596">
        <v>20</v>
      </c>
      <c r="H77" s="1596">
        <v>12</v>
      </c>
      <c r="I77" s="1596">
        <f t="shared" si="6"/>
        <v>1300333.3333333333</v>
      </c>
      <c r="J77" s="1596">
        <f t="shared" si="6"/>
        <v>1300333.3333333333</v>
      </c>
      <c r="K77" s="1596">
        <f t="shared" si="6"/>
        <v>8452166.6666666679</v>
      </c>
    </row>
    <row r="84" spans="1:11">
      <c r="A84" s="1590"/>
      <c r="B84" s="1590"/>
      <c r="C84" s="1591"/>
      <c r="D84" s="1590" t="str">
        <f>'[6]ZENTR MOB PAISJE ZYRE 13'!D1</f>
        <v xml:space="preserve">MOBILJE DHE PAJISJE ZYRE </v>
      </c>
      <c r="E84" s="1590"/>
      <c r="F84" s="1590"/>
      <c r="G84" s="1590"/>
      <c r="H84" s="1590"/>
      <c r="I84" s="1590"/>
      <c r="J84" s="1590">
        <f>'[6]ZENTR MOB PAISJE ZYRE 13'!J1</f>
        <v>2181</v>
      </c>
      <c r="K84" s="1590"/>
    </row>
    <row r="85" spans="1:11">
      <c r="A85" s="1590"/>
      <c r="B85" s="1590"/>
      <c r="C85" s="1591" t="str">
        <f>'[6]ZENTR MOB PAISJE ZYRE 13'!C2</f>
        <v>viti ushtr</v>
      </c>
      <c r="D85" s="1590" t="str">
        <f>'[6]ZENTR MOB PAISJE ZYRE 13'!D2</f>
        <v>vl fillestare</v>
      </c>
      <c r="E85" s="1590" t="str">
        <f>'[6]ZENTR MOB PAISJE ZYRE 13'!E2</f>
        <v>vl fill mbet</v>
      </c>
      <c r="F85" s="1590" t="str">
        <f>'[6]ZENTR MOB PAISJE ZYRE 13'!F2</f>
        <v>blerje</v>
      </c>
      <c r="G85" s="1590" t="str">
        <f>'[6]ZENTR MOB PAISJE ZYRE 13'!G2</f>
        <v>% amort</v>
      </c>
      <c r="H85" s="1590" t="str">
        <f>'[6]ZENTR MOB PAISJE ZYRE 13'!H2</f>
        <v>koha e perd</v>
      </c>
      <c r="I85" s="1590" t="str">
        <f>'[6]ZENTR MOB PAISJE ZYRE 13'!I2</f>
        <v>amort ushtr</v>
      </c>
      <c r="J85" s="1590" t="str">
        <f>'[6]ZENTR MOB PAISJE ZYRE 13'!J2</f>
        <v>amort tot</v>
      </c>
      <c r="K85" s="1590" t="str">
        <f>'[6]ZENTR MOB PAISJE ZYRE 13'!K2</f>
        <v>vl mbetur</v>
      </c>
    </row>
    <row r="86" spans="1:11">
      <c r="A86" s="1577">
        <f>'[6]ZENTR MOB PAISJE ZYRE 13'!A3</f>
        <v>1</v>
      </c>
      <c r="B86" s="1577" t="str">
        <f>'[6]ZENTR MOB PAISJE ZYRE 13'!B3</f>
        <v>Mobilje zyra 2013</v>
      </c>
      <c r="C86" s="1592" t="str">
        <f>'[6]ZENTR MOB PAISJE ZYRE 13'!C3</f>
        <v>20.12.2013</v>
      </c>
      <c r="D86" s="1593">
        <f>'[6]ZENTR MOB PAISJE ZYRE 13'!D3</f>
        <v>47000</v>
      </c>
      <c r="E86" s="1593">
        <f>'[6]ZENTR MOB PAISJE ZYRE 13'!E3</f>
        <v>0</v>
      </c>
      <c r="F86" s="1593">
        <f>'[6]ZENTR MOB PAISJE ZYRE 13'!F3</f>
        <v>47000</v>
      </c>
      <c r="G86" s="1593">
        <f>'[6]ZENTR MOB PAISJE ZYRE 13'!G3</f>
        <v>20</v>
      </c>
      <c r="H86" s="1593">
        <f>'[6]ZENTR MOB PAISJE ZYRE 13'!H3</f>
        <v>0</v>
      </c>
      <c r="I86" s="1593">
        <f>'[6]ZENTR MOB PAISJE ZYRE 13'!I3</f>
        <v>0</v>
      </c>
      <c r="J86" s="1593">
        <f>'[6]ZENTR MOB PAISJE ZYRE 13'!J3</f>
        <v>0</v>
      </c>
      <c r="K86" s="1593">
        <f>'[6]ZENTR MOB PAISJE ZYRE 13'!K3</f>
        <v>47000</v>
      </c>
    </row>
    <row r="87" spans="1:11">
      <c r="D87" s="1593"/>
      <c r="E87" s="1593"/>
      <c r="F87" s="1593"/>
      <c r="G87" s="1593"/>
      <c r="H87" s="1593"/>
      <c r="I87" s="1593"/>
      <c r="J87" s="1593"/>
      <c r="K87" s="1593"/>
    </row>
    <row r="88" spans="1:11">
      <c r="A88" s="1577">
        <f>'[6]ZENTR MOB PAISJE ZYRE 13'!A5</f>
        <v>2</v>
      </c>
      <c r="B88" s="1577" t="str">
        <f>'[6]ZENTR MOB PAISJE ZYRE 13'!B5</f>
        <v>Karrige e zeze 2013</v>
      </c>
      <c r="C88" s="1592" t="str">
        <f>'[6]ZENTR MOB PAISJE ZYRE 13'!C5</f>
        <v>04.05.2013</v>
      </c>
      <c r="D88" s="1593">
        <f>'[6]ZENTR MOB PAISJE ZYRE 13'!D5</f>
        <v>6658</v>
      </c>
      <c r="E88" s="1593">
        <f>'[6]ZENTR MOB PAISJE ZYRE 13'!E5</f>
        <v>0</v>
      </c>
      <c r="F88" s="1593">
        <f>'[6]ZENTR MOB PAISJE ZYRE 13'!F5</f>
        <v>6658</v>
      </c>
      <c r="G88" s="1593">
        <f>'[6]ZENTR MOB PAISJE ZYRE 13'!G5</f>
        <v>20</v>
      </c>
      <c r="H88" s="1593">
        <f>'[6]ZENTR MOB PAISJE ZYRE 13'!H5</f>
        <v>7</v>
      </c>
      <c r="I88" s="1593">
        <f>'[6]ZENTR MOB PAISJE ZYRE 13'!I5</f>
        <v>776.76666666666677</v>
      </c>
      <c r="J88" s="1593">
        <f>'[6]ZENTR MOB PAISJE ZYRE 13'!J5</f>
        <v>776.76666666666677</v>
      </c>
      <c r="K88" s="1593">
        <f>'[6]ZENTR MOB PAISJE ZYRE 13'!K5</f>
        <v>5881.2333333333336</v>
      </c>
    </row>
    <row r="89" spans="1:11">
      <c r="D89" s="1593"/>
      <c r="E89" s="1593"/>
      <c r="F89" s="1593"/>
      <c r="G89" s="1593"/>
      <c r="H89" s="1593"/>
      <c r="I89" s="1593"/>
      <c r="J89" s="1593"/>
      <c r="K89" s="1593"/>
    </row>
    <row r="90" spans="1:11">
      <c r="A90" s="1577">
        <f>'[6]ZENTR MOB PAISJE ZYRE 13'!A7</f>
        <v>3</v>
      </c>
      <c r="B90" s="1577" t="str">
        <f>'[6]ZENTR MOB PAISJE ZYRE 13'!B7</f>
        <v>Karrige e kuqe 2013</v>
      </c>
      <c r="C90" s="1592" t="str">
        <f>'[6]ZENTR MOB PAISJE ZYRE 13'!C7</f>
        <v>04.05.2013</v>
      </c>
      <c r="D90" s="1593">
        <f>'[6]ZENTR MOB PAISJE ZYRE 13'!D7</f>
        <v>21633</v>
      </c>
      <c r="E90" s="1593">
        <f>'[6]ZENTR MOB PAISJE ZYRE 13'!E7</f>
        <v>0</v>
      </c>
      <c r="F90" s="1593">
        <f>'[6]ZENTR MOB PAISJE ZYRE 13'!F7</f>
        <v>21633</v>
      </c>
      <c r="G90" s="1593">
        <f>'[6]ZENTR MOB PAISJE ZYRE 13'!G7</f>
        <v>20</v>
      </c>
      <c r="H90" s="1593">
        <f>'[6]ZENTR MOB PAISJE ZYRE 13'!H7</f>
        <v>7</v>
      </c>
      <c r="I90" s="1593">
        <f>'[6]ZENTR MOB PAISJE ZYRE 13'!I7</f>
        <v>2523.85</v>
      </c>
      <c r="J90" s="1593">
        <f>'[6]ZENTR MOB PAISJE ZYRE 13'!J7</f>
        <v>2523.85</v>
      </c>
      <c r="K90" s="1593">
        <f>'[6]ZENTR MOB PAISJE ZYRE 13'!K7</f>
        <v>19109.150000000001</v>
      </c>
    </row>
    <row r="91" spans="1:11">
      <c r="D91" s="1593"/>
      <c r="E91" s="1593"/>
      <c r="F91" s="1593"/>
      <c r="G91" s="1593"/>
      <c r="H91" s="1593"/>
      <c r="I91" s="1593"/>
      <c r="J91" s="1593"/>
      <c r="K91" s="1593"/>
    </row>
    <row r="92" spans="1:11">
      <c r="A92" s="1577">
        <f>'[6]ZENTR MOB PAISJE ZYRE 13'!A9</f>
        <v>4</v>
      </c>
      <c r="B92" s="1577" t="str">
        <f>'[6]ZENTR MOB PAISJE ZYRE 13'!B9</f>
        <v>Karrige 2013</v>
      </c>
      <c r="C92" s="1592" t="str">
        <f>'[6]ZENTR MOB PAISJE ZYRE 13'!C9</f>
        <v>04.03.2013</v>
      </c>
      <c r="D92" s="1593">
        <f>'[6]ZENTR MOB PAISJE ZYRE 13'!D9</f>
        <v>5245</v>
      </c>
      <c r="E92" s="1593">
        <f>'[6]ZENTR MOB PAISJE ZYRE 13'!E9</f>
        <v>0</v>
      </c>
      <c r="F92" s="1593">
        <f>'[6]ZENTR MOB PAISJE ZYRE 13'!F9</f>
        <v>5245</v>
      </c>
      <c r="G92" s="1593">
        <f>'[6]ZENTR MOB PAISJE ZYRE 13'!G9</f>
        <v>20</v>
      </c>
      <c r="H92" s="1593">
        <f>'[6]ZENTR MOB PAISJE ZYRE 13'!H9</f>
        <v>9</v>
      </c>
      <c r="I92" s="1593">
        <f>'[6]ZENTR MOB PAISJE ZYRE 13'!I9</f>
        <v>786.75</v>
      </c>
      <c r="J92" s="1593">
        <f>'[6]ZENTR MOB PAISJE ZYRE 13'!J9</f>
        <v>786.75</v>
      </c>
      <c r="K92" s="1593">
        <f>'[6]ZENTR MOB PAISJE ZYRE 13'!K9</f>
        <v>4458.25</v>
      </c>
    </row>
    <row r="93" spans="1:11">
      <c r="D93" s="1593"/>
      <c r="E93" s="1593"/>
      <c r="F93" s="1593"/>
      <c r="G93" s="1593"/>
      <c r="H93" s="1593"/>
      <c r="I93" s="1593"/>
      <c r="J93" s="1593"/>
      <c r="K93" s="1593"/>
    </row>
    <row r="94" spans="1:11">
      <c r="A94" s="1577">
        <f>'[6]ZENTR MOB PAISJE ZYRE 13'!A11</f>
        <v>5</v>
      </c>
      <c r="B94" s="1577" t="str">
        <f>'[6]ZENTR MOB PAISJE ZYRE 13'!B11</f>
        <v>Tavoline Karrige 2013</v>
      </c>
      <c r="C94" s="1592" t="str">
        <f>'[6]ZENTR MOB PAISJE ZYRE 13'!C11</f>
        <v>25.01.2013</v>
      </c>
      <c r="D94" s="1593">
        <f>'[6]ZENTR MOB PAISJE ZYRE 13'!D11</f>
        <v>15000</v>
      </c>
      <c r="E94" s="1593">
        <f>'[6]ZENTR MOB PAISJE ZYRE 13'!E11</f>
        <v>0</v>
      </c>
      <c r="F94" s="1593">
        <f>'[6]ZENTR MOB PAISJE ZYRE 13'!F11</f>
        <v>15000</v>
      </c>
      <c r="G94" s="1593">
        <f>'[6]ZENTR MOB PAISJE ZYRE 13'!G11</f>
        <v>20</v>
      </c>
      <c r="H94" s="1593">
        <f>'[6]ZENTR MOB PAISJE ZYRE 13'!H11</f>
        <v>11</v>
      </c>
      <c r="I94" s="1593">
        <f>'[6]ZENTR MOB PAISJE ZYRE 13'!I11</f>
        <v>2750</v>
      </c>
      <c r="J94" s="1593">
        <f>'[6]ZENTR MOB PAISJE ZYRE 13'!J11</f>
        <v>2750</v>
      </c>
      <c r="K94" s="1593">
        <f>'[6]ZENTR MOB PAISJE ZYRE 13'!K11</f>
        <v>12250</v>
      </c>
    </row>
    <row r="95" spans="1:11">
      <c r="D95" s="1593"/>
      <c r="E95" s="1593"/>
      <c r="F95" s="1593"/>
      <c r="G95" s="1593"/>
      <c r="H95" s="1593"/>
      <c r="I95" s="1593"/>
      <c r="J95" s="1593"/>
      <c r="K95" s="1593"/>
    </row>
    <row r="96" spans="1:11">
      <c r="A96" s="1594"/>
      <c r="B96" s="1594" t="str">
        <f>'[6]ZENTR MOB PAISJE ZYRE 13'!B13</f>
        <v>TOT</v>
      </c>
      <c r="C96" s="1595">
        <f>'[6]ZENTR MOB PAISJE ZYRE 13'!C13</f>
        <v>2013</v>
      </c>
      <c r="D96" s="1596">
        <f>SUM(D86:D95)</f>
        <v>95536</v>
      </c>
      <c r="E96" s="1596">
        <f t="shared" ref="E96:K96" si="7">SUM(E86:E95)</f>
        <v>0</v>
      </c>
      <c r="F96" s="1596">
        <f t="shared" si="7"/>
        <v>95536</v>
      </c>
      <c r="G96" s="1596">
        <v>20</v>
      </c>
      <c r="H96" s="1596">
        <v>12</v>
      </c>
      <c r="I96" s="1596">
        <f t="shared" si="7"/>
        <v>6837.3666666666668</v>
      </c>
      <c r="J96" s="1596">
        <f t="shared" si="7"/>
        <v>6837.3666666666668</v>
      </c>
      <c r="K96" s="1596">
        <f t="shared" si="7"/>
        <v>88698.633333333331</v>
      </c>
    </row>
    <row r="98" spans="1:11">
      <c r="A98" s="1600">
        <f>'[6]ZENTRUM TOT 12'!A210</f>
        <v>0</v>
      </c>
      <c r="B98" s="1598" t="s">
        <v>1726</v>
      </c>
      <c r="C98" s="1599">
        <v>2012</v>
      </c>
      <c r="D98" s="1600">
        <f>'[6]ZENTRUM TOT 12'!D210</f>
        <v>2487515.98</v>
      </c>
      <c r="E98" s="1600"/>
      <c r="F98" s="1600">
        <f>'[6]ZENTRUM TOT 12'!F210</f>
        <v>2487515.98</v>
      </c>
      <c r="G98" s="1600">
        <f>'[6]ZENTRUM TOT 12'!G210</f>
        <v>25</v>
      </c>
      <c r="H98" s="1600">
        <f>'[6]ZENTRUM TOT 12'!H210</f>
        <v>12</v>
      </c>
      <c r="I98" s="1600">
        <f>'[6]ZENTRUM TOT 12'!I210</f>
        <v>441164.62701111112</v>
      </c>
      <c r="J98" s="1600">
        <f>'[6]ZENTRUM TOT 12'!J210</f>
        <v>722857.47195555549</v>
      </c>
      <c r="K98" s="1600">
        <f>'[6]ZENTRUM TOT 12'!K210</f>
        <v>1764658.5080444445</v>
      </c>
    </row>
    <row r="100" spans="1:11">
      <c r="A100" s="1601"/>
      <c r="B100" s="1601" t="s">
        <v>389</v>
      </c>
      <c r="C100" s="1602"/>
      <c r="D100" s="1603">
        <f>D96+D98</f>
        <v>2583051.98</v>
      </c>
      <c r="E100" s="1603">
        <f t="shared" ref="E100:F100" si="8">E96+E98</f>
        <v>0</v>
      </c>
      <c r="F100" s="1603">
        <f t="shared" si="8"/>
        <v>2583051.98</v>
      </c>
      <c r="G100" s="1603">
        <v>25</v>
      </c>
      <c r="H100" s="1603">
        <v>12</v>
      </c>
      <c r="I100" s="1603">
        <f>I96+I98</f>
        <v>448001.99367777776</v>
      </c>
      <c r="J100" s="1603">
        <f>J96+J98</f>
        <v>729694.83862222219</v>
      </c>
      <c r="K100" s="1603">
        <f>K96+K98</f>
        <v>1853357.1413777778</v>
      </c>
    </row>
    <row r="103" spans="1:11" ht="14.25" customHeight="1"/>
    <row r="104" spans="1:11" s="1607" customFormat="1">
      <c r="A104" s="1605"/>
      <c r="B104" s="1605"/>
      <c r="C104" s="1606"/>
      <c r="D104" s="1605" t="str">
        <f>'[6]ZENTR PAISJE INFO 13'!D1</f>
        <v xml:space="preserve">PAIJISJE INFORMATIKE </v>
      </c>
      <c r="E104" s="1605"/>
      <c r="F104" s="1605"/>
      <c r="G104" s="1605"/>
      <c r="H104" s="1605"/>
      <c r="I104" s="1605"/>
      <c r="J104" s="1605">
        <f>'[6]ZENTR PAISJE INFO 13'!J1</f>
        <v>2182</v>
      </c>
      <c r="K104" s="1605"/>
    </row>
    <row r="105" spans="1:11" s="1607" customFormat="1">
      <c r="A105" s="1605"/>
      <c r="B105" s="1605"/>
      <c r="C105" s="1606" t="str">
        <f>'[6]ZENTR PAISJE INFO 13'!C2</f>
        <v>viti ushtr</v>
      </c>
      <c r="D105" s="1605" t="str">
        <f>'[6]ZENTR PAISJE INFO 13'!D2</f>
        <v>vl fillestare</v>
      </c>
      <c r="E105" s="1605" t="str">
        <f>'[6]ZENTR PAISJE INFO 13'!E2</f>
        <v>vl fill mbet</v>
      </c>
      <c r="F105" s="1605" t="str">
        <f>'[6]ZENTR PAISJE INFO 13'!F2</f>
        <v>blerje</v>
      </c>
      <c r="G105" s="1605" t="str">
        <f>'[6]ZENTR PAISJE INFO 13'!G2</f>
        <v>% amort</v>
      </c>
      <c r="H105" s="1605" t="str">
        <f>'[6]ZENTR PAISJE INFO 13'!H2</f>
        <v>koha e perd</v>
      </c>
      <c r="I105" s="1605" t="str">
        <f>'[6]ZENTR PAISJE INFO 13'!I2</f>
        <v>amort ushtr</v>
      </c>
      <c r="J105" s="1605" t="str">
        <f>'[6]ZENTR PAISJE INFO 13'!J2</f>
        <v>amort tot</v>
      </c>
      <c r="K105" s="1605" t="str">
        <f>'[6]ZENTR PAISJE INFO 13'!K2</f>
        <v>vl mbetur</v>
      </c>
    </row>
    <row r="106" spans="1:11">
      <c r="A106" s="1577">
        <f>'[6]ZENTR PAISJE INFO 13'!A3</f>
        <v>1</v>
      </c>
      <c r="B106" s="1577" t="str">
        <f>'[6]ZENTR PAISJE INFO 13'!B3</f>
        <v>Bllok Ushqimi 2013</v>
      </c>
      <c r="C106" s="1592" t="str">
        <f>'[6]ZENTR PAISJE INFO 13'!C3</f>
        <v>21.10.2013</v>
      </c>
      <c r="D106" s="1593">
        <f>'[6]ZENTR PAISJE INFO 13'!D3</f>
        <v>4166</v>
      </c>
      <c r="E106" s="1593">
        <f>'[6]ZENTR PAISJE INFO 13'!E3</f>
        <v>0</v>
      </c>
      <c r="F106" s="1593">
        <f>'[6]ZENTR PAISJE INFO 13'!F3</f>
        <v>4166</v>
      </c>
      <c r="G106" s="1593">
        <f>'[6]ZENTR PAISJE INFO 13'!G3</f>
        <v>25</v>
      </c>
      <c r="H106" s="1593">
        <f>'[6]ZENTR PAISJE INFO 13'!H3</f>
        <v>2</v>
      </c>
      <c r="I106" s="1593">
        <f>'[6]ZENTR PAISJE INFO 13'!I3</f>
        <v>173.58333333333334</v>
      </c>
      <c r="J106" s="1593">
        <f>'[6]ZENTR PAISJE INFO 13'!J3</f>
        <v>173.58333333333334</v>
      </c>
      <c r="K106" s="1593">
        <f>'[6]ZENTR PAISJE INFO 13'!K3</f>
        <v>3992.4166666666665</v>
      </c>
    </row>
    <row r="107" spans="1:11">
      <c r="D107" s="1593"/>
      <c r="E107" s="1593"/>
      <c r="F107" s="1593"/>
      <c r="G107" s="1593"/>
      <c r="H107" s="1593"/>
      <c r="I107" s="1593"/>
      <c r="J107" s="1593"/>
      <c r="K107" s="1593"/>
    </row>
    <row r="108" spans="1:11">
      <c r="A108" s="1577">
        <f>'[6]ZENTR PAISJE INFO 13'!A5</f>
        <v>2</v>
      </c>
      <c r="B108" s="1577" t="str">
        <f>'[6]ZENTR PAISJE INFO 13'!B5</f>
        <v>Komp Workstation 2013</v>
      </c>
      <c r="C108" s="1592" t="str">
        <f>'[6]ZENTR PAISJE INFO 13'!C5</f>
        <v>27.08.2013</v>
      </c>
      <c r="D108" s="1593">
        <f>'[6]ZENTR PAISJE INFO 13'!D5</f>
        <v>134166</v>
      </c>
      <c r="E108" s="1593">
        <f>'[6]ZENTR PAISJE INFO 13'!E5</f>
        <v>0</v>
      </c>
      <c r="F108" s="1593">
        <f>'[6]ZENTR PAISJE INFO 13'!F5</f>
        <v>134166</v>
      </c>
      <c r="G108" s="1593">
        <f>'[6]ZENTR PAISJE INFO 13'!G5</f>
        <v>25</v>
      </c>
      <c r="H108" s="1593">
        <f>'[6]ZENTR PAISJE INFO 13'!H5</f>
        <v>4</v>
      </c>
      <c r="I108" s="1593">
        <f>'[6]ZENTR PAISJE INFO 13'!I5</f>
        <v>11180.5</v>
      </c>
      <c r="J108" s="1593">
        <f>'[6]ZENTR PAISJE INFO 13'!J5</f>
        <v>11180.5</v>
      </c>
      <c r="K108" s="1593">
        <f>'[6]ZENTR PAISJE INFO 13'!K5</f>
        <v>122985.5</v>
      </c>
    </row>
    <row r="109" spans="1:11">
      <c r="D109" s="1593"/>
      <c r="E109" s="1593"/>
      <c r="F109" s="1593"/>
      <c r="G109" s="1593"/>
      <c r="H109" s="1593"/>
      <c r="I109" s="1593"/>
      <c r="J109" s="1593"/>
      <c r="K109" s="1593"/>
    </row>
    <row r="110" spans="1:11">
      <c r="A110" s="1577">
        <f>'[6]ZENTR PAISJE INFO 13'!A7</f>
        <v>3</v>
      </c>
      <c r="B110" s="1577" t="str">
        <f>'[6]ZENTR PAISJE INFO 13'!B7</f>
        <v>Kompjuter 2013</v>
      </c>
      <c r="C110" s="1592" t="str">
        <f>'[6]ZENTR PAISJE INFO 13'!C7</f>
        <v>19.08.2013</v>
      </c>
      <c r="D110" s="1593">
        <f>'[6]ZENTR PAISJE INFO 13'!D7</f>
        <v>105000</v>
      </c>
      <c r="E110" s="1593">
        <f>'[6]ZENTR PAISJE INFO 13'!E7</f>
        <v>0</v>
      </c>
      <c r="F110" s="1593">
        <f>'[6]ZENTR PAISJE INFO 13'!F7</f>
        <v>105000</v>
      </c>
      <c r="G110" s="1593">
        <f>'[6]ZENTR PAISJE INFO 13'!G7</f>
        <v>25</v>
      </c>
      <c r="H110" s="1593">
        <f>'[6]ZENTR PAISJE INFO 13'!H7</f>
        <v>4</v>
      </c>
      <c r="I110" s="1593">
        <f>'[6]ZENTR PAISJE INFO 13'!I7</f>
        <v>8750</v>
      </c>
      <c r="J110" s="1593">
        <f>'[6]ZENTR PAISJE INFO 13'!J7</f>
        <v>8750</v>
      </c>
      <c r="K110" s="1593">
        <f>'[6]ZENTR PAISJE INFO 13'!K7</f>
        <v>96250</v>
      </c>
    </row>
    <row r="111" spans="1:11">
      <c r="D111" s="1593"/>
      <c r="E111" s="1593"/>
      <c r="F111" s="1593"/>
      <c r="G111" s="1593"/>
      <c r="H111" s="1593"/>
      <c r="I111" s="1593"/>
      <c r="J111" s="1593"/>
      <c r="K111" s="1593"/>
    </row>
    <row r="112" spans="1:11">
      <c r="A112" s="1577">
        <f>'[6]ZENTR PAISJE INFO 13'!A9</f>
        <v>4</v>
      </c>
      <c r="B112" s="1577" t="str">
        <f>'[6]ZENTR PAISJE INFO 13'!B9</f>
        <v>HD Liveboard 2013</v>
      </c>
      <c r="C112" s="1592" t="str">
        <f>'[6]ZENTR PAISJE INFO 13'!C9</f>
        <v>11.06.2013</v>
      </c>
      <c r="D112" s="1593">
        <f>'[6]ZENTR PAISJE INFO 13'!D9</f>
        <v>7583</v>
      </c>
      <c r="E112" s="1593">
        <f>'[6]ZENTR PAISJE INFO 13'!E9</f>
        <v>0</v>
      </c>
      <c r="F112" s="1593">
        <f>'[6]ZENTR PAISJE INFO 13'!F9</f>
        <v>7583</v>
      </c>
      <c r="G112" s="1593">
        <f>'[6]ZENTR PAISJE INFO 13'!G9</f>
        <v>25</v>
      </c>
      <c r="H112" s="1593">
        <f>'[6]ZENTR PAISJE INFO 13'!H9</f>
        <v>6</v>
      </c>
      <c r="I112" s="1593">
        <f>'[6]ZENTR PAISJE INFO 13'!I9</f>
        <v>947.875</v>
      </c>
      <c r="J112" s="1593">
        <f>'[6]ZENTR PAISJE INFO 13'!J9</f>
        <v>947.875</v>
      </c>
      <c r="K112" s="1593">
        <f>'[6]ZENTR PAISJE INFO 13'!K9</f>
        <v>6635.125</v>
      </c>
    </row>
    <row r="113" spans="1:11">
      <c r="D113" s="1593"/>
      <c r="E113" s="1593"/>
      <c r="F113" s="1593"/>
      <c r="G113" s="1593"/>
      <c r="H113" s="1593"/>
      <c r="I113" s="1593"/>
      <c r="J113" s="1593"/>
      <c r="K113" s="1593"/>
    </row>
    <row r="114" spans="1:11">
      <c r="A114" s="1577">
        <f>'[6]ZENTR PAISJE INFO 13'!A11</f>
        <v>5</v>
      </c>
      <c r="B114" s="1577" t="str">
        <f>'[6]ZENTR PAISJE INFO 13'!B11</f>
        <v>Printer 2013</v>
      </c>
      <c r="C114" s="1592" t="str">
        <f>'[6]ZENTR PAISJE INFO 13'!C11</f>
        <v>04.07.2013</v>
      </c>
      <c r="D114" s="1593">
        <f>'[6]ZENTR PAISJE INFO 13'!D11</f>
        <v>10417</v>
      </c>
      <c r="E114" s="1593">
        <f>'[6]ZENTR PAISJE INFO 13'!E11</f>
        <v>0</v>
      </c>
      <c r="F114" s="1593">
        <f>'[6]ZENTR PAISJE INFO 13'!F11</f>
        <v>10417</v>
      </c>
      <c r="G114" s="1593">
        <f>'[6]ZENTR PAISJE INFO 13'!G11</f>
        <v>25</v>
      </c>
      <c r="H114" s="1593">
        <f>'[6]ZENTR PAISJE INFO 13'!H11</f>
        <v>5</v>
      </c>
      <c r="I114" s="1593">
        <f>'[6]ZENTR PAISJE INFO 13'!I11</f>
        <v>1085.1041666666667</v>
      </c>
      <c r="J114" s="1593">
        <f>'[6]ZENTR PAISJE INFO 13'!J11</f>
        <v>1085.1041666666667</v>
      </c>
      <c r="K114" s="1593">
        <f>'[6]ZENTR PAISJE INFO 13'!K11</f>
        <v>9331.8958333333339</v>
      </c>
    </row>
    <row r="115" spans="1:11">
      <c r="D115" s="1593"/>
      <c r="E115" s="1593"/>
      <c r="F115" s="1593"/>
      <c r="G115" s="1593"/>
      <c r="H115" s="1593"/>
      <c r="I115" s="1593"/>
      <c r="J115" s="1593"/>
      <c r="K115" s="1593"/>
    </row>
    <row r="116" spans="1:11">
      <c r="A116" s="1577">
        <f>'[6]ZENTR PAISJE INFO 13'!A13</f>
        <v>6</v>
      </c>
      <c r="B116" s="1577" t="str">
        <f>'[6]ZENTR PAISJE INFO 13'!B13</f>
        <v>Printer 2013</v>
      </c>
      <c r="C116" s="1592" t="str">
        <f>'[6]ZENTR PAISJE INFO 13'!C13</f>
        <v>04.07.2013</v>
      </c>
      <c r="D116" s="1593">
        <f>'[6]ZENTR PAISJE INFO 13'!D13</f>
        <v>34917</v>
      </c>
      <c r="E116" s="1593">
        <f>'[6]ZENTR PAISJE INFO 13'!E13</f>
        <v>0</v>
      </c>
      <c r="F116" s="1593">
        <f>'[6]ZENTR PAISJE INFO 13'!F13</f>
        <v>34917</v>
      </c>
      <c r="G116" s="1593">
        <f>'[6]ZENTR PAISJE INFO 13'!G13</f>
        <v>25</v>
      </c>
      <c r="H116" s="1593">
        <f>'[6]ZENTR PAISJE INFO 13'!H13</f>
        <v>5</v>
      </c>
      <c r="I116" s="1593">
        <f>'[6]ZENTR PAISJE INFO 13'!I13</f>
        <v>3637.1875</v>
      </c>
      <c r="J116" s="1593">
        <f>'[6]ZENTR PAISJE INFO 13'!J13</f>
        <v>3637.1875</v>
      </c>
      <c r="K116" s="1593">
        <f>'[6]ZENTR PAISJE INFO 13'!K13</f>
        <v>31279.8125</v>
      </c>
    </row>
    <row r="117" spans="1:11">
      <c r="D117" s="1593"/>
      <c r="E117" s="1593"/>
      <c r="F117" s="1593"/>
      <c r="G117" s="1593"/>
      <c r="H117" s="1593"/>
      <c r="I117" s="1593"/>
      <c r="J117" s="1593"/>
      <c r="K117" s="1593"/>
    </row>
    <row r="118" spans="1:11">
      <c r="A118" s="1577">
        <f>'[6]ZENTR PAISJE INFO 13'!A15</f>
        <v>7</v>
      </c>
      <c r="B118" s="1577" t="str">
        <f>'[6]ZENTR PAISJE INFO 13'!B15</f>
        <v>Monitor 2013</v>
      </c>
      <c r="C118" s="1592" t="str">
        <f>'[6]ZENTR PAISJE INFO 13'!C15</f>
        <v>14.06.2013</v>
      </c>
      <c r="D118" s="1593">
        <f>'[6]ZENTR PAISJE INFO 13'!D15</f>
        <v>18667</v>
      </c>
      <c r="E118" s="1593">
        <f>'[6]ZENTR PAISJE INFO 13'!E15</f>
        <v>0</v>
      </c>
      <c r="F118" s="1593">
        <f>'[6]ZENTR PAISJE INFO 13'!F15</f>
        <v>18667</v>
      </c>
      <c r="G118" s="1593">
        <f>'[6]ZENTR PAISJE INFO 13'!G15</f>
        <v>25</v>
      </c>
      <c r="H118" s="1593">
        <f>'[6]ZENTR PAISJE INFO 13'!H15</f>
        <v>6</v>
      </c>
      <c r="I118" s="1593">
        <f>'[6]ZENTR PAISJE INFO 13'!I15</f>
        <v>2333.375</v>
      </c>
      <c r="J118" s="1593">
        <f>'[6]ZENTR PAISJE INFO 13'!J15</f>
        <v>2333.375</v>
      </c>
      <c r="K118" s="1593">
        <f>'[6]ZENTR PAISJE INFO 13'!K15</f>
        <v>16333.625</v>
      </c>
    </row>
    <row r="119" spans="1:11">
      <c r="D119" s="1593"/>
      <c r="E119" s="1593"/>
      <c r="F119" s="1593"/>
      <c r="G119" s="1593"/>
      <c r="H119" s="1593"/>
      <c r="I119" s="1593"/>
      <c r="J119" s="1593"/>
      <c r="K119" s="1593"/>
    </row>
    <row r="120" spans="1:11">
      <c r="A120" s="1577">
        <f>'[6]ZENTR PAISJE INFO 13'!A17</f>
        <v>8</v>
      </c>
      <c r="B120" s="1577" t="str">
        <f>'[6]ZENTR PAISJE INFO 13'!B17</f>
        <v>Kompjuter 2013</v>
      </c>
      <c r="C120" s="1592" t="str">
        <f>'[6]ZENTR PAISJE INFO 13'!C17</f>
        <v>14.06.2013</v>
      </c>
      <c r="D120" s="1593">
        <f>'[6]ZENTR PAISJE INFO 13'!D17</f>
        <v>74667</v>
      </c>
      <c r="E120" s="1593">
        <f>'[6]ZENTR PAISJE INFO 13'!E17</f>
        <v>0</v>
      </c>
      <c r="F120" s="1593">
        <f>'[6]ZENTR PAISJE INFO 13'!F17</f>
        <v>74667</v>
      </c>
      <c r="G120" s="1593">
        <f>'[6]ZENTR PAISJE INFO 13'!G17</f>
        <v>25</v>
      </c>
      <c r="H120" s="1593">
        <f>'[6]ZENTR PAISJE INFO 13'!H17</f>
        <v>6</v>
      </c>
      <c r="I120" s="1593">
        <f>'[6]ZENTR PAISJE INFO 13'!I17</f>
        <v>9333.375</v>
      </c>
      <c r="J120" s="1593">
        <f>'[6]ZENTR PAISJE INFO 13'!J17</f>
        <v>9333.375</v>
      </c>
      <c r="K120" s="1593">
        <f>'[6]ZENTR PAISJE INFO 13'!K17</f>
        <v>65333.625</v>
      </c>
    </row>
    <row r="121" spans="1:11">
      <c r="D121" s="1593"/>
      <c r="E121" s="1593"/>
      <c r="F121" s="1593"/>
      <c r="G121" s="1593"/>
      <c r="H121" s="1593"/>
      <c r="I121" s="1593"/>
      <c r="J121" s="1593"/>
      <c r="K121" s="1593"/>
    </row>
    <row r="122" spans="1:11">
      <c r="A122" s="1577">
        <f>'[6]ZENTR PAISJE INFO 13'!A19</f>
        <v>9</v>
      </c>
      <c r="B122" s="1577" t="str">
        <f>'[6]ZENTR PAISJE INFO 13'!B19</f>
        <v>HDD RAM 2013</v>
      </c>
      <c r="C122" s="1592" t="str">
        <f>'[6]ZENTR PAISJE INFO 13'!C19</f>
        <v>14.05.2013</v>
      </c>
      <c r="D122" s="1593">
        <f>'[6]ZENTR PAISJE INFO 13'!D19</f>
        <v>16833</v>
      </c>
      <c r="E122" s="1593">
        <f>'[6]ZENTR PAISJE INFO 13'!E19</f>
        <v>0</v>
      </c>
      <c r="F122" s="1593">
        <f>'[6]ZENTR PAISJE INFO 13'!F19</f>
        <v>16833</v>
      </c>
      <c r="G122" s="1593">
        <f>'[6]ZENTR PAISJE INFO 13'!G19</f>
        <v>25</v>
      </c>
      <c r="H122" s="1593">
        <f>'[6]ZENTR PAISJE INFO 13'!H19</f>
        <v>7</v>
      </c>
      <c r="I122" s="1593">
        <f>'[6]ZENTR PAISJE INFO 13'!I19</f>
        <v>2454.8125</v>
      </c>
      <c r="J122" s="1593">
        <f>'[6]ZENTR PAISJE INFO 13'!J19</f>
        <v>2454.8125</v>
      </c>
      <c r="K122" s="1593">
        <f>'[6]ZENTR PAISJE INFO 13'!K19</f>
        <v>14378.1875</v>
      </c>
    </row>
    <row r="123" spans="1:11">
      <c r="D123" s="1593"/>
      <c r="E123" s="1593"/>
      <c r="F123" s="1593"/>
      <c r="G123" s="1593"/>
      <c r="H123" s="1593"/>
      <c r="I123" s="1593"/>
      <c r="J123" s="1593"/>
      <c r="K123" s="1593"/>
    </row>
    <row r="124" spans="1:11">
      <c r="A124" s="1577">
        <f>'[6]ZENTR PAISJE INFO 13'!A21</f>
        <v>10</v>
      </c>
      <c r="B124" s="1577" t="str">
        <f>'[6]ZENTR PAISJE INFO 13'!B21</f>
        <v>Karte Grafike 2013</v>
      </c>
      <c r="C124" s="1592" t="str">
        <f>'[6]ZENTR PAISJE INFO 13'!C21</f>
        <v>08.05.2013</v>
      </c>
      <c r="D124" s="1593">
        <f>'[6]ZENTR PAISJE INFO 13'!D21</f>
        <v>56667</v>
      </c>
      <c r="E124" s="1593">
        <f>'[6]ZENTR PAISJE INFO 13'!E21</f>
        <v>0</v>
      </c>
      <c r="F124" s="1593">
        <f>'[6]ZENTR PAISJE INFO 13'!F21</f>
        <v>56667</v>
      </c>
      <c r="G124" s="1593">
        <f>'[6]ZENTR PAISJE INFO 13'!G21</f>
        <v>25</v>
      </c>
      <c r="H124" s="1593">
        <f>'[6]ZENTR PAISJE INFO 13'!H21</f>
        <v>7</v>
      </c>
      <c r="I124" s="1593">
        <f>'[6]ZENTR PAISJE INFO 13'!I21</f>
        <v>8263.9375</v>
      </c>
      <c r="J124" s="1593">
        <f>'[6]ZENTR PAISJE INFO 13'!J21</f>
        <v>8263.9375</v>
      </c>
      <c r="K124" s="1593">
        <f>'[6]ZENTR PAISJE INFO 13'!K21</f>
        <v>48403.0625</v>
      </c>
    </row>
    <row r="125" spans="1:11">
      <c r="D125" s="1593"/>
      <c r="E125" s="1593"/>
      <c r="F125" s="1593"/>
      <c r="G125" s="1593"/>
      <c r="H125" s="1593"/>
      <c r="I125" s="1593"/>
      <c r="J125" s="1593"/>
      <c r="K125" s="1593"/>
    </row>
    <row r="126" spans="1:11">
      <c r="A126" s="1577">
        <f>'[6]ZENTR PAISJE INFO 13'!A23</f>
        <v>11</v>
      </c>
      <c r="B126" s="1577" t="str">
        <f>'[6]ZENTR PAISJE INFO 13'!B23</f>
        <v>Karte rrjeti Wirles 2013</v>
      </c>
      <c r="C126" s="1592" t="str">
        <f>'[6]ZENTR PAISJE INFO 13'!C23</f>
        <v>01.05.2013</v>
      </c>
      <c r="D126" s="1593">
        <f>'[6]ZENTR PAISJE INFO 13'!D23</f>
        <v>29167</v>
      </c>
      <c r="E126" s="1593">
        <f>'[6]ZENTR PAISJE INFO 13'!E23</f>
        <v>0</v>
      </c>
      <c r="F126" s="1593">
        <f>'[6]ZENTR PAISJE INFO 13'!F23</f>
        <v>29167</v>
      </c>
      <c r="G126" s="1593">
        <f>'[6]ZENTR PAISJE INFO 13'!G23</f>
        <v>25</v>
      </c>
      <c r="H126" s="1593">
        <f>'[6]ZENTR PAISJE INFO 13'!H23</f>
        <v>7</v>
      </c>
      <c r="I126" s="1593">
        <f>'[6]ZENTR PAISJE INFO 13'!I23</f>
        <v>4253.5208333333339</v>
      </c>
      <c r="J126" s="1593">
        <f>'[6]ZENTR PAISJE INFO 13'!J23</f>
        <v>4253.5208333333339</v>
      </c>
      <c r="K126" s="1593">
        <f>'[6]ZENTR PAISJE INFO 13'!K23</f>
        <v>24913.479166666664</v>
      </c>
    </row>
    <row r="127" spans="1:11">
      <c r="D127" s="1593"/>
      <c r="E127" s="1593"/>
      <c r="F127" s="1593"/>
      <c r="G127" s="1593"/>
      <c r="H127" s="1593"/>
      <c r="I127" s="1593"/>
      <c r="J127" s="1593"/>
      <c r="K127" s="1593"/>
    </row>
    <row r="128" spans="1:11">
      <c r="A128" s="1577">
        <f>'[6]ZENTR PAISJE INFO 13'!A25</f>
        <v>12</v>
      </c>
      <c r="B128" s="1577" t="str">
        <f>'[6]ZENTR PAISJE INFO 13'!B25</f>
        <v>HDD 2013</v>
      </c>
      <c r="C128" s="1592" t="str">
        <f>'[6]ZENTR PAISJE INFO 13'!C25</f>
        <v>21.05.2013</v>
      </c>
      <c r="D128" s="1593">
        <f>'[6]ZENTR PAISJE INFO 13'!D25</f>
        <v>31500</v>
      </c>
      <c r="E128" s="1593">
        <f>'[6]ZENTR PAISJE INFO 13'!E25</f>
        <v>0</v>
      </c>
      <c r="F128" s="1593">
        <f>'[6]ZENTR PAISJE INFO 13'!F25</f>
        <v>31500</v>
      </c>
      <c r="G128" s="1593">
        <f>'[6]ZENTR PAISJE INFO 13'!G25</f>
        <v>25</v>
      </c>
      <c r="H128" s="1593">
        <f>'[6]ZENTR PAISJE INFO 13'!H25</f>
        <v>7</v>
      </c>
      <c r="I128" s="1593">
        <f>'[6]ZENTR PAISJE INFO 13'!I25</f>
        <v>4593.75</v>
      </c>
      <c r="J128" s="1593">
        <f>'[6]ZENTR PAISJE INFO 13'!J25</f>
        <v>4593.75</v>
      </c>
      <c r="K128" s="1593">
        <f>'[6]ZENTR PAISJE INFO 13'!K25</f>
        <v>26906.25</v>
      </c>
    </row>
    <row r="129" spans="1:11">
      <c r="D129" s="1593"/>
      <c r="E129" s="1593"/>
      <c r="F129" s="1593"/>
      <c r="G129" s="1593"/>
      <c r="H129" s="1593"/>
      <c r="I129" s="1593"/>
      <c r="J129" s="1593"/>
      <c r="K129" s="1593"/>
    </row>
    <row r="130" spans="1:11">
      <c r="A130" s="1577">
        <f>'[6]ZENTR PAISJE INFO 13'!A27</f>
        <v>13</v>
      </c>
      <c r="B130" s="1577" t="str">
        <f>'[6]ZENTR PAISJE INFO 13'!B27</f>
        <v>Laptop DELL 2013</v>
      </c>
      <c r="C130" s="1592" t="str">
        <f>'[6]ZENTR PAISJE INFO 13'!C27</f>
        <v>13.05.2013</v>
      </c>
      <c r="D130" s="1593">
        <f>'[6]ZENTR PAISJE INFO 13'!D27</f>
        <v>78250</v>
      </c>
      <c r="E130" s="1593">
        <f>'[6]ZENTR PAISJE INFO 13'!E27</f>
        <v>0</v>
      </c>
      <c r="F130" s="1593">
        <f>'[6]ZENTR PAISJE INFO 13'!F27</f>
        <v>78250</v>
      </c>
      <c r="G130" s="1593">
        <f>'[6]ZENTR PAISJE INFO 13'!G27</f>
        <v>25</v>
      </c>
      <c r="H130" s="1593">
        <f>'[6]ZENTR PAISJE INFO 13'!H27</f>
        <v>7</v>
      </c>
      <c r="I130" s="1593">
        <f>'[6]ZENTR PAISJE INFO 13'!I27</f>
        <v>11411.458333333332</v>
      </c>
      <c r="J130" s="1593">
        <f>'[6]ZENTR PAISJE INFO 13'!J27</f>
        <v>11411.458333333332</v>
      </c>
      <c r="K130" s="1593">
        <f>'[6]ZENTR PAISJE INFO 13'!K27</f>
        <v>66838.541666666672</v>
      </c>
    </row>
    <row r="131" spans="1:11">
      <c r="D131" s="1593"/>
      <c r="E131" s="1593"/>
      <c r="F131" s="1593"/>
      <c r="G131" s="1593"/>
      <c r="H131" s="1593"/>
      <c r="I131" s="1593"/>
      <c r="J131" s="1593"/>
      <c r="K131" s="1593"/>
    </row>
    <row r="132" spans="1:11">
      <c r="A132" s="1577">
        <f>'[6]ZENTR PAISJE INFO 13'!A29</f>
        <v>14</v>
      </c>
      <c r="B132" s="1577" t="str">
        <f>'[6]ZENTR PAISJE INFO 13'!B29</f>
        <v>Kamera me Percjelles 2013</v>
      </c>
      <c r="C132" s="1592" t="str">
        <f>'[6]ZENTR PAISJE INFO 13'!C29</f>
        <v>04.05.2013</v>
      </c>
      <c r="D132" s="1593">
        <f>'[6]ZENTR PAISJE INFO 13'!D29</f>
        <v>17250</v>
      </c>
      <c r="E132" s="1593">
        <f>'[6]ZENTR PAISJE INFO 13'!E29</f>
        <v>0</v>
      </c>
      <c r="F132" s="1593">
        <f>'[6]ZENTR PAISJE INFO 13'!F29</f>
        <v>17250</v>
      </c>
      <c r="G132" s="1593">
        <f>'[6]ZENTR PAISJE INFO 13'!G29</f>
        <v>25</v>
      </c>
      <c r="H132" s="1593">
        <f>'[6]ZENTR PAISJE INFO 13'!H29</f>
        <v>7</v>
      </c>
      <c r="I132" s="1593">
        <f>'[6]ZENTR PAISJE INFO 13'!I29</f>
        <v>2515.625</v>
      </c>
      <c r="J132" s="1593">
        <f>'[6]ZENTR PAISJE INFO 13'!J29</f>
        <v>2515.625</v>
      </c>
      <c r="K132" s="1593">
        <f>'[6]ZENTR PAISJE INFO 13'!K29</f>
        <v>14734.375</v>
      </c>
    </row>
    <row r="133" spans="1:11">
      <c r="D133" s="1593"/>
      <c r="E133" s="1593"/>
      <c r="F133" s="1593"/>
      <c r="G133" s="1593"/>
      <c r="H133" s="1593"/>
      <c r="I133" s="1593"/>
      <c r="J133" s="1593"/>
      <c r="K133" s="1593"/>
    </row>
    <row r="134" spans="1:11">
      <c r="A134" s="1577">
        <f>'[6]ZENTR PAISJE INFO 13'!A31</f>
        <v>15</v>
      </c>
      <c r="B134" s="1577" t="str">
        <f>'[6]ZENTR PAISJE INFO 13'!B31</f>
        <v>Inverter 2013</v>
      </c>
      <c r="C134" s="1592" t="str">
        <f>'[6]ZENTR PAISJE INFO 13'!C31</f>
        <v>04.05.2013</v>
      </c>
      <c r="D134" s="1593">
        <f>'[6]ZENTR PAISJE INFO 13'!D31</f>
        <v>35000</v>
      </c>
      <c r="E134" s="1593">
        <f>'[6]ZENTR PAISJE INFO 13'!E31</f>
        <v>0</v>
      </c>
      <c r="F134" s="1593">
        <f>'[6]ZENTR PAISJE INFO 13'!F31</f>
        <v>35000</v>
      </c>
      <c r="G134" s="1593">
        <f>'[6]ZENTR PAISJE INFO 13'!G31</f>
        <v>25</v>
      </c>
      <c r="H134" s="1593">
        <f>'[6]ZENTR PAISJE INFO 13'!H31</f>
        <v>7</v>
      </c>
      <c r="I134" s="1593">
        <f>'[6]ZENTR PAISJE INFO 13'!I31</f>
        <v>5104.1666666666661</v>
      </c>
      <c r="J134" s="1593">
        <f>'[6]ZENTR PAISJE INFO 13'!J31</f>
        <v>5104.1666666666661</v>
      </c>
      <c r="K134" s="1593">
        <f>'[6]ZENTR PAISJE INFO 13'!K31</f>
        <v>29895.833333333336</v>
      </c>
    </row>
    <row r="135" spans="1:11">
      <c r="D135" s="1593"/>
      <c r="E135" s="1593"/>
      <c r="F135" s="1593"/>
      <c r="G135" s="1593"/>
      <c r="H135" s="1593"/>
      <c r="I135" s="1593"/>
      <c r="J135" s="1593"/>
      <c r="K135" s="1593"/>
    </row>
    <row r="136" spans="1:11">
      <c r="A136" s="1577">
        <f>'[6]ZENTR PAISJE INFO 13'!A33</f>
        <v>16</v>
      </c>
      <c r="B136" s="1577" t="str">
        <f>'[6]ZENTR PAISJE INFO 13'!B33</f>
        <v>Inverter 2013</v>
      </c>
      <c r="C136" s="1592" t="str">
        <f>'[6]ZENTR PAISJE INFO 13'!C33</f>
        <v>04.05.2013</v>
      </c>
      <c r="D136" s="1593">
        <f>'[6]ZENTR PAISJE INFO 13'!D33</f>
        <v>50000</v>
      </c>
      <c r="E136" s="1593">
        <f>'[6]ZENTR PAISJE INFO 13'!E33</f>
        <v>0</v>
      </c>
      <c r="F136" s="1593">
        <f>'[6]ZENTR PAISJE INFO 13'!F33</f>
        <v>50000</v>
      </c>
      <c r="G136" s="1593">
        <f>'[6]ZENTR PAISJE INFO 13'!G33</f>
        <v>25</v>
      </c>
      <c r="H136" s="1593">
        <f>'[6]ZENTR PAISJE INFO 13'!H33</f>
        <v>7</v>
      </c>
      <c r="I136" s="1593">
        <f>'[6]ZENTR PAISJE INFO 13'!I33</f>
        <v>7291.666666666667</v>
      </c>
      <c r="J136" s="1593">
        <f>'[6]ZENTR PAISJE INFO 13'!J33</f>
        <v>7291.666666666667</v>
      </c>
      <c r="K136" s="1593">
        <f>'[6]ZENTR PAISJE INFO 13'!K33</f>
        <v>42708.333333333336</v>
      </c>
    </row>
    <row r="137" spans="1:11">
      <c r="D137" s="1593"/>
      <c r="E137" s="1593"/>
      <c r="F137" s="1593"/>
      <c r="G137" s="1593"/>
      <c r="H137" s="1593"/>
      <c r="I137" s="1593"/>
      <c r="J137" s="1593"/>
      <c r="K137" s="1593"/>
    </row>
    <row r="138" spans="1:11">
      <c r="A138" s="1577">
        <f>'[6]ZENTR PAISJE INFO 13'!A35</f>
        <v>17</v>
      </c>
      <c r="B138" s="1577" t="str">
        <f>'[6]ZENTR PAISJE INFO 13'!B35</f>
        <v>Kompjuter 2013</v>
      </c>
      <c r="C138" s="1592" t="str">
        <f>'[6]ZENTR PAISJE INFO 13'!C35</f>
        <v>17.05.2013</v>
      </c>
      <c r="D138" s="1593">
        <f>'[6]ZENTR PAISJE INFO 13'!D35</f>
        <v>48250</v>
      </c>
      <c r="E138" s="1593">
        <f>'[6]ZENTR PAISJE INFO 13'!E35</f>
        <v>0</v>
      </c>
      <c r="F138" s="1593">
        <f>'[6]ZENTR PAISJE INFO 13'!F35</f>
        <v>48250</v>
      </c>
      <c r="G138" s="1593">
        <f>'[6]ZENTR PAISJE INFO 13'!G35</f>
        <v>25</v>
      </c>
      <c r="H138" s="1593">
        <f>'[6]ZENTR PAISJE INFO 13'!H35</f>
        <v>7</v>
      </c>
      <c r="I138" s="1593">
        <f>'[6]ZENTR PAISJE INFO 13'!I35</f>
        <v>7036.4583333333339</v>
      </c>
      <c r="J138" s="1593">
        <f>'[6]ZENTR PAISJE INFO 13'!J35</f>
        <v>7036.4583333333339</v>
      </c>
      <c r="K138" s="1593">
        <f>'[6]ZENTR PAISJE INFO 13'!K35</f>
        <v>41213.541666666664</v>
      </c>
    </row>
    <row r="139" spans="1:11">
      <c r="D139" s="1593"/>
      <c r="E139" s="1593"/>
      <c r="F139" s="1593"/>
      <c r="G139" s="1593"/>
      <c r="H139" s="1593"/>
      <c r="I139" s="1593"/>
      <c r="J139" s="1593"/>
      <c r="K139" s="1593"/>
    </row>
    <row r="140" spans="1:11">
      <c r="A140" s="1577">
        <f>'[6]ZENTR PAISJE INFO 13'!A37</f>
        <v>18</v>
      </c>
      <c r="B140" s="1577" t="str">
        <f>'[6]ZENTR PAISJE INFO 13'!B37</f>
        <v>DVR 2013</v>
      </c>
      <c r="C140" s="1592" t="str">
        <f>'[6]ZENTR PAISJE INFO 13'!C37</f>
        <v>14.05.2013</v>
      </c>
      <c r="D140" s="1593">
        <f>'[6]ZENTR PAISJE INFO 13'!D37</f>
        <v>18667</v>
      </c>
      <c r="E140" s="1593">
        <f>'[6]ZENTR PAISJE INFO 13'!E37</f>
        <v>0</v>
      </c>
      <c r="F140" s="1593">
        <f>'[6]ZENTR PAISJE INFO 13'!F37</f>
        <v>18667</v>
      </c>
      <c r="G140" s="1593">
        <f>'[6]ZENTR PAISJE INFO 13'!G37</f>
        <v>25</v>
      </c>
      <c r="H140" s="1593">
        <f>'[6]ZENTR PAISJE INFO 13'!H37</f>
        <v>7</v>
      </c>
      <c r="I140" s="1593">
        <f>'[6]ZENTR PAISJE INFO 13'!I37</f>
        <v>2722.270833333333</v>
      </c>
      <c r="J140" s="1593">
        <f>'[6]ZENTR PAISJE INFO 13'!J37</f>
        <v>2722.270833333333</v>
      </c>
      <c r="K140" s="1593">
        <f>'[6]ZENTR PAISJE INFO 13'!K37</f>
        <v>15944.729166666668</v>
      </c>
    </row>
    <row r="141" spans="1:11">
      <c r="D141" s="1593"/>
      <c r="E141" s="1593"/>
      <c r="F141" s="1593"/>
      <c r="G141" s="1593"/>
      <c r="H141" s="1593"/>
      <c r="I141" s="1593"/>
      <c r="J141" s="1593"/>
      <c r="K141" s="1593"/>
    </row>
    <row r="142" spans="1:11">
      <c r="A142" s="1577">
        <f>'[6]ZENTR PAISJE INFO 13'!A39</f>
        <v>19</v>
      </c>
      <c r="B142" s="1577" t="str">
        <f>'[6]ZENTR PAISJE INFO 13'!B39</f>
        <v>Switch 2013</v>
      </c>
      <c r="C142" s="1592" t="str">
        <f>'[6]ZENTR PAISJE INFO 13'!C39</f>
        <v>10.01.2013</v>
      </c>
      <c r="D142" s="1593">
        <f>'[6]ZENTR PAISJE INFO 13'!D39</f>
        <v>5600</v>
      </c>
      <c r="E142" s="1593">
        <f>'[6]ZENTR PAISJE INFO 13'!E39</f>
        <v>0</v>
      </c>
      <c r="F142" s="1593">
        <f>'[6]ZENTR PAISJE INFO 13'!F39</f>
        <v>5600</v>
      </c>
      <c r="G142" s="1593">
        <f>'[6]ZENTR PAISJE INFO 13'!G39</f>
        <v>25</v>
      </c>
      <c r="H142" s="1593">
        <f>'[6]ZENTR PAISJE INFO 13'!H39</f>
        <v>11</v>
      </c>
      <c r="I142" s="1593">
        <f>'[6]ZENTR PAISJE INFO 13'!I39</f>
        <v>1283.3333333333335</v>
      </c>
      <c r="J142" s="1593">
        <f>'[6]ZENTR PAISJE INFO 13'!J39</f>
        <v>1283.3333333333335</v>
      </c>
      <c r="K142" s="1593">
        <f>'[6]ZENTR PAISJE INFO 13'!K39</f>
        <v>4316.6666666666661</v>
      </c>
    </row>
    <row r="143" spans="1:11">
      <c r="D143" s="1593"/>
      <c r="E143" s="1593"/>
      <c r="F143" s="1593"/>
      <c r="G143" s="1593"/>
      <c r="H143" s="1593"/>
      <c r="I143" s="1593"/>
      <c r="J143" s="1593"/>
      <c r="K143" s="1593"/>
    </row>
    <row r="144" spans="1:11">
      <c r="A144" s="1577">
        <f>'[6]ZENTR PAISJE INFO 13'!A41</f>
        <v>20</v>
      </c>
      <c r="B144" s="1577" t="str">
        <f>'[6]ZENTR PAISJE INFO 13'!B41</f>
        <v>WEBCAM 2013</v>
      </c>
      <c r="C144" s="1592" t="str">
        <f>'[6]ZENTR PAISJE INFO 13'!C41</f>
        <v>06.02.2013</v>
      </c>
      <c r="D144" s="1593">
        <f>'[6]ZENTR PAISJE INFO 13'!D41</f>
        <v>4083</v>
      </c>
      <c r="E144" s="1593">
        <f>'[6]ZENTR PAISJE INFO 13'!E41</f>
        <v>0</v>
      </c>
      <c r="F144" s="1593">
        <f>'[6]ZENTR PAISJE INFO 13'!F41</f>
        <v>4083</v>
      </c>
      <c r="G144" s="1593">
        <f>'[6]ZENTR PAISJE INFO 13'!G41</f>
        <v>25</v>
      </c>
      <c r="H144" s="1593">
        <f>'[6]ZENTR PAISJE INFO 13'!H41</f>
        <v>10</v>
      </c>
      <c r="I144" s="1593">
        <f>'[6]ZENTR PAISJE INFO 13'!I41</f>
        <v>850.625</v>
      </c>
      <c r="J144" s="1593">
        <f>'[6]ZENTR PAISJE INFO 13'!J41</f>
        <v>850.625</v>
      </c>
      <c r="K144" s="1593">
        <f>'[6]ZENTR PAISJE INFO 13'!K41</f>
        <v>3232.375</v>
      </c>
    </row>
    <row r="145" spans="1:11">
      <c r="D145" s="1593"/>
      <c r="E145" s="1593"/>
      <c r="F145" s="1593"/>
      <c r="G145" s="1593"/>
      <c r="H145" s="1593"/>
      <c r="I145" s="1593"/>
      <c r="J145" s="1593"/>
      <c r="K145" s="1593"/>
    </row>
    <row r="146" spans="1:11">
      <c r="A146" s="1577">
        <f>'[6]ZENTR PAISJE INFO 13'!A43</f>
        <v>21</v>
      </c>
      <c r="B146" s="1577" t="str">
        <f>'[6]ZENTR PAISJE INFO 13'!B43</f>
        <v>Kompjuter 2013</v>
      </c>
      <c r="C146" s="1592" t="str">
        <f>'[6]ZENTR PAISJE INFO 13'!C43</f>
        <v>06.02.2013</v>
      </c>
      <c r="D146" s="1593">
        <f>'[6]ZENTR PAISJE INFO 13'!D43</f>
        <v>117833</v>
      </c>
      <c r="E146" s="1593">
        <f>'[6]ZENTR PAISJE INFO 13'!E43</f>
        <v>0</v>
      </c>
      <c r="F146" s="1593">
        <f>'[6]ZENTR PAISJE INFO 13'!F43</f>
        <v>117833</v>
      </c>
      <c r="G146" s="1593">
        <f>'[6]ZENTR PAISJE INFO 13'!G43</f>
        <v>25</v>
      </c>
      <c r="H146" s="1593">
        <f>'[6]ZENTR PAISJE INFO 13'!H43</f>
        <v>10</v>
      </c>
      <c r="I146" s="1593">
        <f>'[6]ZENTR PAISJE INFO 13'!I43</f>
        <v>24548.541666666664</v>
      </c>
      <c r="J146" s="1593">
        <f>'[6]ZENTR PAISJE INFO 13'!J43</f>
        <v>24548.541666666664</v>
      </c>
      <c r="K146" s="1593">
        <f>'[6]ZENTR PAISJE INFO 13'!K43</f>
        <v>93284.458333333343</v>
      </c>
    </row>
    <row r="147" spans="1:11">
      <c r="D147" s="1593"/>
      <c r="E147" s="1593"/>
      <c r="F147" s="1593"/>
      <c r="G147" s="1593"/>
      <c r="H147" s="1593"/>
      <c r="I147" s="1593"/>
      <c r="J147" s="1593"/>
      <c r="K147" s="1593"/>
    </row>
    <row r="148" spans="1:11">
      <c r="A148" s="1577">
        <f>'[6]ZENTR PAISJE INFO 13'!A45</f>
        <v>22</v>
      </c>
      <c r="B148" s="1577" t="str">
        <f>'[6]ZENTR PAISJE INFO 13'!B45</f>
        <v>Monitor 22 " 2013</v>
      </c>
      <c r="C148" s="1592" t="str">
        <f>'[6]ZENTR PAISJE INFO 13'!C45</f>
        <v>07.02.2013</v>
      </c>
      <c r="D148" s="1593">
        <f>'[6]ZENTR PAISJE INFO 13'!D45</f>
        <v>9333</v>
      </c>
      <c r="E148" s="1593">
        <f>'[6]ZENTR PAISJE INFO 13'!E45</f>
        <v>0</v>
      </c>
      <c r="F148" s="1593">
        <f>'[6]ZENTR PAISJE INFO 13'!F45</f>
        <v>9333</v>
      </c>
      <c r="G148" s="1593">
        <f>'[6]ZENTR PAISJE INFO 13'!G45</f>
        <v>25</v>
      </c>
      <c r="H148" s="1593">
        <f>'[6]ZENTR PAISJE INFO 13'!H45</f>
        <v>10</v>
      </c>
      <c r="I148" s="1593">
        <f>'[6]ZENTR PAISJE INFO 13'!I45</f>
        <v>1944.375</v>
      </c>
      <c r="J148" s="1593">
        <f>'[6]ZENTR PAISJE INFO 13'!J45</f>
        <v>1944.375</v>
      </c>
      <c r="K148" s="1593">
        <f>'[6]ZENTR PAISJE INFO 13'!K45</f>
        <v>7388.625</v>
      </c>
    </row>
    <row r="149" spans="1:11">
      <c r="D149" s="1593"/>
      <c r="E149" s="1593"/>
      <c r="F149" s="1593"/>
      <c r="G149" s="1593"/>
      <c r="H149" s="1593"/>
      <c r="I149" s="1593"/>
      <c r="J149" s="1593"/>
      <c r="K149" s="1593"/>
    </row>
    <row r="150" spans="1:11">
      <c r="A150" s="1577">
        <f>'[6]ZENTR PAISJE INFO 13'!A47</f>
        <v>23</v>
      </c>
      <c r="B150" s="1577" t="str">
        <f>'[6]ZENTR PAISJE INFO 13'!B47</f>
        <v>Router 2013</v>
      </c>
      <c r="C150" s="1592" t="str">
        <f>'[6]ZENTR PAISJE INFO 13'!C47</f>
        <v>08.02.2013</v>
      </c>
      <c r="D150" s="1593">
        <f>'[6]ZENTR PAISJE INFO 13'!D47</f>
        <v>7000</v>
      </c>
      <c r="E150" s="1593">
        <f>'[6]ZENTR PAISJE INFO 13'!E47</f>
        <v>0</v>
      </c>
      <c r="F150" s="1593">
        <f>'[6]ZENTR PAISJE INFO 13'!F47</f>
        <v>7000</v>
      </c>
      <c r="G150" s="1593">
        <f>'[6]ZENTR PAISJE INFO 13'!G47</f>
        <v>25</v>
      </c>
      <c r="H150" s="1593">
        <f>'[6]ZENTR PAISJE INFO 13'!H47</f>
        <v>10</v>
      </c>
      <c r="I150" s="1593">
        <f>'[6]ZENTR PAISJE INFO 13'!I47</f>
        <v>1458.3333333333335</v>
      </c>
      <c r="J150" s="1593">
        <f>'[6]ZENTR PAISJE INFO 13'!J47</f>
        <v>1458.3333333333335</v>
      </c>
      <c r="K150" s="1593">
        <f>'[6]ZENTR PAISJE INFO 13'!K47</f>
        <v>5541.6666666666661</v>
      </c>
    </row>
    <row r="151" spans="1:11">
      <c r="D151" s="1593"/>
      <c r="E151" s="1593"/>
      <c r="F151" s="1593"/>
      <c r="G151" s="1593"/>
      <c r="H151" s="1593"/>
      <c r="I151" s="1593"/>
      <c r="J151" s="1593"/>
      <c r="K151" s="1593"/>
    </row>
    <row r="152" spans="1:11">
      <c r="A152" s="1577">
        <f>'[6]ZENTR PAISJE INFO 13'!A49</f>
        <v>24</v>
      </c>
      <c r="B152" s="1577" t="str">
        <f>'[6]ZENTR PAISJE INFO 13'!B49</f>
        <v>Karte zeri 2013</v>
      </c>
      <c r="C152" s="1592" t="str">
        <f>'[6]ZENTR PAISJE INFO 13'!C49</f>
        <v>23.02.2013</v>
      </c>
      <c r="D152" s="1593">
        <f>'[6]ZENTR PAISJE INFO 13'!D49</f>
        <v>4082</v>
      </c>
      <c r="E152" s="1593">
        <f>'[6]ZENTR PAISJE INFO 13'!E49</f>
        <v>0</v>
      </c>
      <c r="F152" s="1593">
        <f>'[6]ZENTR PAISJE INFO 13'!F49</f>
        <v>4082</v>
      </c>
      <c r="G152" s="1593">
        <f>'[6]ZENTR PAISJE INFO 13'!G49</f>
        <v>25</v>
      </c>
      <c r="H152" s="1593">
        <f>'[6]ZENTR PAISJE INFO 13'!H49</f>
        <v>10</v>
      </c>
      <c r="I152" s="1593">
        <f>'[6]ZENTR PAISJE INFO 13'!I49</f>
        <v>850.41666666666674</v>
      </c>
      <c r="J152" s="1593">
        <f>'[6]ZENTR PAISJE INFO 13'!J49</f>
        <v>850.41666666666674</v>
      </c>
      <c r="K152" s="1593">
        <f>'[6]ZENTR PAISJE INFO 13'!K49</f>
        <v>3231.583333333333</v>
      </c>
    </row>
    <row r="153" spans="1:11">
      <c r="D153" s="1593"/>
      <c r="E153" s="1593"/>
      <c r="F153" s="1593"/>
      <c r="G153" s="1593"/>
      <c r="H153" s="1593"/>
      <c r="I153" s="1593"/>
      <c r="J153" s="1593"/>
      <c r="K153" s="1593"/>
    </row>
    <row r="154" spans="1:11">
      <c r="A154" s="1577">
        <f>'[6]ZENTR PAISJE INFO 13'!A51</f>
        <v>25</v>
      </c>
      <c r="B154" s="1577" t="str">
        <f>'[6]ZENTR PAISJE INFO 13'!B51</f>
        <v>X devel 2013</v>
      </c>
      <c r="C154" s="1592" t="str">
        <f>'[6]ZENTR PAISJE INFO 13'!C51</f>
        <v>29.03.2013</v>
      </c>
      <c r="D154" s="1593">
        <f>'[6]ZENTR PAISJE INFO 13'!D51</f>
        <v>267868</v>
      </c>
      <c r="E154" s="1593">
        <f>'[6]ZENTR PAISJE INFO 13'!E51</f>
        <v>0</v>
      </c>
      <c r="F154" s="1593">
        <f>'[6]ZENTR PAISJE INFO 13'!F51</f>
        <v>267868</v>
      </c>
      <c r="G154" s="1593">
        <f>'[6]ZENTR PAISJE INFO 13'!G51</f>
        <v>25</v>
      </c>
      <c r="H154" s="1593">
        <f>'[6]ZENTR PAISJE INFO 13'!H51</f>
        <v>9</v>
      </c>
      <c r="I154" s="1593">
        <f>'[6]ZENTR PAISJE INFO 13'!I51</f>
        <v>50225.25</v>
      </c>
      <c r="J154" s="1593">
        <f>'[6]ZENTR PAISJE INFO 13'!J51</f>
        <v>50225.25</v>
      </c>
      <c r="K154" s="1593">
        <f>'[6]ZENTR PAISJE INFO 13'!K51</f>
        <v>217642.75</v>
      </c>
    </row>
    <row r="155" spans="1:11">
      <c r="D155" s="1593"/>
      <c r="E155" s="1593"/>
      <c r="F155" s="1593"/>
      <c r="G155" s="1593"/>
      <c r="H155" s="1593"/>
      <c r="I155" s="1593"/>
      <c r="J155" s="1593"/>
      <c r="K155" s="1593"/>
    </row>
    <row r="156" spans="1:11">
      <c r="A156" s="1577">
        <f>'[6]ZENTR PAISJE INFO 13'!A53</f>
        <v>26</v>
      </c>
      <c r="B156" s="1577" t="str">
        <f>'[6]ZENTR PAISJE INFO 13'!B53</f>
        <v>Mini Converter 2013</v>
      </c>
      <c r="C156" s="1592" t="str">
        <f>'[6]ZENTR PAISJE INFO 13'!C53</f>
        <v>23.01.2013</v>
      </c>
      <c r="D156" s="1593">
        <f>'[6]ZENTR PAISJE INFO 13'!D53</f>
        <v>35700</v>
      </c>
      <c r="E156" s="1593">
        <f>'[6]ZENTR PAISJE INFO 13'!E53</f>
        <v>0</v>
      </c>
      <c r="F156" s="1593">
        <f>'[6]ZENTR PAISJE INFO 13'!F53</f>
        <v>35700</v>
      </c>
      <c r="G156" s="1593">
        <f>'[6]ZENTR PAISJE INFO 13'!G53</f>
        <v>25</v>
      </c>
      <c r="H156" s="1593">
        <f>'[6]ZENTR PAISJE INFO 13'!H53</f>
        <v>11</v>
      </c>
      <c r="I156" s="1593">
        <f>'[6]ZENTR PAISJE INFO 13'!I53</f>
        <v>8181.25</v>
      </c>
      <c r="J156" s="1593">
        <f>'[6]ZENTR PAISJE INFO 13'!J53</f>
        <v>8181.25</v>
      </c>
      <c r="K156" s="1593">
        <f>'[6]ZENTR PAISJE INFO 13'!K53</f>
        <v>27518.75</v>
      </c>
    </row>
    <row r="157" spans="1:11">
      <c r="D157" s="1593"/>
      <c r="E157" s="1593"/>
      <c r="F157" s="1593"/>
      <c r="G157" s="1593"/>
      <c r="H157" s="1593"/>
      <c r="I157" s="1593"/>
      <c r="J157" s="1593"/>
      <c r="K157" s="1593"/>
    </row>
    <row r="158" spans="1:11">
      <c r="A158" s="1577">
        <f>'[6]ZENTR PAISJE INFO 13'!A55</f>
        <v>27</v>
      </c>
      <c r="B158" s="1577" t="str">
        <f>'[6]ZENTR PAISJE INFO 13'!B55</f>
        <v>Kompjuter HDD 2013</v>
      </c>
      <c r="C158" s="1592" t="str">
        <f>'[6]ZENTR PAISJE INFO 13'!C55</f>
        <v>23.01.2013</v>
      </c>
      <c r="D158" s="1593">
        <f>'[6]ZENTR PAISJE INFO 13'!D55</f>
        <v>125417</v>
      </c>
      <c r="E158" s="1593">
        <f>'[6]ZENTR PAISJE INFO 13'!E55</f>
        <v>0</v>
      </c>
      <c r="F158" s="1593">
        <f>'[6]ZENTR PAISJE INFO 13'!F55</f>
        <v>125417</v>
      </c>
      <c r="G158" s="1593">
        <f>'[6]ZENTR PAISJE INFO 13'!G55</f>
        <v>25</v>
      </c>
      <c r="H158" s="1593">
        <f>'[6]ZENTR PAISJE INFO 13'!H55</f>
        <v>11</v>
      </c>
      <c r="I158" s="1593">
        <f>'[6]ZENTR PAISJE INFO 13'!I55</f>
        <v>28741.395833333332</v>
      </c>
      <c r="J158" s="1593">
        <f>'[6]ZENTR PAISJE INFO 13'!J55</f>
        <v>28741.395833333332</v>
      </c>
      <c r="K158" s="1593">
        <f>'[6]ZENTR PAISJE INFO 13'!K55</f>
        <v>96675.604166666672</v>
      </c>
    </row>
    <row r="159" spans="1:11">
      <c r="D159" s="1593"/>
      <c r="E159" s="1593"/>
      <c r="F159" s="1593"/>
      <c r="G159" s="1593"/>
      <c r="H159" s="1593"/>
      <c r="I159" s="1593"/>
      <c r="J159" s="1593"/>
      <c r="K159" s="1593"/>
    </row>
    <row r="160" spans="1:11">
      <c r="A160" s="1594"/>
      <c r="B160" s="1594" t="s">
        <v>1727</v>
      </c>
      <c r="C160" s="1595">
        <f>'[6]ZENTR PAISJE INFO 13'!C57</f>
        <v>2013</v>
      </c>
      <c r="D160" s="1596">
        <f>SUM(D106:D159)</f>
        <v>1348083</v>
      </c>
      <c r="E160" s="1596">
        <f t="shared" ref="E160:K160" si="9">SUM(E106:E159)</f>
        <v>0</v>
      </c>
      <c r="F160" s="1596">
        <f t="shared" si="9"/>
        <v>1348083</v>
      </c>
      <c r="G160" s="1596">
        <v>25</v>
      </c>
      <c r="H160" s="1596">
        <v>12</v>
      </c>
      <c r="I160" s="1596">
        <f>SUM(I106:I159)</f>
        <v>211172.1875</v>
      </c>
      <c r="J160" s="1596">
        <f t="shared" si="9"/>
        <v>211172.1875</v>
      </c>
      <c r="K160" s="1596">
        <f t="shared" si="9"/>
        <v>1136910.8125</v>
      </c>
    </row>
    <row r="162" spans="1:12">
      <c r="A162" s="1600">
        <f>'[6]ZENTRUM TOT 12'!A156</f>
        <v>0</v>
      </c>
      <c r="B162" s="1598" t="s">
        <v>1726</v>
      </c>
      <c r="C162" s="1599">
        <v>2012</v>
      </c>
      <c r="D162" s="1600">
        <f>'[6]ZENTRUM TOT 12'!D156</f>
        <v>12222398.699999999</v>
      </c>
      <c r="E162" s="1600"/>
      <c r="F162" s="1600">
        <f>'[6]ZENTRUM TOT 12'!F156</f>
        <v>12222398.699999999</v>
      </c>
      <c r="G162" s="1600">
        <f>'[6]ZENTRUM TOT 12'!G156</f>
        <v>25</v>
      </c>
      <c r="H162" s="1600">
        <f>'[6]ZENTRUM TOT 12'!H156</f>
        <v>12</v>
      </c>
      <c r="I162" s="1600">
        <f>'[6]ZENTRUM TOT 12'!I156</f>
        <v>2628447.788702257</v>
      </c>
      <c r="J162" s="1600">
        <f>'[6]ZENTRUM TOT 12'!J156</f>
        <v>4337055.3338932293</v>
      </c>
      <c r="K162" s="1600">
        <f>'[6]ZENTRUM TOT 12'!K156</f>
        <v>7885343.36610677</v>
      </c>
    </row>
    <row r="164" spans="1:12">
      <c r="A164" s="1601"/>
      <c r="B164" s="1601" t="s">
        <v>389</v>
      </c>
      <c r="C164" s="1602"/>
      <c r="D164" s="1603">
        <f>D160+D162</f>
        <v>13570481.699999999</v>
      </c>
      <c r="E164" s="1603">
        <f t="shared" ref="E164:F164" si="10">E160+E162</f>
        <v>0</v>
      </c>
      <c r="F164" s="1603">
        <f t="shared" si="10"/>
        <v>13570481.699999999</v>
      </c>
      <c r="G164" s="1603">
        <v>25</v>
      </c>
      <c r="H164" s="1603">
        <v>12</v>
      </c>
      <c r="I164" s="1603">
        <f>I160+I162</f>
        <v>2839619.976202257</v>
      </c>
      <c r="J164" s="1603">
        <f>J160+J162</f>
        <v>4548227.5213932293</v>
      </c>
      <c r="K164" s="1603">
        <f>D164-J164</f>
        <v>9022254.1786067709</v>
      </c>
    </row>
    <row r="166" spans="1:12">
      <c r="A166" s="1590"/>
      <c r="B166" s="1590"/>
      <c r="C166" s="1591"/>
      <c r="D166" s="1590" t="str">
        <f>'[6]ZENTR VEP ART 13'!D1</f>
        <v xml:space="preserve">VEPRA ARTI </v>
      </c>
      <c r="E166" s="1590"/>
      <c r="F166" s="1590"/>
      <c r="G166" s="1590"/>
      <c r="H166" s="1590"/>
      <c r="I166" s="1590"/>
      <c r="J166" s="1590">
        <f>'[6]ZENTR VEP ART 13'!J1</f>
        <v>21881</v>
      </c>
      <c r="K166" s="1590"/>
    </row>
    <row r="167" spans="1:12">
      <c r="A167" s="1590"/>
      <c r="B167" s="1590"/>
      <c r="C167" s="1591" t="str">
        <f>'[6]ZENTR VEP ART 13'!C2</f>
        <v>viti ushtr</v>
      </c>
      <c r="D167" s="1590" t="str">
        <f>'[6]ZENTR VEP ART 13'!D2</f>
        <v>vl fillestare</v>
      </c>
      <c r="E167" s="1590" t="str">
        <f>'[6]ZENTR VEP ART 13'!E2</f>
        <v>vl fill mbet</v>
      </c>
      <c r="F167" s="1590" t="str">
        <f>'[6]ZENTR VEP ART 13'!F2</f>
        <v>blerje</v>
      </c>
      <c r="G167" s="1590" t="str">
        <f>'[6]ZENTR VEP ART 13'!G2</f>
        <v>% amort</v>
      </c>
      <c r="H167" s="1590" t="str">
        <f>'[6]ZENTR VEP ART 13'!H2</f>
        <v>koha e perd</v>
      </c>
      <c r="I167" s="1590" t="str">
        <f>'[6]ZENTR VEP ART 13'!I2</f>
        <v>amort ushtr</v>
      </c>
      <c r="J167" s="1590" t="str">
        <f>'[6]ZENTR VEP ART 13'!J2</f>
        <v>amort tot</v>
      </c>
      <c r="K167" s="1590" t="str">
        <f>'[6]ZENTR VEP ART 13'!K2</f>
        <v>vl mbetur</v>
      </c>
    </row>
    <row r="168" spans="1:12">
      <c r="A168" s="1577">
        <f>'[6]ZENTR VEP ART 13'!A3</f>
        <v>1</v>
      </c>
      <c r="B168" s="1577" t="str">
        <f>'[6]ZENTR VEP ART 13'!B3</f>
        <v>Vepra Arti 2013</v>
      </c>
      <c r="C168" s="1592" t="str">
        <f>'[6]ZENTR VEP ART 13'!C3</f>
        <v>15.01.2013</v>
      </c>
      <c r="D168" s="1593">
        <f>'[6]ZENTR VEP ART 13'!D3</f>
        <v>25220</v>
      </c>
      <c r="E168" s="1593">
        <f>'[6]ZENTR VEP ART 13'!E3</f>
        <v>0</v>
      </c>
      <c r="F168" s="1593">
        <f>'[6]ZENTR VEP ART 13'!F3</f>
        <v>25220</v>
      </c>
      <c r="G168" s="1593">
        <f>'[6]ZENTR VEP ART 13'!G3</f>
        <v>20</v>
      </c>
      <c r="H168" s="1593">
        <f>'[6]ZENTR VEP ART 13'!H3</f>
        <v>11</v>
      </c>
      <c r="I168" s="1593">
        <f>'[6]ZENTR VEP ART 13'!I3</f>
        <v>0</v>
      </c>
      <c r="J168" s="1593">
        <f>'[6]ZENTR VEP ART 13'!J3</f>
        <v>0</v>
      </c>
      <c r="K168" s="1593">
        <f>'[6]ZENTR VEP ART 13'!K3</f>
        <v>25220</v>
      </c>
    </row>
    <row r="169" spans="1:12">
      <c r="D169" s="1593"/>
      <c r="E169" s="1593"/>
      <c r="F169" s="1593"/>
      <c r="G169" s="1593"/>
      <c r="H169" s="1593"/>
      <c r="I169" s="1593"/>
      <c r="J169" s="1593"/>
      <c r="K169" s="1593"/>
    </row>
    <row r="170" spans="1:12">
      <c r="A170" s="1594"/>
      <c r="B170" s="1594" t="str">
        <f>'[6]ZENTR VEP ART 13'!B5</f>
        <v>TOT</v>
      </c>
      <c r="C170" s="1595">
        <f>'[6]ZENTR VEP ART 13'!C5</f>
        <v>2013</v>
      </c>
      <c r="D170" s="1596">
        <f>'[6]ZENTR VEP ART 13'!D5</f>
        <v>25220</v>
      </c>
      <c r="E170" s="1596">
        <f>'[6]ZENTR VEP ART 13'!E5</f>
        <v>0</v>
      </c>
      <c r="F170" s="1596">
        <f>'[6]ZENTR VEP ART 13'!F5</f>
        <v>25220</v>
      </c>
      <c r="G170" s="1596">
        <f>'[6]ZENTR VEP ART 13'!G5</f>
        <v>20</v>
      </c>
      <c r="H170" s="1596">
        <f>'[6]ZENTR VEP ART 13'!H5</f>
        <v>11</v>
      </c>
      <c r="I170" s="1596">
        <f>'[6]ZENTR VEP ART 13'!I5</f>
        <v>0</v>
      </c>
      <c r="J170" s="1596">
        <f>'[6]ZENTR VEP ART 13'!J5</f>
        <v>0</v>
      </c>
      <c r="K170" s="1596">
        <f>'[6]ZENTR VEP ART 13'!K5</f>
        <v>25220</v>
      </c>
    </row>
    <row r="172" spans="1:12">
      <c r="A172" s="1608">
        <f>'[6]ZENTRUM TOT 12'!A267</f>
        <v>0</v>
      </c>
      <c r="B172" s="1608" t="str">
        <f>'[6]ZENTRUM TOT 12'!B267</f>
        <v>TOT</v>
      </c>
      <c r="C172" s="1599">
        <v>2012</v>
      </c>
      <c r="D172" s="1600">
        <f>'[6]ZENTRUM TOT 12'!D267</f>
        <v>33500</v>
      </c>
      <c r="E172" s="1600">
        <f>'[6]ZENTRUM TOT 12'!E267</f>
        <v>0</v>
      </c>
      <c r="F172" s="1600">
        <f>'[6]ZENTRUM TOT 12'!F267</f>
        <v>33500</v>
      </c>
      <c r="G172" s="1600">
        <f>'[6]ZENTRUM TOT 12'!G267</f>
        <v>0</v>
      </c>
      <c r="H172" s="1600">
        <f>'[6]ZENTRUM TOT 12'!H267</f>
        <v>0</v>
      </c>
      <c r="I172" s="1600">
        <f>'[6]ZENTRUM TOT 12'!I267</f>
        <v>0</v>
      </c>
      <c r="J172" s="1600">
        <f>'[6]ZENTRUM TOT 12'!J267</f>
        <v>0</v>
      </c>
      <c r="K172" s="1600">
        <f>'[6]ZENTRUM TOT 12'!K267</f>
        <v>33500</v>
      </c>
      <c r="L172" s="1604"/>
    </row>
    <row r="174" spans="1:12">
      <c r="A174" s="1601"/>
      <c r="B174" s="1601" t="s">
        <v>389</v>
      </c>
      <c r="C174" s="1602"/>
      <c r="D174" s="1603">
        <f>D170+D172</f>
        <v>58720</v>
      </c>
      <c r="E174" s="1603">
        <f t="shared" ref="E174:F174" si="11">E170+E172</f>
        <v>0</v>
      </c>
      <c r="F174" s="1603">
        <f t="shared" si="11"/>
        <v>58720</v>
      </c>
      <c r="G174" s="1603">
        <v>25</v>
      </c>
      <c r="H174" s="1603">
        <v>12</v>
      </c>
      <c r="I174" s="1603">
        <f>I170+I172</f>
        <v>0</v>
      </c>
      <c r="J174" s="1603">
        <f>J170+J172</f>
        <v>0</v>
      </c>
      <c r="K174" s="1603">
        <f>D174-J174</f>
        <v>58720</v>
      </c>
    </row>
    <row r="179" spans="1:11" ht="15">
      <c r="A179" s="1609"/>
      <c r="B179" s="1609"/>
      <c r="C179" s="1610"/>
      <c r="D179" s="1609" t="str">
        <f>'[6]ZENTRUM TOT 12'!D214</f>
        <v>MAKINERI PAISJE ENERGJITIKE</v>
      </c>
      <c r="E179" s="1609"/>
      <c r="F179" s="1609"/>
      <c r="G179" s="1609"/>
      <c r="H179" s="1609"/>
      <c r="I179" s="1609"/>
      <c r="J179" s="1609">
        <f>'[6]ZENTRUM TOT 12'!J214</f>
        <v>2133</v>
      </c>
      <c r="K179" s="1609"/>
    </row>
    <row r="180" spans="1:11" ht="15">
      <c r="A180" s="1609"/>
      <c r="B180" s="1609"/>
      <c r="C180" s="1610" t="str">
        <f>'[6]ZENTRUM TOT 12'!C215</f>
        <v>viti ushtr</v>
      </c>
      <c r="D180" s="1609" t="str">
        <f>'[6]ZENTRUM TOT 12'!D215</f>
        <v>vl fillestare</v>
      </c>
      <c r="E180" s="1609" t="str">
        <f>'[6]ZENTRUM TOT 12'!E215</f>
        <v>vl fill mbet</v>
      </c>
      <c r="F180" s="1609" t="str">
        <f>'[6]ZENTRUM TOT 12'!F215</f>
        <v>blerje</v>
      </c>
      <c r="G180" s="1609" t="str">
        <f>'[6]ZENTRUM TOT 12'!G215</f>
        <v>% amort</v>
      </c>
      <c r="H180" s="1609" t="str">
        <f>'[6]ZENTRUM TOT 12'!H215</f>
        <v>koha e perd</v>
      </c>
      <c r="I180" s="1609" t="str">
        <f>'[6]ZENTRUM TOT 12'!I215</f>
        <v>amort ushtr</v>
      </c>
      <c r="J180" s="1609" t="str">
        <f>'[6]ZENTRUM TOT 12'!J215</f>
        <v>amort tot</v>
      </c>
      <c r="K180" s="1609" t="str">
        <f>'[6]ZENTRUM TOT 12'!K215</f>
        <v>vl mbetur</v>
      </c>
    </row>
    <row r="182" spans="1:11">
      <c r="A182" s="1600">
        <f>'[6]ZENTRUM TOT 12'!A243</f>
        <v>0</v>
      </c>
      <c r="B182" s="1598" t="s">
        <v>1726</v>
      </c>
      <c r="C182" s="1598">
        <f>'[6]ZENTRUM TOT 12'!C243</f>
        <v>0</v>
      </c>
      <c r="D182" s="1600">
        <f>'[6]ZENTRUM TOT 12'!D243</f>
        <v>928667</v>
      </c>
      <c r="E182" s="1600"/>
      <c r="F182" s="1600">
        <f>'[6]ZENTRUM TOT 12'!F243</f>
        <v>928667</v>
      </c>
      <c r="G182" s="1600">
        <f>'[6]ZENTRUM TOT 12'!G243</f>
        <v>180</v>
      </c>
      <c r="H182" s="1600">
        <f>'[6]ZENTRUM TOT 12'!H243</f>
        <v>12</v>
      </c>
      <c r="I182" s="1600">
        <f>'[6]ZENTRUM TOT 12'!I243</f>
        <v>166868.66000000003</v>
      </c>
      <c r="J182" s="1600">
        <f>'[6]ZENTRUM TOT 12'!J243</f>
        <v>261192.36000000002</v>
      </c>
      <c r="K182" s="1600">
        <f>'[6]ZENTRUM TOT 12'!K243</f>
        <v>667474.64</v>
      </c>
    </row>
    <row r="187" spans="1:11">
      <c r="A187" s="1611"/>
      <c r="B187" s="1611"/>
      <c r="C187" s="1612"/>
      <c r="D187" s="1611" t="str">
        <f>'[6]ZENTRUM TOT 12'!D246</f>
        <v>PAISJE TE TJERA</v>
      </c>
      <c r="E187" s="1611"/>
      <c r="F187" s="1611"/>
      <c r="G187" s="1611"/>
      <c r="H187" s="1611" t="str">
        <f>'[6]ZENTRUM TOT 12'!H246</f>
        <v>vl mbetur</v>
      </c>
      <c r="I187" s="1611"/>
      <c r="J187" s="1611">
        <f>'[6]ZENTRUM TOT 12'!J246</f>
        <v>2188</v>
      </c>
      <c r="K187" s="1611"/>
    </row>
    <row r="188" spans="1:11">
      <c r="A188" s="1611"/>
      <c r="B188" s="1611"/>
      <c r="C188" s="1612" t="str">
        <f>'[6]ZENTRUM TOT 12'!C247</f>
        <v>viti ushtr</v>
      </c>
      <c r="D188" s="1611" t="str">
        <f>'[6]ZENTRUM TOT 12'!D247</f>
        <v>vl fillestare</v>
      </c>
      <c r="E188" s="1611" t="str">
        <f>'[6]ZENTRUM TOT 12'!E247</f>
        <v>vl fill mbet</v>
      </c>
      <c r="F188" s="1611" t="str">
        <f>'[6]ZENTRUM TOT 12'!F247</f>
        <v>blerje</v>
      </c>
      <c r="G188" s="1611" t="str">
        <f>'[6]ZENTRUM TOT 12'!G247</f>
        <v>% amort</v>
      </c>
      <c r="H188" s="1611" t="str">
        <f>'[6]ZENTRUM TOT 12'!H247</f>
        <v>koha e perd</v>
      </c>
      <c r="I188" s="1611" t="str">
        <f>'[6]ZENTRUM TOT 12'!I247</f>
        <v>amort ushtr</v>
      </c>
      <c r="J188" s="1611" t="str">
        <f>'[6]ZENTRUM TOT 12'!J247</f>
        <v>amort tot</v>
      </c>
      <c r="K188" s="1611" t="str">
        <f>'[6]ZENTRUM TOT 12'!K247</f>
        <v>vl mbetur</v>
      </c>
    </row>
    <row r="190" spans="1:11">
      <c r="A190" s="1597"/>
      <c r="B190" s="1598" t="s">
        <v>1726</v>
      </c>
      <c r="C190" s="1599">
        <v>2012</v>
      </c>
      <c r="D190" s="1600">
        <f>'[6]ZENTRUM TOT 12'!D256</f>
        <v>148399</v>
      </c>
      <c r="E190" s="1600">
        <f>'[6]ZENTRUM TOT 12'!E256</f>
        <v>142329.93333333335</v>
      </c>
      <c r="F190" s="1600">
        <f>'[6]ZENTRUM TOT 12'!F256</f>
        <v>148399</v>
      </c>
      <c r="G190" s="1600">
        <f>'[6]ZENTRUM TOT 12'!G256</f>
        <v>20</v>
      </c>
      <c r="H190" s="1600">
        <f>'[6]ZENTRUM TOT 12'!H256</f>
        <v>12</v>
      </c>
      <c r="I190" s="1600">
        <f>'[6]ZENTRUM TOT 12'!I256</f>
        <v>28465.986666666671</v>
      </c>
      <c r="J190" s="1600">
        <f>'[6]ZENTRUM TOT 12'!J256</f>
        <v>34535.053333333337</v>
      </c>
      <c r="K190" s="1600">
        <f>'[6]ZENTRUM TOT 12'!K256</f>
        <v>113863.94666666666</v>
      </c>
    </row>
    <row r="193" spans="1:11">
      <c r="A193" s="1613"/>
      <c r="B193" s="1613" t="s">
        <v>1729</v>
      </c>
      <c r="C193" s="1614"/>
      <c r="D193" s="1615">
        <f>D190+D182+D172+D162+D98+D42+D25</f>
        <v>16841361.68</v>
      </c>
      <c r="E193" s="1615">
        <f t="shared" ref="E193:K193" si="12">E190+E182+E172+E162+E98+E42+E25</f>
        <v>142329.93333333335</v>
      </c>
      <c r="F193" s="1615">
        <f t="shared" si="12"/>
        <v>16841361.68</v>
      </c>
      <c r="G193" s="1615">
        <f t="shared" si="12"/>
        <v>290</v>
      </c>
      <c r="H193" s="1615">
        <f t="shared" si="12"/>
        <v>72</v>
      </c>
      <c r="I193" s="1615">
        <f t="shared" si="12"/>
        <v>3456657.2557133678</v>
      </c>
      <c r="J193" s="1615">
        <f t="shared" si="12"/>
        <v>5609680.4458487844</v>
      </c>
      <c r="K193" s="1615">
        <f t="shared" si="12"/>
        <v>11231681.234151214</v>
      </c>
    </row>
    <row r="195" spans="1:11">
      <c r="A195" s="1616"/>
      <c r="B195" s="1616" t="s">
        <v>1728</v>
      </c>
      <c r="C195" s="1617"/>
      <c r="D195" s="1618">
        <f>D170+D160+D96+D77+D57+D40+D23</f>
        <v>15011413</v>
      </c>
      <c r="E195" s="1618">
        <f t="shared" ref="E195:K195" si="13">E170+E160+E96+E77+E57+E40+E23</f>
        <v>0</v>
      </c>
      <c r="F195" s="1618">
        <f t="shared" si="13"/>
        <v>15011413</v>
      </c>
      <c r="G195" s="1618">
        <f t="shared" si="13"/>
        <v>145</v>
      </c>
      <c r="H195" s="1618">
        <f t="shared" si="13"/>
        <v>100</v>
      </c>
      <c r="I195" s="1618">
        <f t="shared" si="13"/>
        <v>1979073.3374999999</v>
      </c>
      <c r="J195" s="1618">
        <f t="shared" si="13"/>
        <v>1979073.3374999999</v>
      </c>
      <c r="K195" s="1618">
        <f t="shared" si="13"/>
        <v>13032339.662500001</v>
      </c>
    </row>
    <row r="197" spans="1:11" ht="15.75" customHeight="1">
      <c r="A197" s="1616"/>
      <c r="B197" s="1616" t="s">
        <v>1730</v>
      </c>
      <c r="C197" s="1617"/>
      <c r="D197" s="1618">
        <f>D174+D164+D100+D77+D57+D44+D27+D182+D190</f>
        <v>31852774.68</v>
      </c>
      <c r="E197" s="1618">
        <f t="shared" ref="E197:K197" si="14">E174+E164+E100+E77+E57+E44+E27+E182+E190</f>
        <v>142329.93333333335</v>
      </c>
      <c r="F197" s="1618">
        <f t="shared" si="14"/>
        <v>31852774.68</v>
      </c>
      <c r="G197" s="1618">
        <f t="shared" si="14"/>
        <v>365</v>
      </c>
      <c r="H197" s="1618">
        <f t="shared" si="14"/>
        <v>108</v>
      </c>
      <c r="I197" s="1618">
        <f t="shared" si="14"/>
        <v>5435730.5932133682</v>
      </c>
      <c r="J197" s="1618">
        <f t="shared" si="14"/>
        <v>7588753.7833487857</v>
      </c>
      <c r="K197" s="1618">
        <f t="shared" si="14"/>
        <v>24264020.896651216</v>
      </c>
    </row>
    <row r="199" spans="1:11">
      <c r="D199" s="1604"/>
      <c r="E199" s="1604"/>
      <c r="F199" s="1604"/>
      <c r="G199" s="1604"/>
      <c r="H199" s="1604"/>
      <c r="I199" s="1604"/>
      <c r="J199" s="1604"/>
      <c r="K199" s="1604"/>
    </row>
    <row r="201" spans="1:11">
      <c r="D201" s="1604"/>
      <c r="E201" s="1604"/>
      <c r="F201" s="1604"/>
      <c r="G201" s="1604"/>
      <c r="H201" s="1604"/>
      <c r="I201" s="1604"/>
      <c r="J201" s="1604"/>
      <c r="K201" s="1604"/>
    </row>
  </sheetData>
  <pageMargins left="0.7" right="0.7" top="0.75" bottom="0.75" header="0.3" footer="0.3"/>
  <pageSetup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00"/>
  <sheetViews>
    <sheetView showGridLines="0" showOutlineSymbols="0" topLeftCell="A19" workbookViewId="0">
      <selection activeCell="L47" sqref="L47"/>
    </sheetView>
  </sheetViews>
  <sheetFormatPr defaultColWidth="6.85546875" defaultRowHeight="15"/>
  <cols>
    <col min="1" max="2" width="6" style="1026" customWidth="1"/>
    <col min="3" max="3" width="45" style="1026" customWidth="1"/>
    <col min="4" max="4" width="18.140625" style="1026" customWidth="1"/>
    <col min="5" max="5" width="15" style="1026" customWidth="1"/>
    <col min="6" max="6" width="13.7109375" style="1026" customWidth="1"/>
    <col min="7" max="7" width="6" style="1026" customWidth="1"/>
    <col min="8" max="8" width="6.85546875" style="1026" customWidth="1"/>
    <col min="9" max="16384" width="6.85546875" style="1026"/>
  </cols>
  <sheetData>
    <row r="1" spans="1:7" ht="15" customHeight="1"/>
    <row r="2" spans="1:7" ht="15" customHeight="1"/>
    <row r="3" spans="1:7" ht="15" customHeight="1"/>
    <row r="4" spans="1:7" ht="15" customHeight="1"/>
    <row r="5" spans="1:7" ht="15" customHeight="1"/>
    <row r="6" spans="1:7" ht="20.25" customHeight="1"/>
    <row r="7" spans="1:7" ht="11.45" customHeight="1">
      <c r="A7" s="1027" t="s">
        <v>822</v>
      </c>
      <c r="C7" s="1027" t="s">
        <v>821</v>
      </c>
      <c r="D7" s="1028" t="s">
        <v>820</v>
      </c>
      <c r="F7" s="1028" t="s">
        <v>819</v>
      </c>
      <c r="G7" s="1028"/>
    </row>
    <row r="8" spans="1:7" ht="19.350000000000001" customHeight="1"/>
    <row r="9" spans="1:7" ht="23.25" customHeight="1">
      <c r="A9" s="1105" t="s">
        <v>818</v>
      </c>
      <c r="B9" s="1105"/>
    </row>
    <row r="10" spans="1:7" ht="14.25" customHeight="1">
      <c r="A10" s="1028" t="s">
        <v>815</v>
      </c>
      <c r="B10" s="1028"/>
      <c r="C10" s="1028" t="s">
        <v>199</v>
      </c>
      <c r="F10" s="1030">
        <v>29487625.153988</v>
      </c>
      <c r="G10" s="1030"/>
    </row>
    <row r="11" spans="1:7" ht="14.25" customHeight="1">
      <c r="A11" s="1028" t="s">
        <v>812</v>
      </c>
      <c r="B11" s="1028"/>
      <c r="C11" s="1028" t="s">
        <v>811</v>
      </c>
      <c r="F11" s="1030">
        <v>1519.36</v>
      </c>
      <c r="G11" s="1030"/>
    </row>
    <row r="12" spans="1:7" ht="12" customHeight="1">
      <c r="F12" s="1031">
        <f>SUM(F10:F11)</f>
        <v>29489144.513987999</v>
      </c>
      <c r="G12" s="1031"/>
    </row>
    <row r="13" spans="1:7" ht="18.2" customHeight="1"/>
    <row r="14" spans="1:7" ht="23.25" customHeight="1">
      <c r="A14" s="1105" t="s">
        <v>749</v>
      </c>
      <c r="B14" s="1105"/>
      <c r="C14" s="1105"/>
    </row>
    <row r="15" spans="1:7" ht="14.25" customHeight="1">
      <c r="A15" s="1028" t="s">
        <v>808</v>
      </c>
      <c r="B15" s="1028"/>
      <c r="C15" s="1028" t="s">
        <v>807</v>
      </c>
      <c r="D15" s="1036">
        <v>3543156.66</v>
      </c>
      <c r="E15" s="1171">
        <f>D15+D16+D17+D18+D19+D20+D21+D22+D23+D24+D25+D26+D27+D29+D30+D31+D32+D34+D36+D37+D38+D42+D45+D46+D47+D48+D49+D50+D33</f>
        <v>30603535.829999998</v>
      </c>
    </row>
    <row r="16" spans="1:7" ht="14.25" customHeight="1">
      <c r="A16" s="1028" t="s">
        <v>806</v>
      </c>
      <c r="B16" s="1028"/>
      <c r="C16" s="1028" t="s">
        <v>200</v>
      </c>
      <c r="D16" s="1036">
        <v>281556</v>
      </c>
    </row>
    <row r="17" spans="1:5" ht="14.25" customHeight="1">
      <c r="A17" s="1028" t="s">
        <v>201</v>
      </c>
      <c r="B17" s="1028"/>
      <c r="C17" s="1028" t="s">
        <v>796</v>
      </c>
      <c r="D17" s="1036">
        <v>56876.66</v>
      </c>
    </row>
    <row r="18" spans="1:5" ht="14.25" customHeight="1">
      <c r="A18" s="1028" t="s">
        <v>804</v>
      </c>
      <c r="B18" s="1028"/>
      <c r="C18" s="1028" t="s">
        <v>203</v>
      </c>
      <c r="D18" s="1036">
        <v>12268080</v>
      </c>
    </row>
    <row r="19" spans="1:5" ht="14.25" customHeight="1">
      <c r="A19" s="1028" t="s">
        <v>371</v>
      </c>
      <c r="B19" s="1028"/>
      <c r="C19" s="1028" t="s">
        <v>372</v>
      </c>
      <c r="D19" s="1036">
        <v>112034</v>
      </c>
    </row>
    <row r="20" spans="1:5" ht="14.25" customHeight="1">
      <c r="A20" s="1028" t="s">
        <v>373</v>
      </c>
      <c r="B20" s="1028"/>
      <c r="C20" s="1028" t="s">
        <v>374</v>
      </c>
      <c r="D20" s="1036">
        <v>1079554</v>
      </c>
    </row>
    <row r="21" spans="1:5" ht="14.25" customHeight="1">
      <c r="A21" s="1028" t="s">
        <v>205</v>
      </c>
      <c r="B21" s="1028"/>
      <c r="C21" s="1028" t="s">
        <v>206</v>
      </c>
      <c r="D21" s="1036">
        <v>799992</v>
      </c>
    </row>
    <row r="22" spans="1:5" ht="14.25" customHeight="1">
      <c r="A22" s="1028" t="s">
        <v>207</v>
      </c>
      <c r="B22" s="1028"/>
      <c r="C22" s="1028" t="s">
        <v>208</v>
      </c>
      <c r="D22" s="1036">
        <v>2605439</v>
      </c>
    </row>
    <row r="23" spans="1:5" ht="14.25" customHeight="1">
      <c r="A23" s="1028" t="s">
        <v>209</v>
      </c>
      <c r="B23" s="1028"/>
      <c r="C23" s="1028" t="s">
        <v>210</v>
      </c>
      <c r="D23" s="1036">
        <v>94440</v>
      </c>
    </row>
    <row r="24" spans="1:5" ht="14.25" customHeight="1">
      <c r="A24" s="1028" t="s">
        <v>801</v>
      </c>
      <c r="B24" s="1028"/>
      <c r="C24" s="1028" t="s">
        <v>799</v>
      </c>
      <c r="D24" s="1036">
        <v>204777.31999999998</v>
      </c>
    </row>
    <row r="25" spans="1:5" ht="14.25" customHeight="1">
      <c r="A25" s="1028" t="s">
        <v>800</v>
      </c>
      <c r="B25" s="1028"/>
      <c r="C25" s="1028" t="s">
        <v>211</v>
      </c>
      <c r="D25" s="1036">
        <v>62366</v>
      </c>
    </row>
    <row r="26" spans="1:5" ht="14.25" customHeight="1">
      <c r="A26" s="1028" t="s">
        <v>798</v>
      </c>
      <c r="B26" s="1028"/>
      <c r="C26" s="1028" t="s">
        <v>212</v>
      </c>
      <c r="D26" s="1036">
        <v>119306.83</v>
      </c>
    </row>
    <row r="27" spans="1:5" ht="14.25" customHeight="1">
      <c r="A27" s="1028" t="s">
        <v>213</v>
      </c>
      <c r="B27" s="1028"/>
      <c r="C27" s="1028" t="s">
        <v>214</v>
      </c>
      <c r="D27" s="1036">
        <v>3000</v>
      </c>
    </row>
    <row r="28" spans="1:5" ht="14.25" customHeight="1">
      <c r="A28" s="1028" t="s">
        <v>795</v>
      </c>
      <c r="B28" s="1028"/>
      <c r="C28" s="1028" t="s">
        <v>794</v>
      </c>
      <c r="D28" s="1033">
        <v>3575814</v>
      </c>
      <c r="E28" s="1172">
        <f>D28+D41</f>
        <v>5012289</v>
      </c>
    </row>
    <row r="29" spans="1:5" ht="14.25" customHeight="1">
      <c r="A29" s="1028" t="s">
        <v>375</v>
      </c>
      <c r="B29" s="1028"/>
      <c r="C29" s="1028" t="s">
        <v>376</v>
      </c>
      <c r="D29" s="1036">
        <v>5000</v>
      </c>
    </row>
    <row r="30" spans="1:5" ht="14.25" customHeight="1">
      <c r="A30" s="1028" t="s">
        <v>793</v>
      </c>
      <c r="B30" s="1028"/>
      <c r="C30" s="1028" t="s">
        <v>792</v>
      </c>
      <c r="D30" s="1036">
        <v>1873550</v>
      </c>
    </row>
    <row r="31" spans="1:5" ht="14.25" customHeight="1">
      <c r="A31" s="1028" t="s">
        <v>791</v>
      </c>
      <c r="B31" s="1028"/>
      <c r="C31" s="1028" t="s">
        <v>790</v>
      </c>
      <c r="D31" s="1036">
        <v>3431409.5200000009</v>
      </c>
    </row>
    <row r="32" spans="1:5" ht="14.25" customHeight="1">
      <c r="A32" s="1028" t="s">
        <v>377</v>
      </c>
      <c r="B32" s="1028"/>
      <c r="C32" s="1028" t="s">
        <v>378</v>
      </c>
      <c r="D32" s="1036">
        <v>2500</v>
      </c>
    </row>
    <row r="33" spans="1:5" ht="14.25" customHeight="1">
      <c r="A33" s="1028" t="s">
        <v>789</v>
      </c>
      <c r="B33" s="1028"/>
      <c r="C33" s="1028" t="s">
        <v>1528</v>
      </c>
      <c r="D33" s="1036">
        <v>162245.89000000001</v>
      </c>
      <c r="E33" s="1184"/>
    </row>
    <row r="34" spans="1:5" ht="14.25" customHeight="1">
      <c r="A34" s="1028" t="s">
        <v>215</v>
      </c>
      <c r="B34" s="1028"/>
      <c r="C34" s="1028" t="s">
        <v>379</v>
      </c>
      <c r="D34" s="1036">
        <v>3022.02</v>
      </c>
    </row>
    <row r="35" spans="1:5" ht="14.25" customHeight="1">
      <c r="A35" s="1028" t="s">
        <v>788</v>
      </c>
      <c r="B35" s="1028"/>
      <c r="C35" s="1028" t="s">
        <v>787</v>
      </c>
      <c r="D35" s="1109">
        <v>25120</v>
      </c>
      <c r="E35" s="1173">
        <f>D35</f>
        <v>25120</v>
      </c>
    </row>
    <row r="36" spans="1:5" ht="14.25" customHeight="1">
      <c r="A36" s="1028" t="s">
        <v>217</v>
      </c>
      <c r="B36" s="1028"/>
      <c r="C36" s="1028" t="s">
        <v>218</v>
      </c>
      <c r="D36" s="1036">
        <v>681670.15999999992</v>
      </c>
    </row>
    <row r="37" spans="1:5" ht="14.25" customHeight="1">
      <c r="A37" s="1028" t="s">
        <v>219</v>
      </c>
      <c r="B37" s="1028"/>
      <c r="C37" s="1028" t="s">
        <v>220</v>
      </c>
      <c r="D37" s="1036">
        <v>25225</v>
      </c>
    </row>
    <row r="38" spans="1:5" ht="14.25" customHeight="1">
      <c r="A38" s="1028" t="s">
        <v>380</v>
      </c>
      <c r="B38" s="1028"/>
      <c r="C38" s="1028" t="s">
        <v>381</v>
      </c>
      <c r="D38" s="1036">
        <v>398702</v>
      </c>
    </row>
    <row r="39" spans="1:5" ht="14.25" customHeight="1">
      <c r="A39" s="1028" t="s">
        <v>786</v>
      </c>
      <c r="B39" s="1028"/>
      <c r="C39" s="1028" t="s">
        <v>785</v>
      </c>
      <c r="D39" s="1111">
        <v>20290215</v>
      </c>
      <c r="E39" s="1174">
        <f>D39</f>
        <v>20290215</v>
      </c>
    </row>
    <row r="40" spans="1:5" ht="14.25" customHeight="1">
      <c r="A40" s="1028" t="s">
        <v>784</v>
      </c>
      <c r="B40" s="1028"/>
      <c r="C40" s="1028" t="s">
        <v>783</v>
      </c>
      <c r="D40" s="1039">
        <v>3374813</v>
      </c>
      <c r="E40" s="1175">
        <f>D40</f>
        <v>3374813</v>
      </c>
    </row>
    <row r="41" spans="1:5" ht="14.25" customHeight="1">
      <c r="A41" s="1028" t="s">
        <v>782</v>
      </c>
      <c r="B41" s="1028"/>
      <c r="C41" s="1028" t="s">
        <v>382</v>
      </c>
      <c r="D41" s="1033">
        <v>1436475</v>
      </c>
    </row>
    <row r="42" spans="1:5" ht="14.25" customHeight="1">
      <c r="A42" s="1028" t="s">
        <v>781</v>
      </c>
      <c r="B42" s="1028"/>
      <c r="C42" s="1028" t="s">
        <v>780</v>
      </c>
      <c r="D42" s="1036">
        <v>25666.66</v>
      </c>
    </row>
    <row r="43" spans="1:5" ht="14.25" customHeight="1">
      <c r="A43" s="1028" t="s">
        <v>383</v>
      </c>
      <c r="B43" s="1028"/>
      <c r="C43" s="1028" t="s">
        <v>384</v>
      </c>
      <c r="D43" s="1112">
        <v>14007</v>
      </c>
      <c r="E43" s="1176">
        <f>D43+D44</f>
        <v>2310780.79</v>
      </c>
    </row>
    <row r="44" spans="1:5" ht="14.25" customHeight="1">
      <c r="A44" s="1028" t="s">
        <v>779</v>
      </c>
      <c r="B44" s="1028"/>
      <c r="C44" s="1028" t="s">
        <v>224</v>
      </c>
      <c r="D44" s="1112">
        <v>2296773.79</v>
      </c>
    </row>
    <row r="45" spans="1:5" ht="14.25" customHeight="1">
      <c r="A45" s="1028" t="s">
        <v>385</v>
      </c>
      <c r="B45" s="1028"/>
      <c r="C45" s="1028" t="s">
        <v>386</v>
      </c>
      <c r="D45" s="1036">
        <v>20531.260000000002</v>
      </c>
    </row>
    <row r="46" spans="1:5" ht="14.25" customHeight="1">
      <c r="A46" s="1028" t="s">
        <v>778</v>
      </c>
      <c r="B46" s="1028"/>
      <c r="C46" s="1028" t="s">
        <v>225</v>
      </c>
      <c r="D46" s="1036">
        <v>1195883.1400000001</v>
      </c>
    </row>
    <row r="47" spans="1:5" ht="14.25" customHeight="1">
      <c r="A47" s="1028" t="s">
        <v>777</v>
      </c>
      <c r="B47" s="1028"/>
      <c r="C47" s="1028" t="s">
        <v>797</v>
      </c>
      <c r="D47" s="1036">
        <v>1318817.4299999995</v>
      </c>
    </row>
    <row r="48" spans="1:5" ht="14.25" customHeight="1">
      <c r="A48" s="1028" t="s">
        <v>776</v>
      </c>
      <c r="B48" s="1028"/>
      <c r="C48" s="1028" t="s">
        <v>226</v>
      </c>
      <c r="D48" s="1036">
        <v>47833.33</v>
      </c>
    </row>
    <row r="49" spans="1:7" ht="14.25" customHeight="1">
      <c r="A49" s="1028" t="s">
        <v>775</v>
      </c>
      <c r="B49" s="1028"/>
      <c r="C49" s="1028" t="s">
        <v>227</v>
      </c>
      <c r="D49" s="1036">
        <v>37274.99</v>
      </c>
    </row>
    <row r="50" spans="1:7" ht="14.25" customHeight="1">
      <c r="A50" s="1028" t="s">
        <v>773</v>
      </c>
      <c r="B50" s="1028"/>
      <c r="C50" s="1028" t="s">
        <v>229</v>
      </c>
      <c r="D50" s="1036">
        <v>143625.96000000002</v>
      </c>
    </row>
    <row r="51" spans="1:7" ht="14.25" customHeight="1">
      <c r="A51" s="1028" t="s">
        <v>387</v>
      </c>
      <c r="B51" s="1028"/>
      <c r="C51" s="1028" t="s">
        <v>388</v>
      </c>
      <c r="D51" s="1034">
        <v>1799697.06</v>
      </c>
      <c r="E51" s="1177">
        <f>D51</f>
        <v>1799697.06</v>
      </c>
    </row>
    <row r="52" spans="1:7" ht="12" customHeight="1">
      <c r="A52" s="1028" t="s">
        <v>772</v>
      </c>
      <c r="B52" s="1028"/>
      <c r="C52" s="1028" t="s">
        <v>771</v>
      </c>
      <c r="D52" s="1178">
        <v>180926.6</v>
      </c>
      <c r="E52" s="1179">
        <f>D52</f>
        <v>180926.6</v>
      </c>
    </row>
    <row r="53" spans="1:7" ht="14.25" customHeight="1">
      <c r="A53" s="1028" t="s">
        <v>770</v>
      </c>
      <c r="B53" s="1028"/>
      <c r="C53" s="1028" t="s">
        <v>769</v>
      </c>
      <c r="D53" s="1114">
        <v>5632852</v>
      </c>
      <c r="E53" s="1180">
        <f>D53</f>
        <v>5632852</v>
      </c>
    </row>
    <row r="54" spans="1:7" ht="16.5" customHeight="1">
      <c r="A54" s="1028" t="s">
        <v>768</v>
      </c>
      <c r="B54" s="1028"/>
      <c r="C54" s="1028" t="s">
        <v>767</v>
      </c>
      <c r="D54" s="1038">
        <v>2084568</v>
      </c>
      <c r="E54" s="1181">
        <f>D54</f>
        <v>2084568</v>
      </c>
    </row>
    <row r="55" spans="1:7" ht="12" customHeight="1">
      <c r="D55" s="1031">
        <f>SUM(D15:D54)</f>
        <v>71314797.280000001</v>
      </c>
      <c r="E55" s="1031">
        <f>SUM(E15:E54)</f>
        <v>71314797.280000001</v>
      </c>
      <c r="F55" s="1032">
        <f>D55-E55</f>
        <v>0</v>
      </c>
    </row>
    <row r="56" spans="1:7" ht="12" customHeight="1"/>
    <row r="57" spans="1:7" ht="12" customHeight="1">
      <c r="A57" s="1106" t="s">
        <v>766</v>
      </c>
      <c r="B57" s="1106"/>
      <c r="E57" s="1031">
        <f>F12-D55</f>
        <v>-41825652.766011998</v>
      </c>
      <c r="F57" s="1031"/>
      <c r="G57" s="1031"/>
    </row>
    <row r="58" spans="1:7" ht="15" customHeight="1">
      <c r="E58" s="1032">
        <f>'AP 13'!I12</f>
        <v>-41825652.766011998</v>
      </c>
    </row>
    <row r="59" spans="1:7" ht="15" customHeight="1">
      <c r="E59" s="1032">
        <f>E57-E58</f>
        <v>0</v>
      </c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2" customHeight="1"/>
  </sheetData>
  <phoneticPr fontId="124" type="noConversion"/>
  <pageMargins left="0.25" right="0" top="0.25" bottom="0.4074999988079071" header="0" footer="0"/>
  <pageSetup paperSize="9" firstPageNumber="0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05"/>
  <sheetViews>
    <sheetView showGridLines="0" showOutlineSymbols="0" workbookViewId="0">
      <selection activeCell="J29" sqref="J29"/>
    </sheetView>
  </sheetViews>
  <sheetFormatPr defaultColWidth="6.85546875" defaultRowHeight="15"/>
  <cols>
    <col min="1" max="3" width="6" style="1026" customWidth="1"/>
    <col min="4" max="4" width="36.7109375" style="1026" customWidth="1"/>
    <col min="5" max="5" width="17.28515625" style="1026" customWidth="1"/>
    <col min="6" max="6" width="13.42578125" style="1026" customWidth="1"/>
    <col min="7" max="7" width="17.7109375" style="1026" customWidth="1"/>
    <col min="8" max="8" width="17.140625" style="1026" customWidth="1"/>
    <col min="9" max="9" width="17.28515625" style="1026" customWidth="1"/>
    <col min="10" max="10" width="13.140625" style="1026" customWidth="1"/>
    <col min="11" max="11" width="10.140625" style="1026" bestFit="1" customWidth="1"/>
    <col min="12" max="16384" width="6.85546875" style="1026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/>
    <row r="6" spans="1:10" ht="20.25" customHeight="1"/>
    <row r="7" spans="1:10" ht="12" customHeight="1">
      <c r="A7" s="1027" t="s">
        <v>822</v>
      </c>
      <c r="D7" s="1027" t="s">
        <v>821</v>
      </c>
      <c r="E7" s="1028" t="s">
        <v>823</v>
      </c>
      <c r="F7" s="1028"/>
      <c r="G7" s="1028"/>
      <c r="H7" s="1028" t="s">
        <v>824</v>
      </c>
      <c r="I7" s="1028"/>
      <c r="J7" s="1026" t="s">
        <v>401</v>
      </c>
    </row>
    <row r="8" spans="1:10" ht="9.9499999999999993" customHeight="1"/>
    <row r="9" spans="1:10" ht="22.5" customHeight="1">
      <c r="A9" s="1029" t="s">
        <v>825</v>
      </c>
    </row>
    <row r="10" spans="1:10" ht="13.5" customHeight="1">
      <c r="A10" s="1028" t="s">
        <v>826</v>
      </c>
      <c r="B10" s="1028"/>
      <c r="C10" s="1028"/>
      <c r="D10" s="1028" t="s">
        <v>827</v>
      </c>
      <c r="H10" s="1030">
        <v>100000</v>
      </c>
      <c r="I10" s="1030">
        <f t="shared" ref="I10:I16" si="0">H10</f>
        <v>100000</v>
      </c>
    </row>
    <row r="11" spans="1:10" ht="13.5" customHeight="1">
      <c r="A11" s="1027">
        <v>1078</v>
      </c>
      <c r="B11" s="1028"/>
      <c r="C11" s="1028"/>
      <c r="D11" s="1028" t="s">
        <v>1365</v>
      </c>
      <c r="H11" s="1030">
        <v>-31356284.5</v>
      </c>
      <c r="I11" s="1030">
        <f t="shared" si="0"/>
        <v>-31356284.5</v>
      </c>
    </row>
    <row r="12" spans="1:10" ht="13.5" customHeight="1">
      <c r="A12" s="1028" t="s">
        <v>830</v>
      </c>
      <c r="B12" s="1028"/>
      <c r="C12" s="1028"/>
      <c r="D12" s="1028" t="s">
        <v>831</v>
      </c>
      <c r="H12" s="1030">
        <f>'PASH 13'!E57</f>
        <v>-41825652.766011998</v>
      </c>
      <c r="I12" s="1030">
        <f t="shared" si="0"/>
        <v>-41825652.766011998</v>
      </c>
    </row>
    <row r="13" spans="1:10" ht="13.5" customHeight="1">
      <c r="A13" s="1028" t="s">
        <v>832</v>
      </c>
      <c r="B13" s="1028"/>
      <c r="C13" s="1028"/>
      <c r="D13" s="1028" t="s">
        <v>833</v>
      </c>
      <c r="H13" s="1030">
        <v>16622799.459999995</v>
      </c>
      <c r="I13" s="1030">
        <f t="shared" si="0"/>
        <v>16622799.459999995</v>
      </c>
    </row>
    <row r="14" spans="1:10" ht="13.5" customHeight="1">
      <c r="A14" s="1028" t="s">
        <v>834</v>
      </c>
      <c r="B14" s="1028"/>
      <c r="C14" s="1028"/>
      <c r="D14" s="1028" t="s">
        <v>835</v>
      </c>
      <c r="H14" s="1030">
        <v>867102</v>
      </c>
      <c r="I14" s="1030">
        <f t="shared" si="0"/>
        <v>867102</v>
      </c>
    </row>
    <row r="15" spans="1:10" ht="13.5" customHeight="1">
      <c r="A15" s="1028" t="s">
        <v>836</v>
      </c>
      <c r="B15" s="1028"/>
      <c r="C15" s="1028"/>
      <c r="D15" s="1028" t="s">
        <v>837</v>
      </c>
      <c r="H15" s="1030">
        <v>2000</v>
      </c>
      <c r="I15" s="1030">
        <f t="shared" si="0"/>
        <v>2000</v>
      </c>
    </row>
    <row r="16" spans="1:10" ht="13.5" customHeight="1">
      <c r="A16" s="1028" t="s">
        <v>838</v>
      </c>
      <c r="B16" s="1028"/>
      <c r="C16" s="1028"/>
      <c r="D16" s="1028" t="s">
        <v>839</v>
      </c>
      <c r="H16" s="1030">
        <v>276855.24</v>
      </c>
      <c r="I16" s="1030">
        <f t="shared" si="0"/>
        <v>276855.24</v>
      </c>
    </row>
    <row r="17" spans="1:10" ht="13.5" customHeight="1">
      <c r="A17" s="1028" t="s">
        <v>345</v>
      </c>
      <c r="B17" s="1028"/>
      <c r="C17" s="1028"/>
      <c r="D17" s="1028" t="s">
        <v>346</v>
      </c>
      <c r="H17" s="1554">
        <v>108073.06</v>
      </c>
      <c r="I17" s="1030"/>
    </row>
    <row r="18" spans="1:10" ht="13.5" customHeight="1">
      <c r="A18" s="1028" t="s">
        <v>840</v>
      </c>
      <c r="B18" s="1028"/>
      <c r="C18" s="1028"/>
      <c r="D18" s="1028" t="s">
        <v>240</v>
      </c>
      <c r="H18" s="1554">
        <v>1907598.07</v>
      </c>
      <c r="I18" s="1554">
        <f>H18+H19+H17</f>
        <v>51163004.120000005</v>
      </c>
    </row>
    <row r="19" spans="1:10" ht="13.5" customHeight="1">
      <c r="A19" s="1028" t="s">
        <v>842</v>
      </c>
      <c r="B19" s="1028"/>
      <c r="C19" s="1028"/>
      <c r="D19" s="1028" t="s">
        <v>256</v>
      </c>
      <c r="H19" s="1554">
        <v>49147332.990000002</v>
      </c>
      <c r="I19" s="1030"/>
    </row>
    <row r="20" spans="1:10" ht="13.5" customHeight="1">
      <c r="A20" s="1028" t="s">
        <v>865</v>
      </c>
      <c r="B20" s="1028"/>
      <c r="C20" s="1028"/>
      <c r="D20" s="1028" t="s">
        <v>347</v>
      </c>
      <c r="H20" s="1555">
        <v>13122320.84</v>
      </c>
      <c r="I20" s="1555">
        <f>H20+H21</f>
        <v>45486750.579999998</v>
      </c>
    </row>
    <row r="21" spans="1:10" ht="14.25" customHeight="1">
      <c r="A21" s="1028" t="s">
        <v>867</v>
      </c>
      <c r="B21" s="1028"/>
      <c r="C21" s="1028"/>
      <c r="D21" s="1028" t="s">
        <v>255</v>
      </c>
      <c r="H21" s="1555">
        <v>32364429.739999998</v>
      </c>
      <c r="I21" s="1030"/>
    </row>
    <row r="22" spans="1:10" ht="12" customHeight="1">
      <c r="D22" s="1026" t="s">
        <v>389</v>
      </c>
      <c r="H22" s="1031">
        <f>SUM(H10:H21)</f>
        <v>41336574.133988</v>
      </c>
      <c r="I22" s="1031">
        <f>SUM(I10:I21)</f>
        <v>41336574.133988</v>
      </c>
      <c r="J22" s="1032">
        <f>H22-I22</f>
        <v>0</v>
      </c>
    </row>
    <row r="23" spans="1:10" ht="15.75" customHeight="1"/>
    <row r="24" spans="1:10" ht="22.5" customHeight="1">
      <c r="A24" s="1029" t="s">
        <v>843</v>
      </c>
    </row>
    <row r="25" spans="1:10" ht="13.5" customHeight="1">
      <c r="A25" s="1028" t="s">
        <v>254</v>
      </c>
      <c r="B25" s="1028"/>
      <c r="C25" s="1028"/>
      <c r="D25" s="1028" t="s">
        <v>253</v>
      </c>
      <c r="E25" s="1041">
        <v>1378358</v>
      </c>
      <c r="F25" s="1041">
        <f>E25</f>
        <v>1378358</v>
      </c>
      <c r="G25" s="1030">
        <f>F25+F35</f>
        <v>1117017</v>
      </c>
    </row>
    <row r="26" spans="1:10" ht="13.5" customHeight="1">
      <c r="A26" s="1028" t="s">
        <v>844</v>
      </c>
      <c r="B26" s="1028"/>
      <c r="C26" s="1028"/>
      <c r="D26" s="1028" t="s">
        <v>845</v>
      </c>
      <c r="E26" s="1109">
        <v>3379742.69</v>
      </c>
      <c r="F26" s="1109">
        <f>E26+E27+E28+E29+E33+E34</f>
        <v>5946742.1899999995</v>
      </c>
      <c r="G26" s="1030"/>
    </row>
    <row r="27" spans="1:10" ht="13.5" customHeight="1">
      <c r="A27" s="1028" t="s">
        <v>846</v>
      </c>
      <c r="B27" s="1028"/>
      <c r="C27" s="1028"/>
      <c r="D27" s="1028" t="s">
        <v>847</v>
      </c>
      <c r="E27" s="1109">
        <v>928666.66</v>
      </c>
      <c r="F27" s="1030"/>
      <c r="G27" s="1030"/>
    </row>
    <row r="28" spans="1:10" ht="13.5" customHeight="1">
      <c r="A28" s="1028" t="s">
        <v>348</v>
      </c>
      <c r="B28" s="1028"/>
      <c r="C28" s="1028"/>
      <c r="D28" s="1028" t="s">
        <v>349</v>
      </c>
      <c r="E28" s="1109">
        <v>1000121.66</v>
      </c>
      <c r="F28" s="1030"/>
      <c r="G28" s="1030"/>
    </row>
    <row r="29" spans="1:10" ht="13.5" customHeight="1">
      <c r="A29" s="1028" t="s">
        <v>848</v>
      </c>
      <c r="B29" s="1028"/>
      <c r="C29" s="1028"/>
      <c r="D29" s="1028" t="s">
        <v>849</v>
      </c>
      <c r="E29" s="1109">
        <v>431091.66</v>
      </c>
      <c r="F29" s="1030"/>
      <c r="G29" s="1030"/>
      <c r="J29" s="1032"/>
    </row>
    <row r="30" spans="1:10" ht="13.5" customHeight="1">
      <c r="A30" s="1028" t="s">
        <v>350</v>
      </c>
      <c r="B30" s="1028"/>
      <c r="C30" s="1028"/>
      <c r="D30" s="1028" t="s">
        <v>850</v>
      </c>
      <c r="E30" s="1033">
        <v>9752500</v>
      </c>
      <c r="F30" s="1033">
        <f>E30+E31</f>
        <v>12335553.33</v>
      </c>
      <c r="G30" s="1030"/>
    </row>
    <row r="31" spans="1:10" ht="13.5" customHeight="1">
      <c r="A31" s="1028" t="s">
        <v>851</v>
      </c>
      <c r="B31" s="1028"/>
      <c r="C31" s="1028"/>
      <c r="D31" s="1028" t="s">
        <v>852</v>
      </c>
      <c r="E31" s="1033">
        <v>2583053.33</v>
      </c>
      <c r="F31" s="1110"/>
      <c r="G31" s="1030"/>
    </row>
    <row r="32" spans="1:10" ht="13.5" customHeight="1">
      <c r="A32" s="1028" t="s">
        <v>853</v>
      </c>
      <c r="B32" s="1028"/>
      <c r="C32" s="1028"/>
      <c r="D32" s="1028" t="s">
        <v>854</v>
      </c>
      <c r="E32" s="1035">
        <v>13570476.660000002</v>
      </c>
      <c r="F32" s="1035">
        <f>E32</f>
        <v>13570476.660000002</v>
      </c>
      <c r="G32" s="1030"/>
    </row>
    <row r="33" spans="1:7" ht="13.5" customHeight="1">
      <c r="A33" s="1028" t="s">
        <v>252</v>
      </c>
      <c r="B33" s="1028"/>
      <c r="C33" s="1028"/>
      <c r="D33" s="1028" t="s">
        <v>803</v>
      </c>
      <c r="E33" s="1109">
        <v>148399.51999999999</v>
      </c>
      <c r="F33" s="1030"/>
      <c r="G33" s="1030"/>
    </row>
    <row r="34" spans="1:7" ht="13.5" customHeight="1">
      <c r="A34" s="1028" t="s">
        <v>251</v>
      </c>
      <c r="B34" s="1028"/>
      <c r="C34" s="1028"/>
      <c r="D34" s="1028" t="s">
        <v>250</v>
      </c>
      <c r="E34" s="1109">
        <v>58720</v>
      </c>
      <c r="F34" s="1030"/>
      <c r="G34" s="1030"/>
    </row>
    <row r="35" spans="1:7" ht="13.5" customHeight="1">
      <c r="A35" s="1028" t="s">
        <v>249</v>
      </c>
      <c r="B35" s="1028"/>
      <c r="C35" s="1028"/>
      <c r="D35" s="1028" t="s">
        <v>248</v>
      </c>
      <c r="E35" s="1041">
        <v>-261341</v>
      </c>
      <c r="F35" s="1041">
        <f>E35</f>
        <v>-261341</v>
      </c>
      <c r="G35" s="1030"/>
    </row>
    <row r="36" spans="1:7" ht="13.5" customHeight="1">
      <c r="A36" s="1028" t="s">
        <v>855</v>
      </c>
      <c r="B36" s="1028"/>
      <c r="C36" s="1028"/>
      <c r="D36" s="1028" t="s">
        <v>353</v>
      </c>
      <c r="E36" s="1033">
        <v>-729695</v>
      </c>
      <c r="F36" s="1033">
        <f>E36+E40</f>
        <v>-2030028</v>
      </c>
      <c r="G36" s="1030"/>
    </row>
    <row r="37" spans="1:7" ht="13.5" customHeight="1">
      <c r="A37" s="1028" t="s">
        <v>856</v>
      </c>
      <c r="B37" s="1028"/>
      <c r="C37" s="1028"/>
      <c r="D37" s="1028" t="s">
        <v>354</v>
      </c>
      <c r="E37" s="1035">
        <v>-4548228</v>
      </c>
      <c r="F37" s="1035">
        <f>E37</f>
        <v>-4548228</v>
      </c>
      <c r="G37" s="1030"/>
    </row>
    <row r="38" spans="1:7" ht="13.5" customHeight="1">
      <c r="A38" s="1028" t="s">
        <v>857</v>
      </c>
      <c r="B38" s="1028"/>
      <c r="C38" s="1028"/>
      <c r="D38" s="1028" t="s">
        <v>261</v>
      </c>
      <c r="E38" s="1109">
        <v>-94327</v>
      </c>
      <c r="F38" s="1030"/>
      <c r="G38" s="1030"/>
    </row>
    <row r="39" spans="1:7" ht="13.5" customHeight="1">
      <c r="A39" s="1028" t="s">
        <v>858</v>
      </c>
      <c r="B39" s="1028"/>
      <c r="C39" s="1028"/>
      <c r="D39" s="1028" t="s">
        <v>355</v>
      </c>
      <c r="E39" s="1109">
        <v>-166869</v>
      </c>
      <c r="F39" s="1109">
        <f>E38+E39+E41+E42+E43+E44</f>
        <v>-1010502</v>
      </c>
      <c r="G39" s="1030"/>
    </row>
    <row r="40" spans="1:7" ht="13.5" customHeight="1">
      <c r="A40" s="1028" t="s">
        <v>356</v>
      </c>
      <c r="B40" s="1028"/>
      <c r="C40" s="1028"/>
      <c r="D40" s="1028" t="s">
        <v>357</v>
      </c>
      <c r="E40" s="1033">
        <v>-1300333</v>
      </c>
      <c r="F40" s="1030"/>
      <c r="G40" s="1030"/>
    </row>
    <row r="41" spans="1:7" ht="13.5" customHeight="1">
      <c r="A41" s="1028" t="s">
        <v>859</v>
      </c>
      <c r="B41" s="1028"/>
      <c r="C41" s="1028"/>
      <c r="D41" s="1028" t="s">
        <v>358</v>
      </c>
      <c r="E41" s="1109">
        <v>-460407</v>
      </c>
      <c r="F41" s="1030"/>
      <c r="G41" s="1030"/>
    </row>
    <row r="42" spans="1:7" ht="13.5" customHeight="1">
      <c r="A42" s="1028" t="s">
        <v>860</v>
      </c>
      <c r="B42" s="1028"/>
      <c r="C42" s="1028"/>
      <c r="D42" s="1028" t="s">
        <v>359</v>
      </c>
      <c r="E42" s="1109">
        <v>-91543</v>
      </c>
      <c r="F42" s="1030"/>
      <c r="G42" s="1030"/>
    </row>
    <row r="43" spans="1:7" ht="13.5" customHeight="1">
      <c r="A43" s="1028" t="s">
        <v>264</v>
      </c>
      <c r="B43" s="1028"/>
      <c r="C43" s="1028"/>
      <c r="D43" s="1028" t="s">
        <v>360</v>
      </c>
      <c r="E43" s="1109">
        <v>-34535</v>
      </c>
      <c r="F43" s="1030"/>
      <c r="G43" s="1030"/>
    </row>
    <row r="44" spans="1:7" ht="13.5" customHeight="1">
      <c r="A44" s="1028" t="s">
        <v>361</v>
      </c>
      <c r="B44" s="1028"/>
      <c r="C44" s="1028"/>
      <c r="D44" s="1028" t="s">
        <v>362</v>
      </c>
      <c r="E44" s="1109">
        <v>-162821</v>
      </c>
      <c r="F44" s="1030"/>
      <c r="G44" s="1030"/>
    </row>
    <row r="45" spans="1:7" ht="13.5" customHeight="1">
      <c r="A45" s="1028" t="s">
        <v>351</v>
      </c>
      <c r="B45" s="1028"/>
      <c r="C45" s="1028"/>
      <c r="D45" s="1028" t="s">
        <v>352</v>
      </c>
      <c r="E45" s="1034">
        <v>100000</v>
      </c>
      <c r="F45" s="1034">
        <f>E45</f>
        <v>100000</v>
      </c>
      <c r="G45" s="1030"/>
    </row>
    <row r="46" spans="1:7" ht="13.5" customHeight="1">
      <c r="A46" s="1028" t="s">
        <v>861</v>
      </c>
      <c r="B46" s="1028"/>
      <c r="C46" s="1028"/>
      <c r="D46" s="1028" t="s">
        <v>862</v>
      </c>
      <c r="E46" s="1108">
        <v>7738712.001600001</v>
      </c>
      <c r="F46" s="1108">
        <f>E46</f>
        <v>7738712.001600001</v>
      </c>
      <c r="G46" s="1030"/>
    </row>
    <row r="47" spans="1:7" ht="13.5" customHeight="1">
      <c r="A47" s="1028">
        <v>44401</v>
      </c>
      <c r="B47" s="1028"/>
      <c r="C47" s="1028"/>
      <c r="D47" s="1020" t="s">
        <v>1714</v>
      </c>
      <c r="E47" s="1555">
        <v>84266.67</v>
      </c>
      <c r="F47" s="1110"/>
      <c r="G47" s="1030"/>
    </row>
    <row r="48" spans="1:7" ht="13.5" customHeight="1">
      <c r="A48" s="1028" t="s">
        <v>863</v>
      </c>
      <c r="B48" s="1028"/>
      <c r="C48" s="1028"/>
      <c r="D48" s="1028" t="s">
        <v>1205</v>
      </c>
      <c r="E48" s="1555">
        <v>34284</v>
      </c>
      <c r="F48" s="1555">
        <f>E48+E49+E47</f>
        <v>319871.6700000001</v>
      </c>
      <c r="G48" s="1030"/>
    </row>
    <row r="49" spans="1:11" ht="13.5" customHeight="1">
      <c r="A49" s="1028" t="s">
        <v>363</v>
      </c>
      <c r="B49" s="1028"/>
      <c r="C49" s="1028"/>
      <c r="D49" s="1028" t="s">
        <v>364</v>
      </c>
      <c r="E49" s="1555">
        <v>201321.00000000009</v>
      </c>
      <c r="F49" s="1110"/>
      <c r="G49" s="1030"/>
    </row>
    <row r="50" spans="1:11" ht="13.5" customHeight="1">
      <c r="A50" s="1028" t="s">
        <v>841</v>
      </c>
      <c r="B50" s="1028"/>
      <c r="C50" s="1028"/>
      <c r="D50" s="1028" t="s">
        <v>239</v>
      </c>
      <c r="E50" s="1035">
        <v>2044750.3</v>
      </c>
      <c r="F50" s="1035">
        <f>E50+E51</f>
        <v>3167578.3</v>
      </c>
      <c r="G50" s="1030"/>
    </row>
    <row r="51" spans="1:11" ht="13.5" customHeight="1">
      <c r="A51" s="1028" t="s">
        <v>365</v>
      </c>
      <c r="B51" s="1028"/>
      <c r="C51" s="1028"/>
      <c r="D51" s="1028" t="s">
        <v>366</v>
      </c>
      <c r="E51" s="1035">
        <v>1122828</v>
      </c>
      <c r="F51" s="1030"/>
      <c r="G51" s="1030"/>
    </row>
    <row r="52" spans="1:11" ht="13.5" customHeight="1">
      <c r="A52" s="1028" t="s">
        <v>864</v>
      </c>
      <c r="B52" s="1028"/>
      <c r="C52" s="1028"/>
      <c r="D52" s="1028" t="s">
        <v>238</v>
      </c>
      <c r="E52" s="1112">
        <v>544178.18999999994</v>
      </c>
      <c r="F52" s="1112">
        <f>E52</f>
        <v>544178.18999999994</v>
      </c>
      <c r="G52" s="1030"/>
    </row>
    <row r="53" spans="1:11" ht="13.5" customHeight="1">
      <c r="A53" s="1028" t="s">
        <v>237</v>
      </c>
      <c r="B53" s="1028"/>
      <c r="C53" s="1028"/>
      <c r="D53" s="1028" t="s">
        <v>236</v>
      </c>
      <c r="E53" s="1114">
        <v>3289448.42</v>
      </c>
      <c r="F53" s="1114">
        <f>E53</f>
        <v>3289448.42</v>
      </c>
      <c r="G53" s="1030"/>
    </row>
    <row r="54" spans="1:11" ht="13.5" customHeight="1">
      <c r="A54" s="1028" t="s">
        <v>866</v>
      </c>
      <c r="B54" s="1028"/>
      <c r="C54" s="1028"/>
      <c r="D54" s="1028" t="s">
        <v>234</v>
      </c>
      <c r="E54" s="1113">
        <v>29990.750000000378</v>
      </c>
      <c r="F54" s="1113">
        <f>E54+E55+E56+E57</f>
        <v>484307.12000000046</v>
      </c>
      <c r="G54" s="1030"/>
    </row>
    <row r="55" spans="1:11" ht="13.5" customHeight="1">
      <c r="A55" s="1028" t="s">
        <v>367</v>
      </c>
      <c r="B55" s="1028"/>
      <c r="C55" s="1028"/>
      <c r="D55" s="1028" t="s">
        <v>368</v>
      </c>
      <c r="E55" s="1113">
        <v>100548.34000000008</v>
      </c>
      <c r="F55" s="1030"/>
      <c r="G55" s="1030"/>
    </row>
    <row r="56" spans="1:11" ht="12" customHeight="1">
      <c r="A56" s="1028" t="s">
        <v>369</v>
      </c>
      <c r="B56" s="1028"/>
      <c r="C56" s="1028"/>
      <c r="D56" s="1028" t="s">
        <v>370</v>
      </c>
      <c r="E56" s="1113">
        <v>164614.39999999999</v>
      </c>
      <c r="F56" s="1030"/>
      <c r="G56" s="1030"/>
    </row>
    <row r="57" spans="1:11" ht="13.5" customHeight="1">
      <c r="A57" s="1028" t="s">
        <v>868</v>
      </c>
      <c r="B57" s="1028"/>
      <c r="C57" s="1028"/>
      <c r="D57" s="1028" t="s">
        <v>233</v>
      </c>
      <c r="E57" s="1113">
        <v>189153.63</v>
      </c>
      <c r="F57" s="1030"/>
      <c r="G57" s="1030"/>
    </row>
    <row r="58" spans="1:11" ht="13.5" customHeight="1">
      <c r="A58" s="1028" t="s">
        <v>869</v>
      </c>
      <c r="B58" s="1028"/>
      <c r="C58" s="1028"/>
      <c r="D58" s="1028" t="s">
        <v>232</v>
      </c>
      <c r="E58" s="1039">
        <v>22444.570000000298</v>
      </c>
      <c r="F58" s="1039">
        <f>E58+E59</f>
        <v>311447.25000000029</v>
      </c>
      <c r="G58" s="1030"/>
    </row>
    <row r="59" spans="1:11" ht="14.25" customHeight="1">
      <c r="A59" s="1028" t="s">
        <v>231</v>
      </c>
      <c r="B59" s="1028"/>
      <c r="C59" s="1028"/>
      <c r="D59" s="1028" t="s">
        <v>230</v>
      </c>
      <c r="E59" s="1039">
        <v>289002.68</v>
      </c>
      <c r="F59" s="1030"/>
      <c r="G59" s="1030"/>
    </row>
    <row r="60" spans="1:11" ht="12" customHeight="1">
      <c r="D60" s="1026" t="s">
        <v>389</v>
      </c>
      <c r="E60" s="1031">
        <f>SUM(E25:E59)</f>
        <v>41336574.131600007</v>
      </c>
      <c r="F60" s="1031">
        <f>SUM(F25:F59)</f>
        <v>41336574.1316</v>
      </c>
      <c r="G60" s="1031">
        <f>F60-I22</f>
        <v>-2.38800048828125E-3</v>
      </c>
      <c r="J60" s="1032">
        <f>E60-F60</f>
        <v>0</v>
      </c>
      <c r="K60" s="1026">
        <f>B_Sheet13!H53</f>
        <v>41336574.1316</v>
      </c>
    </row>
    <row r="61" spans="1:11" ht="15" customHeight="1">
      <c r="K61" s="1032"/>
    </row>
    <row r="62" spans="1:11" ht="15" customHeight="1"/>
    <row r="63" spans="1:11" ht="15" customHeight="1"/>
    <row r="64" spans="1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3.2" customHeight="1"/>
  </sheetData>
  <phoneticPr fontId="124" type="noConversion"/>
  <pageMargins left="0.25" right="0" top="0.25" bottom="0.4074999988079071" header="0" footer="0"/>
  <pageSetup paperSize="9" firstPageNumber="0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6">
    <tabColor rgb="FF92D050"/>
  </sheetPr>
  <dimension ref="A1:IV37"/>
  <sheetViews>
    <sheetView showGridLines="0" defaultGridColor="0" view="pageBreakPreview" colorId="18" zoomScale="75" zoomScaleNormal="85" workbookViewId="0">
      <selection activeCell="G24" sqref="G24"/>
    </sheetView>
  </sheetViews>
  <sheetFormatPr defaultColWidth="9" defaultRowHeight="12.75"/>
  <cols>
    <col min="1" max="1" width="6" style="73" customWidth="1"/>
    <col min="2" max="2" width="4.42578125" style="73" customWidth="1"/>
    <col min="3" max="3" width="41.85546875" style="73" customWidth="1"/>
    <col min="4" max="4" width="19" style="73" customWidth="1"/>
    <col min="5" max="5" width="16.28515625" style="73" customWidth="1"/>
    <col min="6" max="7" width="5.5703125" style="114" customWidth="1"/>
    <col min="8" max="8" width="4.7109375" style="73" customWidth="1"/>
    <col min="9" max="16384" width="9" style="73"/>
  </cols>
  <sheetData>
    <row r="1" spans="1:256">
      <c r="A1" s="1087" t="s">
        <v>315</v>
      </c>
      <c r="B1" s="101"/>
      <c r="C1" s="101"/>
      <c r="D1" s="101"/>
      <c r="E1" s="101"/>
      <c r="F1" s="273"/>
      <c r="G1" s="273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>
      <c r="A2" s="1088" t="s">
        <v>321</v>
      </c>
      <c r="B2" s="102"/>
      <c r="C2" s="102"/>
      <c r="D2" s="102"/>
      <c r="E2" s="102"/>
      <c r="F2" s="274"/>
      <c r="G2" s="27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spans="1:256" s="74" customFormat="1">
      <c r="A3" s="482" t="s">
        <v>322</v>
      </c>
      <c r="B3" s="271"/>
      <c r="C3" s="271"/>
      <c r="D3" s="271"/>
      <c r="E3" s="271"/>
      <c r="F3" s="275"/>
      <c r="G3" s="275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  <c r="IN3" s="271"/>
      <c r="IO3" s="271"/>
      <c r="IP3" s="271"/>
      <c r="IQ3" s="271"/>
      <c r="IR3" s="271"/>
      <c r="IS3" s="271"/>
      <c r="IT3" s="271"/>
      <c r="IU3" s="271"/>
      <c r="IV3" s="271"/>
    </row>
    <row r="4" spans="1:256" s="74" customFormat="1">
      <c r="F4" s="75"/>
      <c r="G4" s="75"/>
    </row>
    <row r="6" spans="1:256">
      <c r="C6" s="1771" t="s">
        <v>1276</v>
      </c>
      <c r="D6" s="1771"/>
      <c r="E6" s="1771"/>
      <c r="F6" s="276"/>
      <c r="G6" s="276"/>
    </row>
    <row r="7" spans="1:256">
      <c r="C7" s="104"/>
      <c r="D7" s="104"/>
      <c r="E7" s="104"/>
      <c r="F7" s="277"/>
      <c r="G7" s="277"/>
    </row>
    <row r="8" spans="1:256" ht="24.95" customHeight="1" thickBot="1">
      <c r="C8" s="105" t="s">
        <v>1277</v>
      </c>
      <c r="D8" s="106" t="s">
        <v>1278</v>
      </c>
      <c r="E8" s="106" t="s">
        <v>1279</v>
      </c>
      <c r="F8" s="278"/>
      <c r="G8" s="278"/>
    </row>
    <row r="9" spans="1:256" ht="24.95" customHeight="1">
      <c r="C9" s="107" t="s">
        <v>1280</v>
      </c>
      <c r="D9" s="108">
        <f>'Analitike 13'!D6</f>
        <v>29489144.513987999</v>
      </c>
      <c r="E9" s="109">
        <f>+D9</f>
        <v>29489144.513987999</v>
      </c>
      <c r="F9" s="279"/>
      <c r="G9" s="279"/>
    </row>
    <row r="10" spans="1:256" ht="24.95" customHeight="1">
      <c r="C10" s="107" t="s">
        <v>1281</v>
      </c>
      <c r="D10" s="110">
        <f>'Analitike 13'!D7</f>
        <v>71314797.280000001</v>
      </c>
      <c r="E10" s="111">
        <f>+D10</f>
        <v>71314797.280000001</v>
      </c>
      <c r="F10" s="279"/>
      <c r="G10" s="279"/>
    </row>
    <row r="11" spans="1:256" ht="24.95" customHeight="1" thickBot="1">
      <c r="C11" s="107" t="s">
        <v>1282</v>
      </c>
      <c r="D11" s="112"/>
      <c r="E11" s="113">
        <f>'P&amp;L13'!F21</f>
        <v>2310780.79</v>
      </c>
      <c r="F11" s="279"/>
      <c r="G11" s="279"/>
    </row>
    <row r="12" spans="1:256" s="114" customFormat="1" ht="24.95" customHeight="1">
      <c r="C12" s="115"/>
      <c r="D12" s="116"/>
      <c r="E12" s="116"/>
      <c r="F12" s="272"/>
      <c r="G12" s="272"/>
    </row>
    <row r="13" spans="1:256" ht="24.95" customHeight="1">
      <c r="C13" s="117" t="s">
        <v>1216</v>
      </c>
      <c r="D13" s="118"/>
      <c r="E13" s="118"/>
      <c r="F13" s="280"/>
      <c r="G13" s="280"/>
    </row>
    <row r="14" spans="1:256" ht="24.95" customHeight="1" thickBot="1">
      <c r="C14" s="119"/>
      <c r="D14" s="120"/>
      <c r="E14" s="120"/>
      <c r="F14" s="280"/>
      <c r="G14" s="280"/>
    </row>
    <row r="15" spans="1:256" ht="24.95" customHeight="1">
      <c r="C15" s="107" t="s">
        <v>1283</v>
      </c>
      <c r="D15" s="108">
        <f>IF(D10&gt;D9,D10-D9,0)</f>
        <v>41825652.766011998</v>
      </c>
      <c r="E15" s="109">
        <f>IF(E10&gt;E9,(E10-E9)-E11,0)</f>
        <v>39514871.976011999</v>
      </c>
      <c r="F15" s="279"/>
      <c r="G15" s="279"/>
      <c r="I15" s="121"/>
    </row>
    <row r="16" spans="1:256" ht="24.95" customHeight="1" thickBot="1">
      <c r="C16" s="107" t="s">
        <v>1284</v>
      </c>
      <c r="D16" s="122">
        <f>IF(D9&gt;D10,D9-D10,0)</f>
        <v>0</v>
      </c>
      <c r="E16" s="123">
        <f>IF(E9&gt;E10,E9-E10,0)+E11</f>
        <v>2310780.79</v>
      </c>
      <c r="F16" s="279"/>
      <c r="G16" s="279"/>
    </row>
    <row r="17" spans="3:7" ht="24.95" customHeight="1">
      <c r="C17" s="105" t="s">
        <v>1285</v>
      </c>
      <c r="D17" s="124"/>
      <c r="E17" s="125">
        <f>B_Sheet13!S99</f>
        <v>-31356284.5</v>
      </c>
      <c r="F17" s="279"/>
      <c r="G17" s="279"/>
    </row>
    <row r="18" spans="3:7" ht="24.95" customHeight="1" thickBot="1">
      <c r="C18" s="105" t="s">
        <v>1286</v>
      </c>
      <c r="D18" s="126"/>
      <c r="E18" s="127"/>
      <c r="F18" s="279"/>
      <c r="G18" s="279"/>
    </row>
    <row r="19" spans="3:7" ht="24.95" customHeight="1" thickBot="1">
      <c r="C19" s="1771" t="s">
        <v>1287</v>
      </c>
      <c r="D19" s="1771"/>
      <c r="E19" s="1832"/>
      <c r="F19" s="281"/>
      <c r="G19" s="281"/>
    </row>
    <row r="20" spans="3:7" ht="24.95" customHeight="1">
      <c r="C20" s="105" t="s">
        <v>72</v>
      </c>
      <c r="D20" s="128"/>
      <c r="E20" s="129">
        <f>E18*10%</f>
        <v>0</v>
      </c>
      <c r="F20" s="282"/>
      <c r="G20" s="282"/>
    </row>
    <row r="21" spans="3:7" ht="24.95" customHeight="1">
      <c r="C21" s="105" t="s">
        <v>1288</v>
      </c>
      <c r="D21" s="128"/>
      <c r="E21" s="130"/>
      <c r="F21" s="283"/>
      <c r="G21" s="283"/>
    </row>
    <row r="22" spans="3:7" ht="24.95" customHeight="1" thickBot="1">
      <c r="C22" s="105" t="s">
        <v>1289</v>
      </c>
      <c r="D22" s="131"/>
      <c r="E22" s="132">
        <f>E20+E21</f>
        <v>0</v>
      </c>
      <c r="F22" s="282"/>
      <c r="G22" s="282"/>
    </row>
    <row r="23" spans="3:7" ht="24.95" customHeight="1" thickBot="1">
      <c r="C23" s="107" t="s">
        <v>1290</v>
      </c>
      <c r="D23" s="133"/>
      <c r="E23" s="134"/>
      <c r="F23" s="284"/>
      <c r="G23" s="284"/>
    </row>
    <row r="24" spans="3:7" ht="24.95" customHeight="1">
      <c r="C24" s="107" t="s">
        <v>137</v>
      </c>
      <c r="D24" s="135">
        <f>'AP 13'!E48</f>
        <v>34284</v>
      </c>
      <c r="E24" s="136"/>
      <c r="F24" s="284"/>
      <c r="G24" s="284"/>
    </row>
    <row r="25" spans="3:7" ht="24.95" customHeight="1" thickBot="1">
      <c r="C25" s="107" t="s">
        <v>1291</v>
      </c>
      <c r="D25" s="137">
        <f>D24-E22</f>
        <v>34284</v>
      </c>
      <c r="E25" s="138"/>
      <c r="F25" s="284"/>
      <c r="G25" s="284"/>
    </row>
    <row r="26" spans="3:7" ht="24.95" customHeight="1">
      <c r="C26" s="105" t="s">
        <v>1292</v>
      </c>
      <c r="D26" s="139"/>
      <c r="E26" s="467">
        <v>0</v>
      </c>
      <c r="F26" s="285"/>
      <c r="G26" s="285"/>
    </row>
    <row r="27" spans="3:7" ht="24.95" customHeight="1">
      <c r="C27" s="105" t="s">
        <v>1293</v>
      </c>
      <c r="D27" s="128"/>
      <c r="E27" s="140">
        <v>0</v>
      </c>
      <c r="F27" s="285"/>
      <c r="G27" s="285"/>
    </row>
    <row r="28" spans="3:7" ht="24.95" customHeight="1" thickBot="1">
      <c r="C28" s="105" t="s">
        <v>1294</v>
      </c>
      <c r="D28" s="128"/>
      <c r="E28" s="468">
        <f>SUM(E26:E27)</f>
        <v>0</v>
      </c>
      <c r="F28" s="285"/>
      <c r="G28" s="285"/>
    </row>
    <row r="35" spans="2:3">
      <c r="B35" s="141"/>
      <c r="C35" s="73" t="s">
        <v>1295</v>
      </c>
    </row>
    <row r="36" spans="2:3">
      <c r="B36" s="142"/>
      <c r="C36" s="73" t="s">
        <v>1296</v>
      </c>
    </row>
    <row r="37" spans="2:3">
      <c r="B37" s="143"/>
      <c r="C37" s="73" t="s">
        <v>1297</v>
      </c>
    </row>
  </sheetData>
  <mergeCells count="2">
    <mergeCell ref="C6:E6"/>
    <mergeCell ref="C19:E19"/>
  </mergeCells>
  <phoneticPr fontId="58" type="noConversion"/>
  <pageMargins left="0.75" right="0.75" top="0.89" bottom="1" header="0.5" footer="0.5"/>
  <pageSetup scale="83" orientation="portrait" horizontalDpi="4294967295" r:id="rId1"/>
  <headerFooter alignWithMargins="0">
    <oddHeader>&amp;R&amp;P</oddHeader>
    <oddFooter>&amp;L&amp;D&amp;C&amp;F  &amp;A&amp;R&amp;T</oddFooter>
  </headerFooter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B2:F16"/>
  <sheetViews>
    <sheetView showGridLines="0" workbookViewId="0">
      <selection activeCell="J30" sqref="J30"/>
    </sheetView>
  </sheetViews>
  <sheetFormatPr defaultRowHeight="15"/>
  <cols>
    <col min="1" max="1" width="9.140625" style="880"/>
    <col min="2" max="2" width="7.140625" style="880" customWidth="1"/>
    <col min="3" max="3" width="16.28515625" style="880" customWidth="1"/>
    <col min="4" max="4" width="19" style="880" customWidth="1"/>
    <col min="5" max="5" width="17.42578125" style="880" customWidth="1"/>
    <col min="6" max="6" width="21.5703125" style="880" customWidth="1"/>
    <col min="7" max="16384" width="9.140625" style="880"/>
  </cols>
  <sheetData>
    <row r="2" spans="2:6" ht="15.75">
      <c r="B2" s="858"/>
    </row>
    <row r="3" spans="2:6" s="858" customFormat="1" ht="15.75">
      <c r="B3" s="856" t="s">
        <v>301</v>
      </c>
    </row>
    <row r="4" spans="2:6" s="858" customFormat="1" ht="15.75"/>
    <row r="5" spans="2:6" s="858" customFormat="1" ht="15.75"/>
    <row r="6" spans="2:6" s="858" customFormat="1" ht="15.75">
      <c r="B6" s="895" t="s">
        <v>302</v>
      </c>
    </row>
    <row r="8" spans="2:6" s="856" customFormat="1" ht="15.75">
      <c r="B8" s="893" t="s">
        <v>932</v>
      </c>
      <c r="C8" s="893" t="s">
        <v>933</v>
      </c>
      <c r="D8" s="893" t="s">
        <v>934</v>
      </c>
      <c r="E8" s="893" t="s">
        <v>935</v>
      </c>
      <c r="F8" s="893" t="s">
        <v>936</v>
      </c>
    </row>
    <row r="9" spans="2:6">
      <c r="B9" s="896">
        <v>1</v>
      </c>
      <c r="C9" s="888"/>
      <c r="D9" s="887"/>
      <c r="E9" s="887"/>
      <c r="F9" s="889"/>
    </row>
    <row r="10" spans="2:6">
      <c r="B10" s="887">
        <v>2</v>
      </c>
      <c r="C10" s="888"/>
      <c r="D10" s="887"/>
      <c r="E10" s="887"/>
      <c r="F10" s="889"/>
    </row>
    <row r="11" spans="2:6">
      <c r="B11" s="887">
        <v>3</v>
      </c>
      <c r="C11" s="888"/>
      <c r="D11" s="887"/>
      <c r="E11" s="897"/>
      <c r="F11" s="889"/>
    </row>
    <row r="12" spans="2:6">
      <c r="B12" s="887">
        <v>4</v>
      </c>
      <c r="C12" s="888"/>
      <c r="D12" s="887"/>
      <c r="E12" s="887"/>
      <c r="F12" s="889"/>
    </row>
    <row r="13" spans="2:6">
      <c r="B13" s="887">
        <v>5</v>
      </c>
      <c r="C13" s="888"/>
      <c r="D13" s="887"/>
      <c r="E13" s="887"/>
      <c r="F13" s="889"/>
    </row>
    <row r="14" spans="2:6" s="858" customFormat="1" ht="15.75">
      <c r="B14" s="898"/>
      <c r="C14" s="899" t="s">
        <v>914</v>
      </c>
      <c r="D14" s="898"/>
      <c r="E14" s="898"/>
      <c r="F14" s="900">
        <f>SUM(F9:F13)</f>
        <v>0</v>
      </c>
    </row>
    <row r="16" spans="2:6">
      <c r="F16" s="901"/>
    </row>
  </sheetData>
  <phoneticPr fontId="11" type="noConversion"/>
  <pageMargins left="0.37" right="0.27" top="0.75" bottom="0.75" header="0.3" footer="0.3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rgb="FFFF0000"/>
  </sheetPr>
  <dimension ref="A1:S47"/>
  <sheetViews>
    <sheetView showGridLines="0" defaultGridColor="0" topLeftCell="A19" colorId="12" zoomScale="85" workbookViewId="0">
      <selection activeCell="B20" sqref="B20:L46"/>
    </sheetView>
  </sheetViews>
  <sheetFormatPr defaultRowHeight="12.75"/>
  <cols>
    <col min="1" max="1" width="3.7109375" style="222" customWidth="1"/>
    <col min="2" max="2" width="4.140625" style="222" customWidth="1"/>
    <col min="3" max="3" width="56.140625" style="222" bestFit="1" customWidth="1"/>
    <col min="4" max="4" width="2.5703125" style="62" customWidth="1"/>
    <col min="5" max="11" width="17.5703125" style="222" customWidth="1"/>
    <col min="12" max="13" width="3" style="251" customWidth="1"/>
    <col min="14" max="14" width="10.85546875" style="222" bestFit="1" customWidth="1"/>
    <col min="15" max="15" width="5.5703125" style="222" bestFit="1" customWidth="1"/>
    <col min="16" max="16" width="2.5703125" style="222" customWidth="1"/>
    <col min="17" max="17" width="14" style="222" customWidth="1"/>
    <col min="18" max="18" width="1" style="251" customWidth="1"/>
    <col min="19" max="19" width="14" style="222" customWidth="1"/>
    <col min="20" max="20" width="2.5703125" style="222" customWidth="1"/>
    <col min="21" max="21" width="13.42578125" style="222" bestFit="1" customWidth="1"/>
    <col min="22" max="22" width="2.5703125" style="222" customWidth="1"/>
    <col min="23" max="23" width="12.42578125" style="222" bestFit="1" customWidth="1"/>
    <col min="24" max="24" width="1.42578125" style="222" customWidth="1"/>
    <col min="25" max="26" width="16.28515625" style="222" customWidth="1"/>
    <col min="27" max="27" width="1" style="222" customWidth="1"/>
    <col min="28" max="28" width="25.85546875" style="222" bestFit="1" customWidth="1"/>
    <col min="29" max="29" width="10.7109375" style="222" bestFit="1" customWidth="1"/>
    <col min="30" max="30" width="1.7109375" style="222" customWidth="1"/>
    <col min="31" max="31" width="9.140625" style="222"/>
    <col min="32" max="32" width="1.140625" style="222" customWidth="1"/>
    <col min="33" max="33" width="9.140625" style="222"/>
    <col min="34" max="34" width="1.140625" style="222" customWidth="1"/>
    <col min="35" max="35" width="9.140625" style="222"/>
    <col min="36" max="36" width="1.5703125" style="222" customWidth="1"/>
    <col min="37" max="37" width="9.140625" style="222"/>
    <col min="38" max="38" width="1.42578125" style="222" customWidth="1"/>
    <col min="39" max="16384" width="9.140625" style="222"/>
  </cols>
  <sheetData>
    <row r="1" spans="1:18">
      <c r="A1" s="221"/>
      <c r="R1" s="222"/>
    </row>
    <row r="2" spans="1:18">
      <c r="A2" s="221"/>
      <c r="R2" s="222"/>
    </row>
    <row r="3" spans="1:18">
      <c r="A3" s="221"/>
      <c r="B3" s="223"/>
      <c r="C3" s="223"/>
      <c r="D3" s="224"/>
      <c r="E3" s="223"/>
      <c r="F3" s="223"/>
      <c r="G3" s="223"/>
      <c r="H3" s="223"/>
      <c r="I3" s="223"/>
      <c r="J3" s="223"/>
      <c r="R3" s="222"/>
    </row>
    <row r="4" spans="1:18" s="230" customFormat="1" ht="15" customHeight="1">
      <c r="A4" s="225"/>
      <c r="B4" s="226"/>
      <c r="C4" s="1836"/>
      <c r="D4" s="227"/>
      <c r="E4" s="228" t="s">
        <v>1232</v>
      </c>
      <c r="F4" s="1837" t="s">
        <v>1233</v>
      </c>
      <c r="G4" s="1839" t="s">
        <v>1234</v>
      </c>
      <c r="H4" s="1839" t="s">
        <v>1235</v>
      </c>
      <c r="I4" s="229" t="s">
        <v>1236</v>
      </c>
      <c r="J4" s="1837" t="s">
        <v>1237</v>
      </c>
      <c r="L4" s="430"/>
      <c r="M4" s="430"/>
    </row>
    <row r="5" spans="1:18" s="230" customFormat="1">
      <c r="A5" s="225"/>
      <c r="B5" s="226"/>
      <c r="C5" s="1836"/>
      <c r="D5" s="227"/>
      <c r="E5" s="231" t="s">
        <v>1238</v>
      </c>
      <c r="F5" s="1838"/>
      <c r="G5" s="1838"/>
      <c r="H5" s="1838"/>
      <c r="I5" s="231" t="s">
        <v>1239</v>
      </c>
      <c r="J5" s="1838"/>
      <c r="L5" s="430"/>
      <c r="M5" s="430"/>
    </row>
    <row r="6" spans="1:18" ht="8.25" customHeight="1">
      <c r="A6" s="221"/>
      <c r="B6" s="223"/>
      <c r="C6" s="232"/>
      <c r="D6" s="227"/>
      <c r="E6" s="233"/>
      <c r="F6" s="234"/>
      <c r="G6" s="234"/>
      <c r="H6" s="234"/>
      <c r="I6" s="233"/>
      <c r="J6" s="234"/>
      <c r="R6" s="222"/>
    </row>
    <row r="7" spans="1:18">
      <c r="A7" s="235"/>
      <c r="B7" s="223"/>
      <c r="C7" s="236" t="s">
        <v>1313</v>
      </c>
      <c r="D7" s="237"/>
      <c r="E7" s="238">
        <v>3720000000</v>
      </c>
      <c r="F7" s="238"/>
      <c r="G7" s="238"/>
      <c r="H7" s="238">
        <f>+[2]B_Sheet10!T16</f>
        <v>20567604</v>
      </c>
      <c r="I7" s="238">
        <v>0</v>
      </c>
      <c r="J7" s="238">
        <f>SUM(E7:I7)</f>
        <v>3740567604</v>
      </c>
      <c r="R7" s="222"/>
    </row>
    <row r="8" spans="1:18" ht="4.5" customHeight="1">
      <c r="A8" s="239"/>
      <c r="B8" s="223"/>
      <c r="C8" s="240"/>
      <c r="D8" s="241"/>
      <c r="E8" s="242"/>
      <c r="F8" s="243"/>
      <c r="G8" s="243"/>
      <c r="H8" s="243"/>
      <c r="I8" s="242"/>
      <c r="J8" s="244"/>
      <c r="R8" s="222"/>
    </row>
    <row r="9" spans="1:18">
      <c r="A9" s="239"/>
      <c r="B9" s="223"/>
      <c r="C9" s="240" t="s">
        <v>1240</v>
      </c>
      <c r="D9" s="241"/>
      <c r="E9" s="242"/>
      <c r="F9" s="243"/>
      <c r="G9" s="243"/>
      <c r="H9" s="243"/>
      <c r="I9" s="242"/>
      <c r="J9" s="244">
        <f>SUM(E9:I9)</f>
        <v>0</v>
      </c>
      <c r="R9" s="222"/>
    </row>
    <row r="10" spans="1:18">
      <c r="A10" s="239"/>
      <c r="B10" s="223"/>
      <c r="C10" s="240" t="s">
        <v>1241</v>
      </c>
      <c r="D10" s="241"/>
      <c r="E10" s="242"/>
      <c r="F10" s="243"/>
      <c r="G10" s="243">
        <f>-H10</f>
        <v>20567604</v>
      </c>
      <c r="H10" s="243">
        <f>-H7</f>
        <v>-20567604</v>
      </c>
      <c r="I10" s="242"/>
      <c r="J10" s="244">
        <f>SUM(E10:I10)</f>
        <v>0</v>
      </c>
      <c r="R10" s="222"/>
    </row>
    <row r="11" spans="1:18">
      <c r="A11" s="239"/>
      <c r="B11" s="223"/>
      <c r="C11" s="240" t="s">
        <v>1242</v>
      </c>
      <c r="D11" s="241"/>
      <c r="E11" s="242"/>
      <c r="F11" s="245"/>
      <c r="G11" s="243"/>
      <c r="H11" s="246">
        <f>+[2]B_Sheet10!R16</f>
        <v>22531868.150000036</v>
      </c>
      <c r="I11" s="242"/>
      <c r="J11" s="244">
        <f>SUM(E11:I11)</f>
        <v>22531868.150000036</v>
      </c>
      <c r="R11" s="222"/>
    </row>
    <row r="12" spans="1:18">
      <c r="A12" s="239"/>
      <c r="B12" s="223"/>
      <c r="C12" s="240" t="s">
        <v>1233</v>
      </c>
      <c r="D12" s="241"/>
      <c r="E12" s="242"/>
      <c r="F12" s="245"/>
      <c r="G12" s="243"/>
      <c r="H12" s="243"/>
      <c r="I12" s="242"/>
      <c r="J12" s="244">
        <f>SUM(E12:I12)</f>
        <v>0</v>
      </c>
      <c r="R12" s="222"/>
    </row>
    <row r="13" spans="1:18">
      <c r="A13" s="235"/>
      <c r="B13" s="223"/>
      <c r="C13" s="240" t="s">
        <v>1243</v>
      </c>
      <c r="D13" s="241"/>
      <c r="E13" s="247"/>
      <c r="F13" s="248"/>
      <c r="G13" s="248"/>
      <c r="H13" s="248"/>
      <c r="I13" s="249"/>
      <c r="J13" s="244">
        <f>SUM(E13:I13)</f>
        <v>0</v>
      </c>
      <c r="R13" s="222"/>
    </row>
    <row r="14" spans="1:18" ht="21" customHeight="1" thickBot="1">
      <c r="A14" s="239"/>
      <c r="B14" s="223"/>
      <c r="C14" s="236" t="s">
        <v>1314</v>
      </c>
      <c r="D14" s="237"/>
      <c r="E14" s="250">
        <f t="shared" ref="E14:J14" si="0">SUM(E7:E13)</f>
        <v>3720000000</v>
      </c>
      <c r="F14" s="250">
        <f t="shared" si="0"/>
        <v>0</v>
      </c>
      <c r="G14" s="250">
        <f t="shared" si="0"/>
        <v>20567604</v>
      </c>
      <c r="H14" s="250">
        <f t="shared" si="0"/>
        <v>22531868.150000036</v>
      </c>
      <c r="I14" s="250">
        <f t="shared" si="0"/>
        <v>0</v>
      </c>
      <c r="J14" s="250">
        <f t="shared" si="0"/>
        <v>3763099472.1500001</v>
      </c>
      <c r="R14" s="222"/>
    </row>
    <row r="15" spans="1:18" ht="8.25" customHeight="1" thickTop="1">
      <c r="A15" s="239"/>
      <c r="B15" s="223"/>
      <c r="C15" s="223"/>
      <c r="D15" s="224"/>
      <c r="E15" s="223"/>
      <c r="F15" s="223"/>
      <c r="G15" s="223"/>
      <c r="H15" s="223"/>
      <c r="I15" s="223"/>
      <c r="J15" s="223"/>
      <c r="R15" s="222"/>
    </row>
    <row r="16" spans="1:18">
      <c r="A16" s="239"/>
      <c r="R16" s="222"/>
    </row>
    <row r="17" spans="2:19">
      <c r="R17" s="222"/>
      <c r="S17" s="251"/>
    </row>
    <row r="18" spans="2:19">
      <c r="R18" s="222"/>
      <c r="S18" s="251"/>
    </row>
    <row r="19" spans="2:19">
      <c r="E19" s="67"/>
      <c r="F19" s="67"/>
      <c r="G19" s="252"/>
      <c r="H19" s="67"/>
      <c r="I19" s="67"/>
      <c r="J19" s="67"/>
      <c r="K19" s="67"/>
      <c r="L19" s="67"/>
      <c r="M19" s="67"/>
      <c r="N19" s="67"/>
      <c r="R19" s="222"/>
      <c r="S19" s="251"/>
    </row>
    <row r="20" spans="2:19" s="62" customFormat="1">
      <c r="E20" s="67"/>
      <c r="F20" s="67"/>
      <c r="G20" s="253"/>
      <c r="H20" s="67"/>
      <c r="I20" s="67"/>
      <c r="J20" s="67"/>
      <c r="K20" s="67"/>
      <c r="L20" s="67"/>
      <c r="M20" s="67"/>
      <c r="N20" s="67"/>
      <c r="S20" s="67"/>
    </row>
    <row r="21" spans="2:19" s="62" customFormat="1" ht="16.5" customHeight="1">
      <c r="E21" s="1840" t="s">
        <v>1547</v>
      </c>
      <c r="F21" s="1840"/>
      <c r="G21" s="1840"/>
      <c r="H21" s="1840"/>
      <c r="I21" s="1840"/>
      <c r="J21" s="1840"/>
      <c r="K21" s="1840"/>
      <c r="L21" s="431"/>
      <c r="M21" s="431"/>
      <c r="N21" s="67"/>
      <c r="R21" s="67"/>
    </row>
    <row r="22" spans="2:19" s="62" customFormat="1">
      <c r="C22" s="1833"/>
      <c r="E22" s="62" t="s">
        <v>1232</v>
      </c>
      <c r="F22" s="62" t="s">
        <v>1549</v>
      </c>
      <c r="G22" s="62" t="s">
        <v>1563</v>
      </c>
      <c r="H22" s="62" t="s">
        <v>1233</v>
      </c>
      <c r="I22" s="62" t="s">
        <v>1555</v>
      </c>
      <c r="J22" s="62" t="s">
        <v>1559</v>
      </c>
      <c r="K22" s="1834" t="s">
        <v>1319</v>
      </c>
      <c r="L22" s="432"/>
      <c r="M22" s="432"/>
      <c r="N22" s="62" t="s">
        <v>1560</v>
      </c>
      <c r="O22" s="1834" t="s">
        <v>1319</v>
      </c>
      <c r="R22" s="67"/>
    </row>
    <row r="23" spans="2:19" s="62" customFormat="1">
      <c r="C23" s="1833"/>
      <c r="E23" s="62" t="s">
        <v>1548</v>
      </c>
      <c r="F23" s="62" t="s">
        <v>1550</v>
      </c>
      <c r="G23" s="62" t="s">
        <v>1551</v>
      </c>
      <c r="H23" s="62" t="s">
        <v>1552</v>
      </c>
      <c r="I23" s="62" t="s">
        <v>1556</v>
      </c>
      <c r="J23" s="62" t="s">
        <v>1580</v>
      </c>
      <c r="K23" s="1834"/>
      <c r="L23" s="432"/>
      <c r="M23" s="432"/>
      <c r="N23" s="62" t="s">
        <v>1561</v>
      </c>
      <c r="O23" s="1834"/>
      <c r="R23" s="67"/>
    </row>
    <row r="24" spans="2:19" s="62" customFormat="1">
      <c r="C24" s="1833"/>
      <c r="H24" s="62" t="s">
        <v>1553</v>
      </c>
      <c r="I24" s="62" t="s">
        <v>1557</v>
      </c>
      <c r="K24" s="1834"/>
      <c r="L24" s="432"/>
      <c r="M24" s="432"/>
      <c r="N24" s="62" t="s">
        <v>1562</v>
      </c>
      <c r="O24" s="1834"/>
      <c r="R24" s="67"/>
    </row>
    <row r="25" spans="2:19" s="62" customFormat="1">
      <c r="C25" s="1833"/>
      <c r="E25" s="63"/>
      <c r="F25" s="63"/>
      <c r="G25" s="63"/>
      <c r="H25" s="63" t="s">
        <v>1554</v>
      </c>
      <c r="I25" s="63" t="s">
        <v>1558</v>
      </c>
      <c r="J25" s="63"/>
      <c r="K25" s="1835"/>
      <c r="L25" s="432"/>
      <c r="M25" s="432"/>
      <c r="O25" s="1834"/>
      <c r="R25" s="67"/>
    </row>
    <row r="26" spans="2:19" s="62" customFormat="1">
      <c r="K26" s="64"/>
      <c r="L26" s="433"/>
      <c r="M26" s="433"/>
      <c r="O26" s="64"/>
      <c r="R26" s="67"/>
    </row>
    <row r="27" spans="2:19" s="62" customFormat="1">
      <c r="C27" s="65" t="s">
        <v>1567</v>
      </c>
      <c r="E27" s="66" t="e">
        <f>+#REF!</f>
        <v>#REF!</v>
      </c>
      <c r="F27" s="66" t="e">
        <f>+#REF!</f>
        <v>#REF!</v>
      </c>
      <c r="G27" s="66" t="e">
        <f>+#REF!</f>
        <v>#REF!</v>
      </c>
      <c r="H27" s="66" t="e">
        <f>+#REF!</f>
        <v>#REF!</v>
      </c>
      <c r="I27" s="66" t="e">
        <f>+#REF!</f>
        <v>#REF!</v>
      </c>
      <c r="J27" s="66" t="e">
        <f>+#REF!</f>
        <v>#REF!</v>
      </c>
      <c r="K27" s="66" t="e">
        <f>SUM(E27:J27)</f>
        <v>#REF!</v>
      </c>
      <c r="L27" s="252"/>
      <c r="M27" s="252"/>
      <c r="O27" s="64"/>
      <c r="R27" s="67"/>
    </row>
    <row r="28" spans="2:19" s="62" customFormat="1">
      <c r="C28" s="62" t="s">
        <v>1564</v>
      </c>
      <c r="E28" s="224" t="e">
        <f>+#REF!</f>
        <v>#REF!</v>
      </c>
      <c r="F28" s="224" t="e">
        <f>+#REF!</f>
        <v>#REF!</v>
      </c>
      <c r="G28" s="224" t="e">
        <f>+#REF!</f>
        <v>#REF!</v>
      </c>
      <c r="H28" s="224" t="e">
        <f>+#REF!</f>
        <v>#REF!</v>
      </c>
      <c r="I28" s="224" t="e">
        <f>+#REF!</f>
        <v>#REF!</v>
      </c>
      <c r="J28" s="429" t="e">
        <f>+#REF!</f>
        <v>#REF!</v>
      </c>
      <c r="K28" s="68" t="e">
        <f>SUM(E28:J28)</f>
        <v>#REF!</v>
      </c>
      <c r="L28" s="252"/>
      <c r="M28" s="252"/>
      <c r="O28" s="64"/>
      <c r="R28" s="67"/>
    </row>
    <row r="29" spans="2:19" s="62" customFormat="1">
      <c r="E29" s="224"/>
      <c r="F29" s="224"/>
      <c r="G29" s="224"/>
      <c r="H29" s="224"/>
      <c r="I29" s="224"/>
      <c r="J29" s="224"/>
      <c r="K29" s="68">
        <f>SUM(E29:J29)</f>
        <v>0</v>
      </c>
      <c r="L29" s="252"/>
      <c r="M29" s="252"/>
      <c r="O29" s="64"/>
      <c r="R29" s="67"/>
    </row>
    <row r="30" spans="2:19" s="62" customFormat="1">
      <c r="B30" s="62" t="s">
        <v>752</v>
      </c>
      <c r="C30" s="69" t="s">
        <v>1565</v>
      </c>
      <c r="E30" s="66" t="e">
        <f t="shared" ref="E30:J30" si="1">+E27+E28+E29</f>
        <v>#REF!</v>
      </c>
      <c r="F30" s="66" t="e">
        <f t="shared" si="1"/>
        <v>#REF!</v>
      </c>
      <c r="G30" s="66" t="e">
        <f t="shared" si="1"/>
        <v>#REF!</v>
      </c>
      <c r="H30" s="66" t="e">
        <f t="shared" si="1"/>
        <v>#REF!</v>
      </c>
      <c r="I30" s="66" t="e">
        <f t="shared" si="1"/>
        <v>#REF!</v>
      </c>
      <c r="J30" s="66" t="e">
        <f t="shared" si="1"/>
        <v>#REF!</v>
      </c>
      <c r="K30" s="66" t="e">
        <f>SUM(K27:K29)</f>
        <v>#REF!</v>
      </c>
      <c r="L30" s="252"/>
      <c r="M30" s="252"/>
      <c r="O30" s="64"/>
      <c r="R30" s="67"/>
    </row>
    <row r="31" spans="2:19" s="62" customFormat="1">
      <c r="B31" s="72" t="s">
        <v>1573</v>
      </c>
      <c r="C31" s="62" t="s">
        <v>0</v>
      </c>
      <c r="E31" s="224" t="e">
        <f>+#REF!</f>
        <v>#REF!</v>
      </c>
      <c r="F31" s="224" t="e">
        <f>+#REF!</f>
        <v>#REF!</v>
      </c>
      <c r="G31" s="224" t="e">
        <f>+#REF!</f>
        <v>#REF!</v>
      </c>
      <c r="H31" s="224" t="e">
        <f>+#REF!</f>
        <v>#REF!</v>
      </c>
      <c r="I31" s="224" t="e">
        <f>+#REF!</f>
        <v>#REF!</v>
      </c>
      <c r="J31" s="224" t="e">
        <f>+#REF!</f>
        <v>#REF!</v>
      </c>
      <c r="K31" s="68" t="e">
        <f t="shared" ref="K31:K36" si="2">SUM(E31:J31)</f>
        <v>#REF!</v>
      </c>
      <c r="L31" s="252"/>
      <c r="M31" s="252"/>
      <c r="O31" s="64"/>
      <c r="R31" s="67"/>
    </row>
    <row r="32" spans="2:19" s="62" customFormat="1">
      <c r="B32" s="72" t="s">
        <v>1574</v>
      </c>
      <c r="C32" s="62" t="s">
        <v>6</v>
      </c>
      <c r="E32" s="224" t="e">
        <f>+#REF!</f>
        <v>#REF!</v>
      </c>
      <c r="F32" s="224" t="e">
        <f>+#REF!</f>
        <v>#REF!</v>
      </c>
      <c r="G32" s="224" t="e">
        <f>+#REF!</f>
        <v>#REF!</v>
      </c>
      <c r="H32" s="224" t="e">
        <f>+#REF!</f>
        <v>#REF!</v>
      </c>
      <c r="I32" s="224" t="e">
        <f>+#REF!</f>
        <v>#REF!</v>
      </c>
      <c r="J32" s="224" t="e">
        <f>+#REF!</f>
        <v>#REF!</v>
      </c>
      <c r="K32" s="68" t="e">
        <f t="shared" si="2"/>
        <v>#REF!</v>
      </c>
      <c r="L32" s="252"/>
      <c r="M32" s="252"/>
      <c r="O32" s="64"/>
      <c r="R32" s="67"/>
    </row>
    <row r="33" spans="2:18" s="62" customFormat="1">
      <c r="B33" s="72" t="s">
        <v>1575</v>
      </c>
      <c r="C33" s="62" t="s">
        <v>1571</v>
      </c>
      <c r="E33" s="224" t="e">
        <f>+#REF!</f>
        <v>#REF!</v>
      </c>
      <c r="F33" s="224" t="e">
        <f>+#REF!</f>
        <v>#REF!</v>
      </c>
      <c r="G33" s="224" t="e">
        <f>+#REF!</f>
        <v>#REF!</v>
      </c>
      <c r="H33" s="224" t="e">
        <f>+#REF!</f>
        <v>#REF!</v>
      </c>
      <c r="I33" s="224" t="e">
        <f>+#REF!</f>
        <v>#REF!</v>
      </c>
      <c r="J33" s="224" t="e">
        <f>+#REF!</f>
        <v>#REF!</v>
      </c>
      <c r="K33" s="68" t="e">
        <f t="shared" si="2"/>
        <v>#REF!</v>
      </c>
      <c r="L33" s="252"/>
      <c r="M33" s="252"/>
      <c r="O33" s="64"/>
      <c r="R33" s="67"/>
    </row>
    <row r="34" spans="2:18" s="62" customFormat="1">
      <c r="B34" s="72" t="s">
        <v>1576</v>
      </c>
      <c r="C34" s="62" t="s">
        <v>1546</v>
      </c>
      <c r="E34" s="224" t="e">
        <f>+#REF!</f>
        <v>#REF!</v>
      </c>
      <c r="F34" s="224" t="e">
        <f>+#REF!</f>
        <v>#REF!</v>
      </c>
      <c r="G34" s="224" t="e">
        <f>+#REF!</f>
        <v>#REF!</v>
      </c>
      <c r="H34" s="224" t="e">
        <f>+#REF!</f>
        <v>#REF!</v>
      </c>
      <c r="I34" s="224" t="e">
        <f>+#REF!</f>
        <v>#REF!</v>
      </c>
      <c r="J34" s="224" t="e">
        <f>+#REF!</f>
        <v>#REF!</v>
      </c>
      <c r="K34" s="68" t="e">
        <f t="shared" si="2"/>
        <v>#REF!</v>
      </c>
      <c r="L34" s="252"/>
      <c r="M34" s="252"/>
      <c r="O34" s="64"/>
      <c r="R34" s="67"/>
    </row>
    <row r="35" spans="2:18" s="62" customFormat="1">
      <c r="B35" s="72" t="s">
        <v>1577</v>
      </c>
      <c r="C35" s="62" t="s">
        <v>1</v>
      </c>
      <c r="E35" s="224" t="e">
        <f>+#REF!</f>
        <v>#REF!</v>
      </c>
      <c r="F35" s="224" t="e">
        <f>+#REF!</f>
        <v>#REF!</v>
      </c>
      <c r="G35" s="224" t="e">
        <f>+#REF!</f>
        <v>#REF!</v>
      </c>
      <c r="H35" s="224" t="e">
        <f>+#REF!</f>
        <v>#REF!</v>
      </c>
      <c r="I35" s="224" t="e">
        <f>+#REF!</f>
        <v>#REF!</v>
      </c>
      <c r="J35" s="224" t="e">
        <f>+#REF!</f>
        <v>#REF!</v>
      </c>
      <c r="K35" s="68" t="e">
        <f t="shared" si="2"/>
        <v>#REF!</v>
      </c>
      <c r="L35" s="252"/>
      <c r="M35" s="252"/>
      <c r="O35" s="64"/>
      <c r="R35" s="67"/>
    </row>
    <row r="36" spans="2:18" s="62" customFormat="1">
      <c r="B36" s="72" t="s">
        <v>1578</v>
      </c>
      <c r="C36" s="62" t="s">
        <v>1566</v>
      </c>
      <c r="E36" s="224" t="e">
        <f>+#REF!</f>
        <v>#REF!</v>
      </c>
      <c r="F36" s="224" t="e">
        <f>+#REF!</f>
        <v>#REF!</v>
      </c>
      <c r="G36" s="224" t="e">
        <f>+#REF!</f>
        <v>#REF!</v>
      </c>
      <c r="H36" s="224" t="e">
        <f>+#REF!</f>
        <v>#REF!</v>
      </c>
      <c r="I36" s="224" t="e">
        <f>+#REF!</f>
        <v>#REF!</v>
      </c>
      <c r="J36" s="224" t="e">
        <f>+#REF!</f>
        <v>#REF!</v>
      </c>
      <c r="K36" s="68" t="e">
        <f t="shared" si="2"/>
        <v>#REF!</v>
      </c>
      <c r="L36" s="252"/>
      <c r="M36" s="252"/>
      <c r="O36" s="64"/>
      <c r="R36" s="67"/>
    </row>
    <row r="37" spans="2:18" s="62" customFormat="1">
      <c r="B37" s="72" t="s">
        <v>1579</v>
      </c>
      <c r="C37" s="62" t="s">
        <v>1569</v>
      </c>
      <c r="E37" s="224" t="e">
        <f>+#REF!</f>
        <v>#REF!</v>
      </c>
      <c r="F37" s="224" t="e">
        <f>+#REF!</f>
        <v>#REF!</v>
      </c>
      <c r="G37" s="224" t="e">
        <f>+#REF!</f>
        <v>#REF!</v>
      </c>
      <c r="H37" s="224" t="e">
        <f>+#REF!</f>
        <v>#REF!</v>
      </c>
      <c r="I37" s="224" t="e">
        <f>+#REF!</f>
        <v>#REF!</v>
      </c>
      <c r="J37" s="224" t="e">
        <f>+#REF!</f>
        <v>#REF!</v>
      </c>
      <c r="K37" s="68"/>
      <c r="L37" s="252"/>
      <c r="M37" s="252"/>
      <c r="O37" s="64"/>
      <c r="R37" s="67"/>
    </row>
    <row r="38" spans="2:18" s="62" customFormat="1">
      <c r="B38" s="62" t="s">
        <v>757</v>
      </c>
      <c r="C38" s="69" t="s">
        <v>1570</v>
      </c>
      <c r="E38" s="66" t="e">
        <f>SUM(E30:E37)</f>
        <v>#REF!</v>
      </c>
      <c r="F38" s="66" t="e">
        <f t="shared" ref="F38:K38" si="3">SUM(F30:F37)</f>
        <v>#REF!</v>
      </c>
      <c r="G38" s="66" t="e">
        <f t="shared" si="3"/>
        <v>#REF!</v>
      </c>
      <c r="H38" s="66" t="e">
        <f t="shared" si="3"/>
        <v>#REF!</v>
      </c>
      <c r="I38" s="66" t="e">
        <f t="shared" si="3"/>
        <v>#REF!</v>
      </c>
      <c r="J38" s="66" t="e">
        <f t="shared" si="3"/>
        <v>#REF!</v>
      </c>
      <c r="K38" s="66" t="e">
        <f t="shared" si="3"/>
        <v>#REF!</v>
      </c>
      <c r="L38" s="252"/>
      <c r="M38" s="252"/>
      <c r="N38" s="224">
        <f>SUM(N30:N36)</f>
        <v>0</v>
      </c>
      <c r="O38" s="68">
        <f>SUM(O30:O36)</f>
        <v>0</v>
      </c>
      <c r="R38" s="67"/>
    </row>
    <row r="39" spans="2:18" s="62" customFormat="1">
      <c r="B39" s="72" t="s">
        <v>1573</v>
      </c>
      <c r="C39" s="62" t="s">
        <v>0</v>
      </c>
      <c r="E39" s="224" t="e">
        <f>+#REF!</f>
        <v>#REF!</v>
      </c>
      <c r="F39" s="224" t="e">
        <f>+#REF!</f>
        <v>#REF!</v>
      </c>
      <c r="G39" s="224" t="e">
        <f>+#REF!</f>
        <v>#REF!</v>
      </c>
      <c r="H39" s="224" t="e">
        <f>+#REF!</f>
        <v>#REF!</v>
      </c>
      <c r="I39" s="224" t="e">
        <f>+#REF!</f>
        <v>#REF!</v>
      </c>
      <c r="J39" s="224" t="e">
        <f>+#REF!</f>
        <v>#REF!</v>
      </c>
      <c r="K39" s="68" t="e">
        <f t="shared" ref="K39:K44" si="4">SUM(E39:J39)</f>
        <v>#REF!</v>
      </c>
      <c r="L39" s="252"/>
      <c r="M39" s="252"/>
      <c r="O39" s="64"/>
      <c r="R39" s="67"/>
    </row>
    <row r="40" spans="2:18" s="62" customFormat="1">
      <c r="B40" s="72" t="s">
        <v>1574</v>
      </c>
      <c r="C40" s="62" t="s">
        <v>6</v>
      </c>
      <c r="E40" s="224" t="e">
        <f>+#REF!</f>
        <v>#REF!</v>
      </c>
      <c r="F40" s="224" t="e">
        <f>+#REF!</f>
        <v>#REF!</v>
      </c>
      <c r="G40" s="224" t="e">
        <f>+#REF!</f>
        <v>#REF!</v>
      </c>
      <c r="H40" s="224" t="e">
        <f>+#REF!</f>
        <v>#REF!</v>
      </c>
      <c r="I40" s="224" t="e">
        <f>+#REF!</f>
        <v>#REF!</v>
      </c>
      <c r="J40" s="224" t="e">
        <f>+#REF!</f>
        <v>#REF!</v>
      </c>
      <c r="K40" s="68" t="e">
        <f t="shared" si="4"/>
        <v>#REF!</v>
      </c>
      <c r="L40" s="252"/>
      <c r="M40" s="252"/>
      <c r="O40" s="64"/>
      <c r="R40" s="67"/>
    </row>
    <row r="41" spans="2:18" s="62" customFormat="1">
      <c r="B41" s="72" t="s">
        <v>1575</v>
      </c>
      <c r="C41" s="62" t="s">
        <v>1568</v>
      </c>
      <c r="E41" s="224" t="e">
        <f>+#REF!</f>
        <v>#REF!</v>
      </c>
      <c r="F41" s="224" t="e">
        <f>+#REF!</f>
        <v>#REF!</v>
      </c>
      <c r="G41" s="224" t="e">
        <f>+#REF!</f>
        <v>#REF!</v>
      </c>
      <c r="H41" s="224" t="e">
        <f>+#REF!</f>
        <v>#REF!</v>
      </c>
      <c r="I41" s="224" t="e">
        <f>+#REF!</f>
        <v>#REF!</v>
      </c>
      <c r="J41" s="224" t="e">
        <f>+#REF!</f>
        <v>#REF!</v>
      </c>
      <c r="K41" s="68" t="e">
        <f t="shared" si="4"/>
        <v>#REF!</v>
      </c>
      <c r="L41" s="252"/>
      <c r="M41" s="252"/>
      <c r="O41" s="64"/>
      <c r="R41" s="67"/>
    </row>
    <row r="42" spans="2:18" s="62" customFormat="1">
      <c r="B42" s="72" t="s">
        <v>1576</v>
      </c>
      <c r="C42" s="62" t="s">
        <v>1546</v>
      </c>
      <c r="E42" s="224" t="e">
        <f>+#REF!</f>
        <v>#REF!</v>
      </c>
      <c r="F42" s="224" t="e">
        <f>+#REF!</f>
        <v>#REF!</v>
      </c>
      <c r="G42" s="224" t="e">
        <f>+#REF!</f>
        <v>#REF!</v>
      </c>
      <c r="H42" s="224" t="e">
        <f>+#REF!</f>
        <v>#REF!</v>
      </c>
      <c r="I42" s="224" t="e">
        <f>+#REF!</f>
        <v>#REF!</v>
      </c>
      <c r="J42" s="224" t="e">
        <f>+#REF!</f>
        <v>#REF!</v>
      </c>
      <c r="K42" s="68" t="e">
        <f t="shared" si="4"/>
        <v>#REF!</v>
      </c>
      <c r="L42" s="252"/>
      <c r="M42" s="252"/>
      <c r="O42" s="64"/>
      <c r="R42" s="67"/>
    </row>
    <row r="43" spans="2:18" s="62" customFormat="1">
      <c r="B43" s="72" t="s">
        <v>1578</v>
      </c>
      <c r="C43" s="62" t="s">
        <v>1566</v>
      </c>
      <c r="E43" s="429" t="e">
        <f>+#REF!</f>
        <v>#REF!</v>
      </c>
      <c r="F43" s="429" t="e">
        <f>+#REF!</f>
        <v>#REF!</v>
      </c>
      <c r="G43" s="429" t="e">
        <f>+#REF!</f>
        <v>#REF!</v>
      </c>
      <c r="H43" s="429" t="e">
        <f>+#REF!</f>
        <v>#REF!</v>
      </c>
      <c r="I43" s="429" t="e">
        <f>+#REF!</f>
        <v>#REF!</v>
      </c>
      <c r="J43" s="429" t="e">
        <f>+#REF!</f>
        <v>#REF!</v>
      </c>
      <c r="K43" s="68" t="e">
        <f t="shared" si="4"/>
        <v>#REF!</v>
      </c>
      <c r="L43" s="252"/>
      <c r="M43" s="252"/>
      <c r="O43" s="64"/>
      <c r="R43" s="67"/>
    </row>
    <row r="44" spans="2:18" s="62" customFormat="1">
      <c r="B44" s="72" t="s">
        <v>1579</v>
      </c>
      <c r="C44" s="62" t="s">
        <v>1569</v>
      </c>
      <c r="E44" s="429" t="e">
        <f>+#REF!</f>
        <v>#REF!</v>
      </c>
      <c r="F44" s="429" t="e">
        <f>+#REF!</f>
        <v>#REF!</v>
      </c>
      <c r="G44" s="429" t="e">
        <f>+#REF!</f>
        <v>#REF!</v>
      </c>
      <c r="H44" s="429" t="e">
        <f>+#REF!</f>
        <v>#REF!</v>
      </c>
      <c r="I44" s="429" t="e">
        <f>+#REF!</f>
        <v>#REF!</v>
      </c>
      <c r="J44" s="429" t="e">
        <f>+#REF!</f>
        <v>#REF!</v>
      </c>
      <c r="K44" s="68" t="e">
        <f t="shared" si="4"/>
        <v>#REF!</v>
      </c>
      <c r="L44" s="252"/>
      <c r="M44" s="252"/>
      <c r="O44" s="64"/>
      <c r="R44" s="67"/>
    </row>
    <row r="45" spans="2:18" s="62" customFormat="1">
      <c r="B45" s="62" t="s">
        <v>1162</v>
      </c>
      <c r="C45" s="70" t="s">
        <v>1572</v>
      </c>
      <c r="D45" s="65"/>
      <c r="E45" s="71" t="e">
        <f t="shared" ref="E45:J45" si="5">SUM(E38:E44)</f>
        <v>#REF!</v>
      </c>
      <c r="F45" s="71" t="e">
        <f t="shared" si="5"/>
        <v>#REF!</v>
      </c>
      <c r="G45" s="71" t="e">
        <f t="shared" si="5"/>
        <v>#REF!</v>
      </c>
      <c r="H45" s="71" t="e">
        <f t="shared" si="5"/>
        <v>#REF!</v>
      </c>
      <c r="I45" s="71" t="e">
        <f t="shared" si="5"/>
        <v>#REF!</v>
      </c>
      <c r="J45" s="71" t="e">
        <f t="shared" si="5"/>
        <v>#REF!</v>
      </c>
      <c r="K45" s="71" t="e">
        <f>SUM(K38:K44)</f>
        <v>#REF!</v>
      </c>
      <c r="L45" s="252"/>
      <c r="M45" s="252"/>
      <c r="N45" s="254">
        <f>SUM(N38)</f>
        <v>0</v>
      </c>
      <c r="O45" s="68">
        <f>SUM(O38)</f>
        <v>0</v>
      </c>
      <c r="R45" s="67"/>
    </row>
    <row r="46" spans="2:18" s="62" customFormat="1">
      <c r="L46" s="67"/>
      <c r="M46" s="67"/>
      <c r="R46" s="67"/>
    </row>
    <row r="47" spans="2:18" s="62" customFormat="1">
      <c r="L47" s="67"/>
      <c r="M47" s="67"/>
      <c r="R47" s="67"/>
    </row>
  </sheetData>
  <mergeCells count="9">
    <mergeCell ref="C22:C25"/>
    <mergeCell ref="K22:K25"/>
    <mergeCell ref="O22:O25"/>
    <mergeCell ref="C4:C5"/>
    <mergeCell ref="F4:F5"/>
    <mergeCell ref="G4:G5"/>
    <mergeCell ref="H4:H5"/>
    <mergeCell ref="J4:J5"/>
    <mergeCell ref="E21:K21"/>
  </mergeCells>
  <phoneticPr fontId="58" type="noConversion"/>
  <pageMargins left="0.39" right="0.2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59"/>
  <sheetViews>
    <sheetView showGridLines="0" showOutlineSymbols="0" topLeftCell="A16" workbookViewId="0">
      <selection activeCell="H51" sqref="H51"/>
    </sheetView>
  </sheetViews>
  <sheetFormatPr defaultColWidth="6.85546875" defaultRowHeight="15"/>
  <cols>
    <col min="1" max="3" width="6" style="1026" customWidth="1"/>
    <col min="4" max="4" width="38.5703125" style="1026" customWidth="1"/>
    <col min="5" max="5" width="19.42578125" style="1026" customWidth="1"/>
    <col min="6" max="6" width="16.7109375" style="1026" customWidth="1"/>
    <col min="7" max="7" width="13.42578125" style="1026" customWidth="1"/>
    <col min="8" max="8" width="19.42578125" style="1026" customWidth="1"/>
    <col min="9" max="9" width="15.7109375" style="1026" customWidth="1"/>
    <col min="10" max="10" width="6" style="1026" customWidth="1"/>
    <col min="11" max="16384" width="6.85546875" style="1026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/>
    <row r="6" spans="1:10" ht="20.25" customHeight="1"/>
    <row r="7" spans="1:10" ht="12" customHeight="1">
      <c r="A7" s="1027" t="s">
        <v>822</v>
      </c>
      <c r="D7" s="1027" t="s">
        <v>821</v>
      </c>
      <c r="E7" s="1028" t="s">
        <v>823</v>
      </c>
      <c r="F7" s="1028"/>
      <c r="G7" s="1028"/>
      <c r="H7" s="1028" t="s">
        <v>824</v>
      </c>
      <c r="I7" s="1028"/>
      <c r="J7" s="1028"/>
    </row>
    <row r="8" spans="1:10" ht="9.9499999999999993" customHeight="1"/>
    <row r="9" spans="1:10" ht="22.5" customHeight="1">
      <c r="A9" s="1029" t="s">
        <v>825</v>
      </c>
    </row>
    <row r="10" spans="1:10" ht="13.5" customHeight="1">
      <c r="A10" s="1683" t="s">
        <v>826</v>
      </c>
      <c r="B10" s="1683"/>
      <c r="C10" s="1683"/>
      <c r="D10" s="1028" t="s">
        <v>827</v>
      </c>
      <c r="H10" s="1030">
        <v>100000</v>
      </c>
      <c r="I10" s="1030">
        <f t="shared" ref="I10:I20" si="0">H10</f>
        <v>100000</v>
      </c>
      <c r="J10" s="1030"/>
    </row>
    <row r="11" spans="1:10" ht="13.5" customHeight="1">
      <c r="A11" s="1683" t="s">
        <v>828</v>
      </c>
      <c r="B11" s="1683"/>
      <c r="C11" s="1683"/>
      <c r="D11" s="1028" t="s">
        <v>829</v>
      </c>
      <c r="H11" s="1030">
        <v>-2543304.87</v>
      </c>
      <c r="I11" s="1030">
        <f t="shared" si="0"/>
        <v>-2543304.87</v>
      </c>
      <c r="J11" s="1030"/>
    </row>
    <row r="12" spans="1:10" ht="13.5" customHeight="1">
      <c r="A12" s="1683" t="s">
        <v>830</v>
      </c>
      <c r="B12" s="1683"/>
      <c r="C12" s="1683"/>
      <c r="D12" s="1028" t="s">
        <v>831</v>
      </c>
      <c r="H12" s="1030">
        <v>-28812979.633485988</v>
      </c>
      <c r="I12" s="1030">
        <f t="shared" si="0"/>
        <v>-28812979.633485988</v>
      </c>
      <c r="J12" s="1030"/>
    </row>
    <row r="13" spans="1:10" ht="13.5" customHeight="1">
      <c r="A13" s="1683" t="s">
        <v>832</v>
      </c>
      <c r="B13" s="1683"/>
      <c r="C13" s="1683"/>
      <c r="D13" s="1028" t="s">
        <v>833</v>
      </c>
      <c r="H13" s="1030">
        <v>2948424.8534000032</v>
      </c>
      <c r="I13" s="1030">
        <f t="shared" si="0"/>
        <v>2948424.8534000032</v>
      </c>
      <c r="J13" s="1030"/>
    </row>
    <row r="14" spans="1:10" ht="13.5" customHeight="1">
      <c r="A14" s="1683" t="s">
        <v>834</v>
      </c>
      <c r="B14" s="1683"/>
      <c r="C14" s="1683"/>
      <c r="D14" s="1028" t="s">
        <v>835</v>
      </c>
      <c r="H14" s="1030">
        <v>181044</v>
      </c>
      <c r="I14" s="1030">
        <f t="shared" si="0"/>
        <v>181044</v>
      </c>
      <c r="J14" s="1030"/>
    </row>
    <row r="15" spans="1:10" ht="13.5" customHeight="1">
      <c r="A15" s="1683" t="s">
        <v>260</v>
      </c>
      <c r="B15" s="1683"/>
      <c r="C15" s="1683"/>
      <c r="D15" s="1028" t="s">
        <v>259</v>
      </c>
      <c r="H15" s="1030">
        <v>468764</v>
      </c>
      <c r="I15" s="1030">
        <f t="shared" si="0"/>
        <v>468764</v>
      </c>
      <c r="J15" s="1030"/>
    </row>
    <row r="16" spans="1:10" ht="13.5" customHeight="1">
      <c r="A16" s="1683" t="s">
        <v>836</v>
      </c>
      <c r="B16" s="1683"/>
      <c r="C16" s="1683"/>
      <c r="D16" s="1028" t="s">
        <v>837</v>
      </c>
      <c r="H16" s="1030">
        <v>156337</v>
      </c>
      <c r="I16" s="1030">
        <f t="shared" si="0"/>
        <v>156337</v>
      </c>
      <c r="J16" s="1030"/>
    </row>
    <row r="17" spans="1:10" ht="13.5" customHeight="1">
      <c r="A17" s="1683" t="s">
        <v>258</v>
      </c>
      <c r="B17" s="1683"/>
      <c r="C17" s="1683"/>
      <c r="D17" s="1028" t="s">
        <v>257</v>
      </c>
      <c r="H17" s="1030"/>
      <c r="I17" s="1030">
        <f t="shared" si="0"/>
        <v>0</v>
      </c>
      <c r="J17" s="1030"/>
    </row>
    <row r="18" spans="1:10" ht="13.5" customHeight="1">
      <c r="A18" s="1683" t="s">
        <v>838</v>
      </c>
      <c r="B18" s="1683"/>
      <c r="C18" s="1683"/>
      <c r="D18" s="1028" t="s">
        <v>839</v>
      </c>
      <c r="H18" s="1030">
        <v>155383.25</v>
      </c>
      <c r="I18" s="1030">
        <f t="shared" si="0"/>
        <v>155383.25</v>
      </c>
      <c r="J18" s="1030"/>
    </row>
    <row r="19" spans="1:10" ht="13.5" customHeight="1">
      <c r="A19" s="1683" t="s">
        <v>842</v>
      </c>
      <c r="B19" s="1683"/>
      <c r="C19" s="1683"/>
      <c r="D19" s="1028" t="s">
        <v>256</v>
      </c>
      <c r="H19" s="1030">
        <v>32890500.489999998</v>
      </c>
      <c r="I19" s="1030">
        <f t="shared" si="0"/>
        <v>32890500.489999998</v>
      </c>
      <c r="J19" s="1030"/>
    </row>
    <row r="20" spans="1:10" ht="14.25" customHeight="1">
      <c r="A20" s="1683" t="s">
        <v>867</v>
      </c>
      <c r="B20" s="1683"/>
      <c r="C20" s="1683"/>
      <c r="D20" s="1028" t="s">
        <v>255</v>
      </c>
      <c r="H20" s="1030">
        <v>27381150.81000001</v>
      </c>
      <c r="I20" s="1030">
        <f t="shared" si="0"/>
        <v>27381150.81000001</v>
      </c>
      <c r="J20" s="1030"/>
    </row>
    <row r="21" spans="1:10" ht="12" customHeight="1">
      <c r="H21" s="1031">
        <f>SUM(H10:H20)</f>
        <v>32925319.899914023</v>
      </c>
      <c r="I21" s="1031">
        <f>SUM(I10:I20)</f>
        <v>32925319.899914023</v>
      </c>
      <c r="J21" s="1031"/>
    </row>
    <row r="22" spans="1:10" ht="15.75" customHeight="1"/>
    <row r="23" spans="1:10" ht="22.5" customHeight="1">
      <c r="A23" s="1029" t="s">
        <v>843</v>
      </c>
    </row>
    <row r="24" spans="1:10" ht="13.5" customHeight="1">
      <c r="A24" s="1683" t="s">
        <v>254</v>
      </c>
      <c r="B24" s="1683"/>
      <c r="C24" s="1683"/>
      <c r="D24" s="1028" t="s">
        <v>253</v>
      </c>
      <c r="E24" s="1038">
        <v>1378358</v>
      </c>
      <c r="F24" s="1038">
        <f>E24</f>
        <v>1378358</v>
      </c>
      <c r="G24" s="1030">
        <f>E24+E32</f>
        <v>1314138</v>
      </c>
    </row>
    <row r="25" spans="1:10" ht="13.5" customHeight="1">
      <c r="A25" s="1683" t="s">
        <v>844</v>
      </c>
      <c r="B25" s="1683"/>
      <c r="C25" s="1683"/>
      <c r="D25" s="1028" t="s">
        <v>845</v>
      </c>
      <c r="E25" s="1041">
        <v>743715.37</v>
      </c>
      <c r="F25" s="1041">
        <f>E25+E26+E27+E30+E31</f>
        <v>2131448.21</v>
      </c>
      <c r="G25" s="1030"/>
    </row>
    <row r="26" spans="1:10" ht="13.5" customHeight="1">
      <c r="A26" s="1683" t="s">
        <v>846</v>
      </c>
      <c r="B26" s="1683"/>
      <c r="C26" s="1683"/>
      <c r="D26" s="1028" t="s">
        <v>847</v>
      </c>
      <c r="E26" s="1041">
        <v>928666.66</v>
      </c>
      <c r="F26" s="1030"/>
      <c r="G26" s="1030"/>
    </row>
    <row r="27" spans="1:10" ht="13.5" customHeight="1">
      <c r="A27" s="1683" t="s">
        <v>848</v>
      </c>
      <c r="B27" s="1683"/>
      <c r="C27" s="1683"/>
      <c r="D27" s="1028" t="s">
        <v>849</v>
      </c>
      <c r="E27" s="1041">
        <v>277166.66000000003</v>
      </c>
      <c r="F27" s="1030"/>
      <c r="G27" s="1030"/>
    </row>
    <row r="28" spans="1:10" ht="13.5" customHeight="1">
      <c r="A28" s="1683" t="s">
        <v>851</v>
      </c>
      <c r="B28" s="1683"/>
      <c r="C28" s="1683"/>
      <c r="D28" s="1028" t="s">
        <v>852</v>
      </c>
      <c r="E28" s="1042">
        <v>2487515.8400000008</v>
      </c>
      <c r="F28" s="1042">
        <f>E28</f>
        <v>2487515.8400000008</v>
      </c>
      <c r="G28" s="1030"/>
      <c r="H28" s="1032">
        <f>(F25+F28+F29)</f>
        <v>16841357.915400002</v>
      </c>
    </row>
    <row r="29" spans="1:10" ht="13.5" customHeight="1">
      <c r="A29" s="1683" t="s">
        <v>853</v>
      </c>
      <c r="B29" s="1683"/>
      <c r="C29" s="1683"/>
      <c r="D29" s="1028" t="s">
        <v>854</v>
      </c>
      <c r="E29" s="1043">
        <v>12222393.865400001</v>
      </c>
      <c r="F29" s="1043">
        <f>E29</f>
        <v>12222393.865400001</v>
      </c>
      <c r="G29" s="1030"/>
    </row>
    <row r="30" spans="1:10" ht="13.5" customHeight="1">
      <c r="A30" s="1683" t="s">
        <v>252</v>
      </c>
      <c r="B30" s="1683"/>
      <c r="C30" s="1683"/>
      <c r="D30" s="1028" t="s">
        <v>803</v>
      </c>
      <c r="E30" s="1041">
        <v>148399.52000000002</v>
      </c>
      <c r="F30" s="1030"/>
      <c r="G30" s="1030"/>
    </row>
    <row r="31" spans="1:10" ht="13.5" customHeight="1">
      <c r="A31" s="1683" t="s">
        <v>251</v>
      </c>
      <c r="B31" s="1683"/>
      <c r="C31" s="1683"/>
      <c r="D31" s="1028" t="s">
        <v>250</v>
      </c>
      <c r="E31" s="1041">
        <v>33500</v>
      </c>
      <c r="F31" s="1030"/>
      <c r="G31" s="1030"/>
    </row>
    <row r="32" spans="1:10" ht="13.5" customHeight="1">
      <c r="A32" s="1683" t="s">
        <v>249</v>
      </c>
      <c r="B32" s="1683"/>
      <c r="C32" s="1683"/>
      <c r="D32" s="1028" t="s">
        <v>248</v>
      </c>
      <c r="E32" s="1035">
        <v>-64220</v>
      </c>
      <c r="F32" s="1035"/>
      <c r="G32" s="1030"/>
      <c r="H32" s="1032"/>
    </row>
    <row r="33" spans="1:8" ht="13.5" customHeight="1">
      <c r="A33" s="1683" t="s">
        <v>855</v>
      </c>
      <c r="B33" s="1683"/>
      <c r="C33" s="1683"/>
      <c r="D33" s="1028" t="s">
        <v>247</v>
      </c>
      <c r="E33" s="1035">
        <v>-281693</v>
      </c>
      <c r="F33" s="1030">
        <f>E33+E34+E35+E36+E37+E38+E39+E32</f>
        <v>-2217247</v>
      </c>
      <c r="G33" s="1030"/>
      <c r="H33" s="1032">
        <f>E35+E36+E37+E38+E39</f>
        <v>-162726</v>
      </c>
    </row>
    <row r="34" spans="1:8" ht="13.5" customHeight="1">
      <c r="A34" s="1683" t="s">
        <v>856</v>
      </c>
      <c r="B34" s="1683"/>
      <c r="C34" s="1683"/>
      <c r="D34" s="1028" t="s">
        <v>246</v>
      </c>
      <c r="E34" s="1035">
        <v>-1708608</v>
      </c>
      <c r="F34" s="1030"/>
      <c r="G34" s="1030"/>
    </row>
    <row r="35" spans="1:8" ht="13.5" customHeight="1">
      <c r="A35" s="1683" t="s">
        <v>857</v>
      </c>
      <c r="B35" s="1683"/>
      <c r="C35" s="1683"/>
      <c r="D35" s="1028" t="s">
        <v>245</v>
      </c>
      <c r="E35" s="1035">
        <v>-10340</v>
      </c>
      <c r="F35" s="1030"/>
      <c r="G35" s="1030"/>
    </row>
    <row r="36" spans="1:8" ht="13.5" customHeight="1">
      <c r="A36" s="1683" t="s">
        <v>858</v>
      </c>
      <c r="B36" s="1683"/>
      <c r="C36" s="1683"/>
      <c r="D36" s="1028" t="s">
        <v>261</v>
      </c>
      <c r="E36" s="1035">
        <v>-83987</v>
      </c>
      <c r="F36" s="1030"/>
      <c r="G36" s="1030"/>
    </row>
    <row r="37" spans="1:8" ht="13.5" customHeight="1">
      <c r="A37" s="1683" t="s">
        <v>859</v>
      </c>
      <c r="B37" s="1683"/>
      <c r="C37" s="1683"/>
      <c r="D37" s="1028" t="s">
        <v>262</v>
      </c>
      <c r="E37" s="1035">
        <v>-49530</v>
      </c>
      <c r="F37" s="1030"/>
      <c r="G37" s="1030"/>
    </row>
    <row r="38" spans="1:8" ht="13.5" customHeight="1">
      <c r="A38" s="1683" t="s">
        <v>860</v>
      </c>
      <c r="B38" s="1683"/>
      <c r="C38" s="1683"/>
      <c r="D38" s="1028" t="s">
        <v>263</v>
      </c>
      <c r="E38" s="1035">
        <v>-12800</v>
      </c>
      <c r="F38" s="1030"/>
      <c r="G38" s="1030"/>
    </row>
    <row r="39" spans="1:8" ht="13.5" customHeight="1">
      <c r="A39" s="1683" t="s">
        <v>264</v>
      </c>
      <c r="B39" s="1683"/>
      <c r="C39" s="1683"/>
      <c r="D39" s="1028" t="s">
        <v>265</v>
      </c>
      <c r="E39" s="1035">
        <v>-6069</v>
      </c>
      <c r="F39" s="1030"/>
      <c r="G39" s="1030"/>
    </row>
    <row r="40" spans="1:8" ht="13.5" customHeight="1">
      <c r="A40" s="1683" t="s">
        <v>861</v>
      </c>
      <c r="B40" s="1683"/>
      <c r="C40" s="1683"/>
      <c r="D40" s="1028" t="s">
        <v>862</v>
      </c>
      <c r="E40" s="1034">
        <v>6847791</v>
      </c>
      <c r="F40" s="1034">
        <f>E40</f>
        <v>6847791</v>
      </c>
      <c r="G40" s="1030"/>
    </row>
    <row r="41" spans="1:8" ht="13.5" customHeight="1">
      <c r="A41" s="1683" t="s">
        <v>863</v>
      </c>
      <c r="B41" s="1683"/>
      <c r="C41" s="1683"/>
      <c r="D41" s="1028" t="s">
        <v>1205</v>
      </c>
      <c r="E41" s="1033">
        <v>84266.67</v>
      </c>
      <c r="F41" s="1033">
        <f>E41</f>
        <v>84266.67</v>
      </c>
      <c r="G41" s="1030"/>
    </row>
    <row r="42" spans="1:8" ht="13.5" customHeight="1">
      <c r="A42" s="1683" t="s">
        <v>244</v>
      </c>
      <c r="B42" s="1683"/>
      <c r="C42" s="1683"/>
      <c r="D42" s="1028" t="s">
        <v>243</v>
      </c>
      <c r="E42" s="1035">
        <v>442885</v>
      </c>
      <c r="F42" s="1035">
        <f>E42+E43</f>
        <v>1436032.9300000002</v>
      </c>
      <c r="G42" s="1030"/>
    </row>
    <row r="43" spans="1:8" ht="13.5" customHeight="1">
      <c r="A43" s="1683" t="s">
        <v>242</v>
      </c>
      <c r="B43" s="1683"/>
      <c r="C43" s="1683"/>
      <c r="D43" s="1028" t="s">
        <v>241</v>
      </c>
      <c r="E43" s="1035">
        <v>993147.93</v>
      </c>
      <c r="F43" s="1030"/>
      <c r="G43" s="1030"/>
    </row>
    <row r="44" spans="1:8" ht="13.5" customHeight="1">
      <c r="A44" s="1683" t="s">
        <v>840</v>
      </c>
      <c r="B44" s="1683"/>
      <c r="C44" s="1683"/>
      <c r="D44" s="1028" t="s">
        <v>240</v>
      </c>
      <c r="E44" s="1036">
        <v>891051.14000000013</v>
      </c>
      <c r="F44" s="1036">
        <f>E44+E45</f>
        <v>2937440.54</v>
      </c>
      <c r="G44" s="1030"/>
    </row>
    <row r="45" spans="1:8" ht="13.5" customHeight="1">
      <c r="A45" s="1683" t="s">
        <v>841</v>
      </c>
      <c r="B45" s="1683"/>
      <c r="C45" s="1683"/>
      <c r="D45" s="1028" t="s">
        <v>239</v>
      </c>
      <c r="E45" s="1036">
        <v>2046389.4000000001</v>
      </c>
      <c r="F45" s="1030"/>
      <c r="G45" s="1030"/>
    </row>
    <row r="46" spans="1:8" ht="13.5" customHeight="1">
      <c r="A46" s="1683" t="s">
        <v>864</v>
      </c>
      <c r="B46" s="1683"/>
      <c r="C46" s="1683"/>
      <c r="D46" s="1028" t="s">
        <v>238</v>
      </c>
      <c r="E46" s="1037">
        <v>661759</v>
      </c>
      <c r="F46" s="1037">
        <f>E46</f>
        <v>661759</v>
      </c>
      <c r="G46" s="1030"/>
    </row>
    <row r="47" spans="1:8" ht="13.5" customHeight="1">
      <c r="A47" s="1683" t="s">
        <v>237</v>
      </c>
      <c r="B47" s="1683"/>
      <c r="C47" s="1683"/>
      <c r="D47" s="1028" t="s">
        <v>236</v>
      </c>
      <c r="E47" s="1038">
        <v>4047756.048</v>
      </c>
      <c r="F47" s="1038">
        <f>E47</f>
        <v>4047756.048</v>
      </c>
      <c r="G47" s="1030"/>
    </row>
    <row r="48" spans="1:8" ht="13.5" customHeight="1">
      <c r="A48" s="1683" t="s">
        <v>865</v>
      </c>
      <c r="B48" s="1683"/>
      <c r="C48" s="1683"/>
      <c r="D48" s="1028" t="s">
        <v>235</v>
      </c>
      <c r="E48" s="1039">
        <v>302101.48000000021</v>
      </c>
      <c r="F48" s="1039">
        <f>E48+E49+E50</f>
        <v>477519.82000000024</v>
      </c>
      <c r="G48" s="1030"/>
    </row>
    <row r="49" spans="1:9" ht="13.5" customHeight="1">
      <c r="A49" s="1683" t="s">
        <v>866</v>
      </c>
      <c r="B49" s="1683"/>
      <c r="C49" s="1683"/>
      <c r="D49" s="1028" t="s">
        <v>234</v>
      </c>
      <c r="E49" s="1039">
        <v>10029.320000000065</v>
      </c>
      <c r="F49" s="1030"/>
      <c r="G49" s="1030"/>
    </row>
    <row r="50" spans="1:9" ht="13.5" customHeight="1">
      <c r="A50" s="1683" t="s">
        <v>868</v>
      </c>
      <c r="B50" s="1683"/>
      <c r="C50" s="1683"/>
      <c r="D50" s="1028" t="s">
        <v>233</v>
      </c>
      <c r="E50" s="1039">
        <v>165389.01999999996</v>
      </c>
      <c r="F50" s="1030"/>
      <c r="G50" s="1030"/>
    </row>
    <row r="51" spans="1:9" ht="13.5" customHeight="1">
      <c r="A51" s="1683" t="s">
        <v>869</v>
      </c>
      <c r="B51" s="1683"/>
      <c r="C51" s="1683"/>
      <c r="D51" s="1028" t="s">
        <v>232</v>
      </c>
      <c r="E51" s="1040">
        <v>25737.069999999832</v>
      </c>
      <c r="F51" s="1040">
        <f>E51+E52</f>
        <v>430284.98</v>
      </c>
      <c r="G51" s="1030"/>
    </row>
    <row r="52" spans="1:9" ht="14.25" customHeight="1">
      <c r="A52" s="1683" t="s">
        <v>231</v>
      </c>
      <c r="B52" s="1683"/>
      <c r="C52" s="1683"/>
      <c r="D52" s="1028" t="s">
        <v>230</v>
      </c>
      <c r="E52" s="1040">
        <v>404547.91000000015</v>
      </c>
      <c r="F52" s="1030"/>
      <c r="G52" s="1030"/>
    </row>
    <row r="53" spans="1:9" ht="12" customHeight="1">
      <c r="E53" s="1031">
        <f>SUM(E24:E52)</f>
        <v>32925319.903400004</v>
      </c>
      <c r="F53" s="1031">
        <f>SUM(F24:F52)</f>
        <v>32925319.903400004</v>
      </c>
      <c r="G53" s="1031"/>
    </row>
    <row r="54" spans="1:9" ht="15" customHeight="1"/>
    <row r="55" spans="1:9" ht="15" customHeight="1"/>
    <row r="56" spans="1:9" ht="15" customHeight="1">
      <c r="H56" s="1032">
        <f>E53-H21</f>
        <v>3.4859813749790192E-3</v>
      </c>
      <c r="I56" s="1032">
        <f>F53-I21</f>
        <v>3.4859813749790192E-3</v>
      </c>
    </row>
    <row r="57" spans="1:9" ht="15" customHeight="1"/>
    <row r="58" spans="1:9" ht="15" customHeight="1"/>
    <row r="59" spans="1:9" ht="6.2" customHeight="1"/>
  </sheetData>
  <mergeCells count="40">
    <mergeCell ref="A45:C45"/>
    <mergeCell ref="A46:C46"/>
    <mergeCell ref="A51:C51"/>
    <mergeCell ref="A52:C52"/>
    <mergeCell ref="A49:C49"/>
    <mergeCell ref="A50:C50"/>
    <mergeCell ref="A47:C47"/>
    <mergeCell ref="A48:C48"/>
    <mergeCell ref="A36:C36"/>
    <mergeCell ref="A33:C33"/>
    <mergeCell ref="A34:C34"/>
    <mergeCell ref="A44:C44"/>
    <mergeCell ref="A41:C41"/>
    <mergeCell ref="A42:C42"/>
    <mergeCell ref="A37:C37"/>
    <mergeCell ref="A38:C38"/>
    <mergeCell ref="A43:C43"/>
    <mergeCell ref="A39:C39"/>
    <mergeCell ref="A40:C40"/>
    <mergeCell ref="A35:C35"/>
    <mergeCell ref="A32:C32"/>
    <mergeCell ref="A29:C29"/>
    <mergeCell ref="A30:C30"/>
    <mergeCell ref="A27:C27"/>
    <mergeCell ref="A28:C28"/>
    <mergeCell ref="A10:C10"/>
    <mergeCell ref="A11:C11"/>
    <mergeCell ref="A18:C18"/>
    <mergeCell ref="A19:C19"/>
    <mergeCell ref="A16:C16"/>
    <mergeCell ref="A17:C17"/>
    <mergeCell ref="A14:C14"/>
    <mergeCell ref="A15:C15"/>
    <mergeCell ref="A12:C12"/>
    <mergeCell ref="A13:C13"/>
    <mergeCell ref="A20:C20"/>
    <mergeCell ref="A24:C24"/>
    <mergeCell ref="A25:C25"/>
    <mergeCell ref="A26:C26"/>
    <mergeCell ref="A31:C31"/>
  </mergeCells>
  <phoneticPr fontId="124" type="noConversion"/>
  <pageMargins left="0.25" right="0" top="0.25" bottom="0.4074999988079071" header="0" footer="0"/>
  <pageSetup paperSize="9" firstPageNumber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97"/>
  <sheetViews>
    <sheetView showOutlineSymbols="0" topLeftCell="A17" workbookViewId="0">
      <selection activeCell="G41" sqref="G41"/>
    </sheetView>
  </sheetViews>
  <sheetFormatPr defaultColWidth="6.85546875" defaultRowHeight="15"/>
  <cols>
    <col min="1" max="1" width="17.28515625" style="1015" bestFit="1" customWidth="1"/>
    <col min="2" max="2" width="6" style="1015" customWidth="1"/>
    <col min="3" max="3" width="43.85546875" style="1015" bestFit="1" customWidth="1"/>
    <col min="4" max="4" width="20.28515625" style="1015" customWidth="1"/>
    <col min="5" max="5" width="15" style="1015" customWidth="1"/>
    <col min="6" max="6" width="6" style="1015" customWidth="1"/>
    <col min="7" max="8" width="22.85546875" style="1067" customWidth="1"/>
    <col min="9" max="9" width="22.85546875" style="1015" customWidth="1"/>
    <col min="10" max="16384" width="6.85546875" style="1015"/>
  </cols>
  <sheetData>
    <row r="1" spans="1:9" ht="20.25" customHeight="1"/>
    <row r="2" spans="1:9" ht="11.45" customHeight="1">
      <c r="A2" s="1016" t="s">
        <v>822</v>
      </c>
      <c r="C2" s="1016" t="s">
        <v>821</v>
      </c>
      <c r="D2" s="1020" t="s">
        <v>820</v>
      </c>
      <c r="E2" s="1020"/>
      <c r="F2" s="1020"/>
      <c r="G2" s="1068" t="s">
        <v>819</v>
      </c>
      <c r="H2" s="1068"/>
      <c r="I2" s="1020"/>
    </row>
    <row r="3" spans="1:9" ht="19.350000000000001" customHeight="1"/>
    <row r="4" spans="1:9" ht="23.25" customHeight="1">
      <c r="A4" s="1017" t="s">
        <v>818</v>
      </c>
      <c r="B4" s="1017"/>
    </row>
    <row r="5" spans="1:9" ht="14.25" customHeight="1">
      <c r="A5" s="1016" t="s">
        <v>817</v>
      </c>
      <c r="B5" s="1016"/>
      <c r="C5" s="1018" t="s">
        <v>816</v>
      </c>
      <c r="G5" s="1069">
        <v>6222023.3331000004</v>
      </c>
      <c r="H5" s="1069">
        <f>G5+G6</f>
        <v>12821946.656514</v>
      </c>
      <c r="I5" s="1023"/>
    </row>
    <row r="6" spans="1:9" ht="14.25" customHeight="1">
      <c r="A6" s="1016" t="s">
        <v>815</v>
      </c>
      <c r="B6" s="1016"/>
      <c r="C6" s="1018" t="s">
        <v>199</v>
      </c>
      <c r="G6" s="1069">
        <v>6599923.3234140007</v>
      </c>
      <c r="H6" s="1069"/>
      <c r="I6" s="1023"/>
    </row>
    <row r="7" spans="1:9" ht="14.25" customHeight="1">
      <c r="A7" s="1016" t="s">
        <v>814</v>
      </c>
      <c r="B7" s="1016"/>
      <c r="C7" s="1018" t="s">
        <v>813</v>
      </c>
      <c r="G7" s="1069">
        <v>110000</v>
      </c>
      <c r="H7" s="1069">
        <f>G7</f>
        <v>110000</v>
      </c>
      <c r="I7" s="1023"/>
    </row>
    <row r="8" spans="1:9" ht="14.25" customHeight="1">
      <c r="A8" s="1016" t="s">
        <v>812</v>
      </c>
      <c r="B8" s="1016"/>
      <c r="C8" s="1018" t="s">
        <v>811</v>
      </c>
      <c r="G8" s="1069">
        <v>328.29</v>
      </c>
      <c r="H8" s="1069">
        <f>G8</f>
        <v>328.29</v>
      </c>
      <c r="I8" s="1023"/>
    </row>
    <row r="9" spans="1:9" ht="17.25" customHeight="1">
      <c r="A9" s="1016" t="s">
        <v>810</v>
      </c>
      <c r="B9" s="1016"/>
      <c r="C9" s="1018" t="s">
        <v>809</v>
      </c>
      <c r="G9" s="1069"/>
      <c r="H9" s="1069"/>
      <c r="I9" s="1023"/>
    </row>
    <row r="10" spans="1:9" ht="12" customHeight="1">
      <c r="G10" s="1070">
        <f>SUM(G5:G9)</f>
        <v>12932274.946513999</v>
      </c>
      <c r="H10" s="1070">
        <f>SUM(H5:H9)</f>
        <v>12932274.946513999</v>
      </c>
      <c r="I10" s="1024">
        <f>G10-H10</f>
        <v>0</v>
      </c>
    </row>
    <row r="11" spans="1:9" ht="18" customHeight="1"/>
    <row r="12" spans="1:9" ht="23.25" customHeight="1">
      <c r="A12" s="1017" t="s">
        <v>749</v>
      </c>
      <c r="B12" s="1017"/>
      <c r="C12" s="1017"/>
    </row>
    <row r="13" spans="1:9" ht="14.25" customHeight="1">
      <c r="A13" s="1016" t="s">
        <v>808</v>
      </c>
      <c r="B13" s="1016"/>
      <c r="C13" s="1018" t="s">
        <v>807</v>
      </c>
      <c r="D13" s="1051">
        <v>1644160</v>
      </c>
      <c r="E13" s="1051">
        <f>D13+D14+D15+D16+D17+D18+D19+D20+D21+D22+D23+D24+D25</f>
        <v>15660041.99</v>
      </c>
      <c r="F13" s="1021"/>
    </row>
    <row r="14" spans="1:9" ht="14.25" customHeight="1">
      <c r="A14" s="1016" t="s">
        <v>806</v>
      </c>
      <c r="B14" s="1016"/>
      <c r="C14" s="1018" t="s">
        <v>200</v>
      </c>
      <c r="D14" s="1051">
        <v>1125820</v>
      </c>
      <c r="E14" s="1021"/>
      <c r="F14" s="1021"/>
    </row>
    <row r="15" spans="1:9" ht="14.25" customHeight="1">
      <c r="A15" s="1016" t="s">
        <v>201</v>
      </c>
      <c r="B15" s="1016"/>
      <c r="C15" s="1018" t="s">
        <v>796</v>
      </c>
      <c r="D15" s="1051">
        <v>62000</v>
      </c>
      <c r="E15" s="1021"/>
      <c r="F15" s="1021"/>
    </row>
    <row r="16" spans="1:9" ht="14.25" customHeight="1">
      <c r="A16" s="1016" t="s">
        <v>805</v>
      </c>
      <c r="B16" s="1016"/>
      <c r="C16" s="1018" t="s">
        <v>202</v>
      </c>
      <c r="D16" s="1051">
        <v>2500</v>
      </c>
      <c r="E16" s="1021"/>
      <c r="F16" s="1021"/>
    </row>
    <row r="17" spans="1:7" ht="14.25" customHeight="1">
      <c r="A17" s="1016" t="s">
        <v>804</v>
      </c>
      <c r="B17" s="1016"/>
      <c r="C17" s="1018" t="s">
        <v>203</v>
      </c>
      <c r="D17" s="1051">
        <v>6943333.3200000003</v>
      </c>
      <c r="E17" s="1021"/>
      <c r="F17" s="1021"/>
    </row>
    <row r="18" spans="1:7" ht="14.25" customHeight="1">
      <c r="A18" s="1016" t="s">
        <v>802</v>
      </c>
      <c r="B18" s="1016"/>
      <c r="C18" s="1018" t="s">
        <v>204</v>
      </c>
      <c r="D18" s="1051">
        <v>3333333.31</v>
      </c>
      <c r="E18" s="1021"/>
      <c r="F18" s="1021"/>
    </row>
    <row r="19" spans="1:7" ht="14.25" customHeight="1">
      <c r="A19" s="1016" t="s">
        <v>205</v>
      </c>
      <c r="B19" s="1016"/>
      <c r="C19" s="1018" t="s">
        <v>206</v>
      </c>
      <c r="D19" s="1051">
        <v>466662</v>
      </c>
      <c r="E19" s="1021"/>
      <c r="F19" s="1021"/>
    </row>
    <row r="20" spans="1:7" ht="14.25" customHeight="1">
      <c r="A20" s="1016" t="s">
        <v>207</v>
      </c>
      <c r="B20" s="1016"/>
      <c r="C20" s="1018" t="s">
        <v>208</v>
      </c>
      <c r="D20" s="1051">
        <v>1204562</v>
      </c>
      <c r="E20" s="1021"/>
      <c r="F20" s="1021"/>
    </row>
    <row r="21" spans="1:7" ht="14.25" customHeight="1">
      <c r="A21" s="1016" t="s">
        <v>209</v>
      </c>
      <c r="B21" s="1016"/>
      <c r="C21" s="1018" t="s">
        <v>210</v>
      </c>
      <c r="D21" s="1051">
        <v>629550</v>
      </c>
      <c r="E21" s="1021"/>
      <c r="F21" s="1021"/>
    </row>
    <row r="22" spans="1:7" ht="14.25" customHeight="1">
      <c r="A22" s="1016" t="s">
        <v>801</v>
      </c>
      <c r="B22" s="1016"/>
      <c r="C22" s="1018" t="s">
        <v>799</v>
      </c>
      <c r="D22" s="1051">
        <v>177336.66</v>
      </c>
      <c r="E22" s="1021"/>
      <c r="F22" s="1021"/>
    </row>
    <row r="23" spans="1:7" ht="14.25" customHeight="1">
      <c r="A23" s="1016" t="s">
        <v>800</v>
      </c>
      <c r="B23" s="1016"/>
      <c r="C23" s="1018" t="s">
        <v>211</v>
      </c>
      <c r="D23" s="1051">
        <v>8237.5</v>
      </c>
      <c r="E23" s="1021"/>
      <c r="F23" s="1021"/>
    </row>
    <row r="24" spans="1:7" ht="14.25" customHeight="1">
      <c r="A24" s="1016" t="s">
        <v>798</v>
      </c>
      <c r="B24" s="1016"/>
      <c r="C24" s="1018" t="s">
        <v>212</v>
      </c>
      <c r="D24" s="1051">
        <v>37047.199999999997</v>
      </c>
      <c r="E24" s="1021"/>
      <c r="F24" s="1021"/>
    </row>
    <row r="25" spans="1:7" ht="14.25" customHeight="1">
      <c r="A25" s="1016" t="s">
        <v>213</v>
      </c>
      <c r="B25" s="1016"/>
      <c r="C25" s="1018" t="s">
        <v>214</v>
      </c>
      <c r="D25" s="1051">
        <v>25500</v>
      </c>
      <c r="E25" s="1021"/>
      <c r="F25" s="1021"/>
    </row>
    <row r="26" spans="1:7" ht="14.25" customHeight="1">
      <c r="A26" s="1016" t="s">
        <v>795</v>
      </c>
      <c r="B26" s="1016"/>
      <c r="C26" s="1018" t="s">
        <v>794</v>
      </c>
      <c r="D26" s="1048">
        <v>1590990</v>
      </c>
      <c r="E26" s="1048">
        <f>D26+D38</f>
        <v>2037990</v>
      </c>
      <c r="F26" s="1021"/>
      <c r="G26" s="1071">
        <f>E13+E28+E33+E42</f>
        <v>19943522.130000003</v>
      </c>
    </row>
    <row r="27" spans="1:7" ht="14.25" customHeight="1">
      <c r="A27" s="1016" t="s">
        <v>793</v>
      </c>
      <c r="B27" s="1016"/>
      <c r="C27" s="1018" t="s">
        <v>792</v>
      </c>
      <c r="D27" s="1051">
        <v>1007430</v>
      </c>
      <c r="E27" s="1021"/>
      <c r="F27" s="1021"/>
    </row>
    <row r="28" spans="1:7" ht="14.25" customHeight="1">
      <c r="A28" s="1016" t="s">
        <v>791</v>
      </c>
      <c r="B28" s="1016"/>
      <c r="C28" s="1018" t="s">
        <v>790</v>
      </c>
      <c r="D28" s="1051">
        <v>930602.16</v>
      </c>
      <c r="E28" s="1051">
        <f>D28+D27+D29</f>
        <v>2056663.08</v>
      </c>
      <c r="F28" s="1021"/>
    </row>
    <row r="29" spans="1:7" ht="14.25" customHeight="1">
      <c r="A29" s="1016" t="s">
        <v>789</v>
      </c>
      <c r="B29" s="1016"/>
      <c r="C29" s="1018" t="s">
        <v>1528</v>
      </c>
      <c r="D29" s="1021">
        <f>798998.76-680367.84</f>
        <v>118630.92000000004</v>
      </c>
      <c r="E29" s="1021"/>
      <c r="F29" s="1021"/>
    </row>
    <row r="30" spans="1:7" ht="14.25" customHeight="1">
      <c r="A30" s="1016"/>
      <c r="B30" s="1016"/>
      <c r="C30" s="1053" t="s">
        <v>271</v>
      </c>
      <c r="D30" s="1055">
        <v>680367.84</v>
      </c>
      <c r="E30" s="1055">
        <f>D30</f>
        <v>680367.84</v>
      </c>
      <c r="F30" s="1021"/>
    </row>
    <row r="31" spans="1:7" ht="14.25" customHeight="1">
      <c r="A31" s="1016" t="s">
        <v>215</v>
      </c>
      <c r="B31" s="1016"/>
      <c r="C31" s="1018" t="s">
        <v>216</v>
      </c>
      <c r="D31" s="1051">
        <v>6124</v>
      </c>
      <c r="E31" s="1021"/>
      <c r="F31" s="1021"/>
    </row>
    <row r="32" spans="1:7" ht="14.25" customHeight="1">
      <c r="A32" s="1016" t="s">
        <v>788</v>
      </c>
      <c r="B32" s="1016"/>
      <c r="C32" s="1093" t="s">
        <v>787</v>
      </c>
      <c r="D32" s="1052">
        <v>53224.99</v>
      </c>
      <c r="E32" s="1052">
        <f>D32</f>
        <v>53224.99</v>
      </c>
      <c r="F32" s="1021"/>
    </row>
    <row r="33" spans="1:6" ht="14.25" customHeight="1">
      <c r="A33" s="1016" t="s">
        <v>217</v>
      </c>
      <c r="B33" s="1016"/>
      <c r="C33" s="1018" t="s">
        <v>218</v>
      </c>
      <c r="D33" s="1051">
        <v>261013.80000000002</v>
      </c>
      <c r="E33" s="1051">
        <f>D33+D34+D35+D31</f>
        <v>287079.46000000002</v>
      </c>
      <c r="F33" s="1021"/>
    </row>
    <row r="34" spans="1:6" ht="14.25" customHeight="1">
      <c r="A34" s="1016" t="s">
        <v>219</v>
      </c>
      <c r="B34" s="1016"/>
      <c r="C34" s="1018" t="s">
        <v>220</v>
      </c>
      <c r="D34" s="1051">
        <v>13983.33</v>
      </c>
      <c r="E34" s="1021"/>
      <c r="F34" s="1021"/>
    </row>
    <row r="35" spans="1:6" ht="14.25" customHeight="1">
      <c r="A35" s="1016" t="s">
        <v>221</v>
      </c>
      <c r="B35" s="1016"/>
      <c r="C35" s="1018" t="s">
        <v>222</v>
      </c>
      <c r="D35" s="1051">
        <v>5958.33</v>
      </c>
      <c r="E35" s="1021"/>
      <c r="F35" s="1021"/>
    </row>
    <row r="36" spans="1:6" ht="14.25" customHeight="1">
      <c r="A36" s="1016" t="s">
        <v>786</v>
      </c>
      <c r="B36" s="1016"/>
      <c r="C36" s="1018" t="s">
        <v>785</v>
      </c>
      <c r="D36" s="1049">
        <v>7984265</v>
      </c>
      <c r="E36" s="1049">
        <f>D36</f>
        <v>7984265</v>
      </c>
      <c r="F36" s="1021"/>
    </row>
    <row r="37" spans="1:6" ht="14.25" customHeight="1">
      <c r="A37" s="1016" t="s">
        <v>784</v>
      </c>
      <c r="B37" s="1016"/>
      <c r="C37" s="1018" t="s">
        <v>783</v>
      </c>
      <c r="D37" s="1050">
        <v>1330859</v>
      </c>
      <c r="E37" s="1050">
        <f>D37</f>
        <v>1330859</v>
      </c>
      <c r="F37" s="1021"/>
    </row>
    <row r="38" spans="1:6" ht="14.25" customHeight="1">
      <c r="A38" s="1016" t="s">
        <v>782</v>
      </c>
      <c r="B38" s="1016"/>
      <c r="C38" s="1018" t="s">
        <v>223</v>
      </c>
      <c r="D38" s="1048">
        <v>447000</v>
      </c>
      <c r="E38" s="1021"/>
      <c r="F38" s="1021"/>
    </row>
    <row r="39" spans="1:6" ht="14.25" customHeight="1">
      <c r="A39" s="1016" t="s">
        <v>781</v>
      </c>
      <c r="B39" s="1016"/>
      <c r="C39" s="1018" t="s">
        <v>780</v>
      </c>
      <c r="D39" s="1051">
        <v>38465.839999999967</v>
      </c>
      <c r="E39" s="1021"/>
      <c r="F39" s="1021"/>
    </row>
    <row r="40" spans="1:6" ht="14.25" customHeight="1">
      <c r="A40" s="1016" t="s">
        <v>779</v>
      </c>
      <c r="B40" s="1016"/>
      <c r="C40" s="1093" t="s">
        <v>224</v>
      </c>
      <c r="D40" s="1047">
        <v>6870962.540000001</v>
      </c>
      <c r="E40" s="1047">
        <f>D40</f>
        <v>6870962.540000001</v>
      </c>
      <c r="F40" s="1021"/>
    </row>
    <row r="41" spans="1:6" ht="14.25" customHeight="1">
      <c r="A41" s="1016" t="s">
        <v>778</v>
      </c>
      <c r="B41" s="1016"/>
      <c r="C41" s="1018" t="s">
        <v>225</v>
      </c>
      <c r="D41" s="1051">
        <v>765982.85</v>
      </c>
      <c r="E41" s="1021"/>
      <c r="F41" s="1021"/>
    </row>
    <row r="42" spans="1:6" ht="14.25" customHeight="1">
      <c r="A42" s="1016" t="s">
        <v>777</v>
      </c>
      <c r="B42" s="1016"/>
      <c r="C42" s="1018" t="s">
        <v>797</v>
      </c>
      <c r="D42" s="1051">
        <v>185335.68999999997</v>
      </c>
      <c r="E42" s="1051">
        <f>D41+D42+D43+D44+D45+D46+D39</f>
        <v>1939737.6000000001</v>
      </c>
      <c r="F42" s="1021"/>
    </row>
    <row r="43" spans="1:6" ht="14.25" customHeight="1">
      <c r="A43" s="1016" t="s">
        <v>776</v>
      </c>
      <c r="B43" s="1016"/>
      <c r="C43" s="1018" t="s">
        <v>226</v>
      </c>
      <c r="D43" s="1051">
        <v>607750</v>
      </c>
      <c r="E43" s="1021"/>
      <c r="F43" s="1021"/>
    </row>
    <row r="44" spans="1:6" ht="14.25" customHeight="1">
      <c r="A44" s="1016" t="s">
        <v>775</v>
      </c>
      <c r="B44" s="1016"/>
      <c r="C44" s="1018" t="s">
        <v>227</v>
      </c>
      <c r="D44" s="1051">
        <v>865</v>
      </c>
      <c r="E44" s="1021"/>
      <c r="F44" s="1021"/>
    </row>
    <row r="45" spans="1:6" ht="14.25" customHeight="1">
      <c r="A45" s="1016" t="s">
        <v>774</v>
      </c>
      <c r="B45" s="1016"/>
      <c r="C45" s="1018" t="s">
        <v>228</v>
      </c>
      <c r="D45" s="1051">
        <v>5837.5</v>
      </c>
      <c r="E45" s="1021"/>
      <c r="F45" s="1021"/>
    </row>
    <row r="46" spans="1:6" ht="14.25" customHeight="1">
      <c r="A46" s="1016" t="s">
        <v>773</v>
      </c>
      <c r="B46" s="1016"/>
      <c r="C46" s="1018" t="s">
        <v>229</v>
      </c>
      <c r="D46" s="1051">
        <v>335500.71999999997</v>
      </c>
      <c r="E46" s="1021"/>
      <c r="F46" s="1021"/>
    </row>
    <row r="47" spans="1:6" ht="14.25" customHeight="1">
      <c r="A47" s="1016" t="s">
        <v>772</v>
      </c>
      <c r="B47" s="1016"/>
      <c r="C47" s="1018" t="s">
        <v>771</v>
      </c>
      <c r="D47" s="1021">
        <v>173117.08</v>
      </c>
      <c r="E47" s="1021">
        <f>D47</f>
        <v>173117.08</v>
      </c>
      <c r="F47" s="1021"/>
    </row>
    <row r="48" spans="1:6" ht="14.25" customHeight="1">
      <c r="A48" s="1016" t="s">
        <v>770</v>
      </c>
      <c r="B48" s="1016"/>
      <c r="C48" s="1018" t="s">
        <v>769</v>
      </c>
      <c r="D48" s="1021">
        <v>1837369</v>
      </c>
      <c r="E48" s="1021">
        <f>D48</f>
        <v>1837369</v>
      </c>
      <c r="F48" s="1021"/>
    </row>
    <row r="49" spans="1:9" ht="12" customHeight="1">
      <c r="A49" s="1016" t="s">
        <v>768</v>
      </c>
      <c r="B49" s="1016"/>
      <c r="C49" s="1018" t="s">
        <v>767</v>
      </c>
      <c r="D49" s="1021">
        <v>833577</v>
      </c>
      <c r="E49" s="1021">
        <f>D49</f>
        <v>833577</v>
      </c>
      <c r="F49" s="1021"/>
    </row>
    <row r="50" spans="1:9" ht="12" customHeight="1">
      <c r="D50" s="1022">
        <f>SUM(D13:D49)</f>
        <v>41745254.579999998</v>
      </c>
      <c r="E50" s="1022">
        <f>SUM(E13:E49)</f>
        <v>41745254.579999998</v>
      </c>
      <c r="F50" s="1022"/>
      <c r="G50" s="1071">
        <f>D50-E50</f>
        <v>0</v>
      </c>
    </row>
    <row r="51" spans="1:9" ht="12" customHeight="1"/>
    <row r="52" spans="1:9" ht="12" customHeight="1">
      <c r="A52" s="1019" t="s">
        <v>766</v>
      </c>
      <c r="B52" s="1019"/>
      <c r="G52" s="1070">
        <f>G10-D50</f>
        <v>-28812979.633485999</v>
      </c>
      <c r="H52" s="1070"/>
      <c r="I52" s="1022"/>
    </row>
    <row r="53" spans="1:9" ht="15" customHeight="1">
      <c r="G53" s="1071">
        <f>E40</f>
        <v>6870962.540000001</v>
      </c>
    </row>
    <row r="54" spans="1:9" ht="15" customHeight="1">
      <c r="G54" s="1071">
        <f>G52+G53</f>
        <v>-21942017.093485996</v>
      </c>
    </row>
    <row r="55" spans="1:9" ht="15" customHeight="1">
      <c r="D55" s="1015">
        <v>29118589.59</v>
      </c>
    </row>
    <row r="56" spans="1:9" ht="15" customHeight="1">
      <c r="D56" s="1025">
        <f>D50-D55</f>
        <v>12626664.989999998</v>
      </c>
    </row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0.5" customHeight="1"/>
  </sheetData>
  <phoneticPr fontId="124" type="noConversion"/>
  <pageMargins left="0.25" right="0" top="0.25" bottom="0.4074999988079071" header="0" footer="0"/>
  <pageSetup paperSize="9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rgb="FFFFCCFF"/>
  </sheetPr>
  <dimension ref="B1:AC109"/>
  <sheetViews>
    <sheetView showGridLines="0" defaultGridColor="0" colorId="18" zoomScale="70" zoomScaleNormal="70" zoomScaleSheetLayoutView="75" workbookViewId="0">
      <pane xSplit="3" ySplit="4" topLeftCell="D69" activePane="bottomRight" state="frozen"/>
      <selection pane="topRight" activeCell="D1" sqref="D1"/>
      <selection pane="bottomLeft" activeCell="A5" sqref="A5"/>
      <selection pane="bottomRight" activeCell="S108" sqref="S108"/>
    </sheetView>
  </sheetViews>
  <sheetFormatPr defaultRowHeight="12.75" outlineLevelRow="1"/>
  <cols>
    <col min="1" max="1" width="2.140625" style="114" customWidth="1"/>
    <col min="2" max="3" width="6.5703125" style="114" customWidth="1"/>
    <col min="4" max="4" width="50.28515625" style="114" customWidth="1"/>
    <col min="5" max="5" width="47.5703125" style="114" hidden="1" customWidth="1"/>
    <col min="6" max="6" width="47.5703125" style="551" hidden="1" customWidth="1"/>
    <col min="7" max="7" width="9" style="552" customWidth="1"/>
    <col min="8" max="8" width="19.7109375" style="1152" customWidth="1"/>
    <col min="9" max="9" width="17.140625" style="552" customWidth="1"/>
    <col min="10" max="11" width="15.85546875" style="114" hidden="1" customWidth="1"/>
    <col min="12" max="12" width="16.28515625" style="114" hidden="1" customWidth="1"/>
    <col min="13" max="13" width="6.42578125" style="114" bestFit="1" customWidth="1"/>
    <col min="14" max="14" width="6.42578125" style="114" customWidth="1"/>
    <col min="15" max="15" width="51.7109375" style="114" bestFit="1" customWidth="1"/>
    <col min="16" max="16" width="45.5703125" style="114" hidden="1" customWidth="1"/>
    <col min="17" max="17" width="46.42578125" style="551" hidden="1" customWidth="1"/>
    <col min="18" max="18" width="11.42578125" style="114" customWidth="1"/>
    <col min="19" max="19" width="16.5703125" style="114" customWidth="1"/>
    <col min="20" max="20" width="16" style="114" customWidth="1"/>
    <col min="21" max="22" width="17.5703125" style="114" hidden="1" customWidth="1"/>
    <col min="23" max="23" width="18.5703125" style="114" hidden="1" customWidth="1"/>
    <col min="24" max="24" width="15.5703125" style="512" hidden="1" customWidth="1"/>
    <col min="25" max="25" width="13" style="75" hidden="1" customWidth="1"/>
    <col min="26" max="26" width="12.5703125" style="75" hidden="1" customWidth="1"/>
    <col min="27" max="27" width="13.7109375" style="75" bestFit="1" customWidth="1"/>
    <col min="28" max="28" width="14.140625" style="75" bestFit="1" customWidth="1"/>
    <col min="29" max="29" width="9.140625" style="75"/>
    <col min="30" max="16384" width="9.140625" style="114"/>
  </cols>
  <sheetData>
    <row r="1" spans="2:29">
      <c r="B1" s="550"/>
      <c r="C1" s="550"/>
    </row>
    <row r="3" spans="2:29" s="558" customFormat="1" ht="17.25" hidden="1" customHeight="1" outlineLevel="1">
      <c r="B3" s="1684" t="s">
        <v>517</v>
      </c>
      <c r="C3" s="553"/>
      <c r="D3" s="1686" t="s">
        <v>518</v>
      </c>
      <c r="E3" s="1686" t="s">
        <v>519</v>
      </c>
      <c r="F3" s="554"/>
      <c r="G3" s="554"/>
      <c r="H3" s="1692" t="s">
        <v>520</v>
      </c>
      <c r="I3" s="1693"/>
      <c r="J3" s="1693"/>
      <c r="K3" s="1107"/>
      <c r="L3" s="1690" t="s">
        <v>3</v>
      </c>
      <c r="M3" s="1688" t="s">
        <v>521</v>
      </c>
      <c r="N3" s="555"/>
      <c r="O3" s="1688" t="s">
        <v>522</v>
      </c>
      <c r="P3" s="1688" t="s">
        <v>523</v>
      </c>
      <c r="Q3" s="555"/>
      <c r="R3" s="555"/>
      <c r="S3" s="555"/>
      <c r="T3" s="1247"/>
      <c r="U3" s="1237" t="s">
        <v>520</v>
      </c>
      <c r="V3" s="1269"/>
      <c r="W3" s="1700" t="s">
        <v>4</v>
      </c>
      <c r="X3" s="556"/>
      <c r="Y3" s="557"/>
      <c r="Z3" s="557"/>
      <c r="AA3" s="557"/>
      <c r="AB3" s="557"/>
      <c r="AC3" s="557"/>
    </row>
    <row r="4" spans="2:29" s="558" customFormat="1" ht="18.75" hidden="1" customHeight="1" outlineLevel="1" thickBot="1">
      <c r="B4" s="1685"/>
      <c r="C4" s="559"/>
      <c r="D4" s="1687"/>
      <c r="E4" s="1687"/>
      <c r="F4" s="560"/>
      <c r="G4" s="560" t="s">
        <v>1540</v>
      </c>
      <c r="H4" s="1153" t="s">
        <v>344</v>
      </c>
      <c r="I4" s="561" t="s">
        <v>269</v>
      </c>
      <c r="J4" s="561" t="s">
        <v>1395</v>
      </c>
      <c r="K4" s="1238"/>
      <c r="L4" s="1691"/>
      <c r="M4" s="1689"/>
      <c r="N4" s="562"/>
      <c r="O4" s="1689"/>
      <c r="P4" s="1689"/>
      <c r="Q4" s="562"/>
      <c r="R4" s="562" t="s">
        <v>1540</v>
      </c>
      <c r="S4" s="561" t="s">
        <v>344</v>
      </c>
      <c r="T4" s="1260" t="s">
        <v>269</v>
      </c>
      <c r="U4" s="1238" t="s">
        <v>1395</v>
      </c>
      <c r="V4" s="1270"/>
      <c r="W4" s="1701"/>
      <c r="X4" s="556"/>
      <c r="Y4" s="557"/>
      <c r="Z4" s="557"/>
      <c r="AA4" s="557"/>
      <c r="AB4" s="557"/>
      <c r="AC4" s="557"/>
    </row>
    <row r="5" spans="2:29" s="558" customFormat="1" ht="18" hidden="1" customHeight="1" outlineLevel="1">
      <c r="B5" s="1254"/>
      <c r="C5" s="1255"/>
      <c r="D5" s="568" t="s">
        <v>1303</v>
      </c>
      <c r="E5" s="1256" t="s">
        <v>524</v>
      </c>
      <c r="F5" s="1256"/>
      <c r="G5" s="1256"/>
      <c r="H5" s="1368">
        <f>SUM(H6+H14+H21)</f>
        <v>28648609.48</v>
      </c>
      <c r="I5" s="1258">
        <f>SUM(I6+I14+I21)</f>
        <v>18939909.455400001</v>
      </c>
      <c r="J5" s="1322"/>
      <c r="K5" s="539"/>
      <c r="L5" s="1323">
        <f>SUM(L6+L14+L21)</f>
        <v>-18939909.455400001</v>
      </c>
      <c r="M5" s="579" t="s">
        <v>525</v>
      </c>
      <c r="N5" s="568"/>
      <c r="O5" s="568" t="s">
        <v>526</v>
      </c>
      <c r="P5" s="1256" t="s">
        <v>527</v>
      </c>
      <c r="Q5" s="1256"/>
      <c r="R5" s="1257">
        <f>SUM(R6+R17+R22+R23)</f>
        <v>0</v>
      </c>
      <c r="S5" s="1258">
        <f>SUM(S6+S17+S22+S23)</f>
        <v>-73081937.266011998</v>
      </c>
      <c r="T5" s="1259">
        <f>SUM(T6+T17+T22+T23)</f>
        <v>-31256284.503485989</v>
      </c>
      <c r="U5" s="1239"/>
      <c r="V5" s="1271"/>
      <c r="W5" s="1005" t="e">
        <f>SUM(W6+W17+W22+W23)</f>
        <v>#REF!</v>
      </c>
      <c r="X5" s="556"/>
      <c r="Y5" s="557"/>
      <c r="Z5" s="557"/>
      <c r="AA5" s="557"/>
      <c r="AB5" s="557"/>
      <c r="AC5" s="557"/>
    </row>
    <row r="6" spans="2:29" s="558" customFormat="1" ht="18" hidden="1" customHeight="1" outlineLevel="1">
      <c r="B6" s="563" t="s">
        <v>528</v>
      </c>
      <c r="C6" s="564"/>
      <c r="D6" s="565" t="s">
        <v>529</v>
      </c>
      <c r="E6" s="565" t="s">
        <v>530</v>
      </c>
      <c r="F6" s="565"/>
      <c r="G6" s="566"/>
      <c r="H6" s="1369"/>
      <c r="I6" s="1370"/>
      <c r="J6" s="1324"/>
      <c r="K6" s="481"/>
      <c r="L6" s="1325"/>
      <c r="M6" s="564" t="s">
        <v>531</v>
      </c>
      <c r="N6" s="568"/>
      <c r="O6" s="569" t="s">
        <v>532</v>
      </c>
      <c r="P6" s="569" t="s">
        <v>533</v>
      </c>
      <c r="Q6" s="569"/>
      <c r="R6" s="536">
        <f>+R8+R9+R11+R15+R16</f>
        <v>0</v>
      </c>
      <c r="S6" s="1231">
        <f>+S8+S9+S11+S15+S16</f>
        <v>-73081937.266011998</v>
      </c>
      <c r="T6" s="1248">
        <f>+T8+T9+T11+T15+T16</f>
        <v>-31256284.503485989</v>
      </c>
      <c r="U6" s="1240"/>
      <c r="V6" s="1272"/>
      <c r="W6" s="1006">
        <f>+W8+W9+W11+W15+W16</f>
        <v>-31256284.503485989</v>
      </c>
      <c r="X6" s="556"/>
      <c r="Y6" s="557"/>
      <c r="Z6" s="557"/>
      <c r="AA6" s="557"/>
      <c r="AB6" s="557"/>
      <c r="AC6" s="557"/>
    </row>
    <row r="7" spans="2:29" s="558" customFormat="1" ht="18" hidden="1" customHeight="1" outlineLevel="1">
      <c r="B7" s="570" t="s">
        <v>534</v>
      </c>
      <c r="C7" s="571"/>
      <c r="D7" s="89" t="s">
        <v>535</v>
      </c>
      <c r="E7" s="565"/>
      <c r="F7" s="565"/>
      <c r="G7" s="566"/>
      <c r="H7" s="1369"/>
      <c r="I7" s="1370"/>
      <c r="J7" s="1326"/>
      <c r="K7" s="218"/>
      <c r="L7" s="1327"/>
      <c r="M7" s="571"/>
      <c r="N7" s="89"/>
      <c r="O7" s="89" t="s">
        <v>536</v>
      </c>
      <c r="P7" s="89" t="s">
        <v>537</v>
      </c>
      <c r="Q7" s="89"/>
      <c r="R7" s="89"/>
      <c r="S7" s="1232"/>
      <c r="T7" s="1249"/>
      <c r="U7" s="1241"/>
      <c r="V7" s="1245"/>
      <c r="W7" s="1007">
        <f>T7-U7</f>
        <v>0</v>
      </c>
      <c r="X7" s="556"/>
      <c r="Y7" s="557"/>
      <c r="Z7" s="557"/>
      <c r="AA7" s="557"/>
      <c r="AB7" s="557"/>
      <c r="AC7" s="557"/>
    </row>
    <row r="8" spans="2:29" s="558" customFormat="1" ht="18" hidden="1" customHeight="1" outlineLevel="1">
      <c r="B8" s="570" t="s">
        <v>538</v>
      </c>
      <c r="C8" s="571"/>
      <c r="D8" s="89" t="s">
        <v>539</v>
      </c>
      <c r="E8" s="89" t="s">
        <v>540</v>
      </c>
      <c r="F8" s="89"/>
      <c r="G8" s="572"/>
      <c r="H8" s="1371"/>
      <c r="I8" s="1372"/>
      <c r="J8" s="1326"/>
      <c r="K8" s="218"/>
      <c r="L8" s="1327"/>
      <c r="M8" s="571" t="s">
        <v>541</v>
      </c>
      <c r="N8" s="89"/>
      <c r="O8" s="89" t="s">
        <v>542</v>
      </c>
      <c r="P8" s="89" t="s">
        <v>543</v>
      </c>
      <c r="Q8" s="89"/>
      <c r="R8" s="89"/>
      <c r="S8" s="1233">
        <f>'AP 13'!I10</f>
        <v>100000</v>
      </c>
      <c r="T8" s="1250">
        <f>'A P MC BM 12'!I10</f>
        <v>100000</v>
      </c>
      <c r="U8" s="1241"/>
      <c r="V8" s="1245"/>
      <c r="W8" s="1008">
        <f t="shared" ref="W8:W15" si="0">T8-U8</f>
        <v>100000</v>
      </c>
      <c r="X8" s="556"/>
      <c r="Y8" s="557"/>
      <c r="Z8" s="557"/>
      <c r="AA8" s="557"/>
      <c r="AB8" s="557"/>
      <c r="AC8" s="557"/>
    </row>
    <row r="9" spans="2:29" s="558" customFormat="1" ht="18" hidden="1" customHeight="1" outlineLevel="1">
      <c r="B9" s="570" t="s">
        <v>544</v>
      </c>
      <c r="C9" s="571"/>
      <c r="D9" s="89" t="s">
        <v>545</v>
      </c>
      <c r="E9" s="89" t="s">
        <v>546</v>
      </c>
      <c r="F9" s="89"/>
      <c r="G9" s="572"/>
      <c r="H9" s="1371"/>
      <c r="I9" s="1372"/>
      <c r="J9" s="1326"/>
      <c r="K9" s="218"/>
      <c r="L9" s="1327"/>
      <c r="M9" s="571" t="s">
        <v>547</v>
      </c>
      <c r="N9" s="89"/>
      <c r="O9" s="89" t="s">
        <v>548</v>
      </c>
      <c r="P9" s="89" t="s">
        <v>549</v>
      </c>
      <c r="Q9" s="89"/>
      <c r="R9" s="89"/>
      <c r="S9" s="1232"/>
      <c r="T9" s="1249"/>
      <c r="U9" s="1241"/>
      <c r="V9" s="1245"/>
      <c r="W9" s="1007">
        <f t="shared" si="0"/>
        <v>0</v>
      </c>
      <c r="X9" s="556"/>
      <c r="Y9" s="557"/>
      <c r="Z9" s="557"/>
      <c r="AA9" s="557"/>
      <c r="AB9" s="557"/>
      <c r="AC9" s="557"/>
    </row>
    <row r="10" spans="2:29" s="558" customFormat="1" ht="18" hidden="1" customHeight="1" outlineLevel="1">
      <c r="B10" s="573" t="s">
        <v>550</v>
      </c>
      <c r="C10" s="574"/>
      <c r="D10" s="575" t="s">
        <v>551</v>
      </c>
      <c r="E10" s="89" t="s">
        <v>552</v>
      </c>
      <c r="F10" s="575"/>
      <c r="G10" s="576"/>
      <c r="H10" s="1373"/>
      <c r="I10" s="1374"/>
      <c r="J10" s="1328"/>
      <c r="K10" s="535"/>
      <c r="L10" s="1329"/>
      <c r="M10" s="571" t="s">
        <v>553</v>
      </c>
      <c r="N10" s="89"/>
      <c r="O10" s="89" t="s">
        <v>554</v>
      </c>
      <c r="P10" s="89" t="s">
        <v>555</v>
      </c>
      <c r="Q10" s="89"/>
      <c r="R10" s="89"/>
      <c r="S10" s="1232"/>
      <c r="T10" s="1249"/>
      <c r="U10" s="1241"/>
      <c r="V10" s="1245"/>
      <c r="W10" s="1007">
        <f t="shared" si="0"/>
        <v>0</v>
      </c>
      <c r="X10" s="556"/>
      <c r="Y10" s="557"/>
      <c r="Z10" s="557"/>
      <c r="AA10" s="557"/>
      <c r="AB10" s="557"/>
      <c r="AC10" s="557"/>
    </row>
    <row r="11" spans="2:29" s="558" customFormat="1" ht="18" hidden="1" customHeight="1" outlineLevel="1">
      <c r="B11" s="570" t="s">
        <v>556</v>
      </c>
      <c r="C11" s="571"/>
      <c r="D11" s="89" t="s">
        <v>557</v>
      </c>
      <c r="E11" s="575" t="s">
        <v>558</v>
      </c>
      <c r="F11" s="575"/>
      <c r="G11" s="576"/>
      <c r="H11" s="1373"/>
      <c r="I11" s="1374"/>
      <c r="J11" s="1326"/>
      <c r="K11" s="218"/>
      <c r="L11" s="1327"/>
      <c r="M11" s="571" t="s">
        <v>559</v>
      </c>
      <c r="N11" s="89"/>
      <c r="O11" s="89" t="s">
        <v>560</v>
      </c>
      <c r="P11" s="89" t="s">
        <v>561</v>
      </c>
      <c r="Q11" s="89"/>
      <c r="R11" s="217">
        <f>SUM(R12:R14)</f>
        <v>0</v>
      </c>
      <c r="S11" s="1233">
        <f>SUM(S12:S14)</f>
        <v>0</v>
      </c>
      <c r="T11" s="1250">
        <f>SUM(T12:T14)</f>
        <v>0</v>
      </c>
      <c r="U11" s="1241"/>
      <c r="V11" s="1245"/>
      <c r="W11" s="1009">
        <f>SUM(W12:W14)</f>
        <v>0</v>
      </c>
      <c r="X11" s="556"/>
      <c r="Y11" s="577"/>
      <c r="Z11" s="557"/>
      <c r="AA11" s="557"/>
      <c r="AB11" s="557"/>
      <c r="AC11" s="557"/>
    </row>
    <row r="12" spans="2:29" s="558" customFormat="1" ht="18" hidden="1" customHeight="1" outlineLevel="1">
      <c r="B12" s="570" t="s">
        <v>562</v>
      </c>
      <c r="C12" s="571"/>
      <c r="D12" s="89" t="s">
        <v>563</v>
      </c>
      <c r="E12" s="89" t="s">
        <v>564</v>
      </c>
      <c r="F12" s="89"/>
      <c r="G12" s="572"/>
      <c r="H12" s="1371"/>
      <c r="I12" s="1372"/>
      <c r="J12" s="1326"/>
      <c r="K12" s="218"/>
      <c r="L12" s="1327"/>
      <c r="M12" s="571"/>
      <c r="N12" s="89"/>
      <c r="O12" s="89" t="s">
        <v>565</v>
      </c>
      <c r="P12" s="89" t="s">
        <v>566</v>
      </c>
      <c r="Q12" s="89"/>
      <c r="R12" s="89"/>
      <c r="S12" s="1232"/>
      <c r="T12" s="1249"/>
      <c r="U12" s="1241"/>
      <c r="V12" s="1245"/>
      <c r="W12" s="1007">
        <f t="shared" si="0"/>
        <v>0</v>
      </c>
      <c r="X12" s="556"/>
      <c r="Y12" s="557"/>
      <c r="Z12" s="557"/>
      <c r="AA12" s="557"/>
      <c r="AB12" s="557"/>
      <c r="AC12" s="557"/>
    </row>
    <row r="13" spans="2:29" s="558" customFormat="1" ht="18" hidden="1" customHeight="1" outlineLevel="1">
      <c r="B13" s="570"/>
      <c r="C13" s="571"/>
      <c r="D13" s="89"/>
      <c r="E13" s="89"/>
      <c r="F13" s="89"/>
      <c r="G13" s="572"/>
      <c r="H13" s="1371"/>
      <c r="I13" s="1372"/>
      <c r="J13" s="1326"/>
      <c r="K13" s="218"/>
      <c r="L13" s="1327"/>
      <c r="M13" s="571"/>
      <c r="N13" s="89"/>
      <c r="O13" s="89" t="s">
        <v>567</v>
      </c>
      <c r="P13" s="89" t="s">
        <v>568</v>
      </c>
      <c r="Q13" s="89"/>
      <c r="R13" s="89"/>
      <c r="S13" s="1232"/>
      <c r="T13" s="1249"/>
      <c r="U13" s="1241"/>
      <c r="V13" s="1245"/>
      <c r="W13" s="1007">
        <f t="shared" si="0"/>
        <v>0</v>
      </c>
      <c r="X13" s="556"/>
      <c r="Y13" s="557"/>
      <c r="Z13" s="557"/>
      <c r="AA13" s="557"/>
      <c r="AB13" s="557"/>
      <c r="AC13" s="557"/>
    </row>
    <row r="14" spans="2:29" s="558" customFormat="1" ht="18" hidden="1" customHeight="1" outlineLevel="1">
      <c r="B14" s="578" t="s">
        <v>569</v>
      </c>
      <c r="C14" s="579"/>
      <c r="D14" s="569" t="s">
        <v>570</v>
      </c>
      <c r="E14" s="569" t="s">
        <v>571</v>
      </c>
      <c r="F14" s="569"/>
      <c r="G14" s="580"/>
      <c r="H14" s="1368">
        <f>SUM(H15:H20)</f>
        <v>25381031.18</v>
      </c>
      <c r="I14" s="1258">
        <f>SUM(I15:I20)</f>
        <v>16002468.915400002</v>
      </c>
      <c r="J14" s="1330"/>
      <c r="K14" s="787"/>
      <c r="L14" s="1331">
        <f>SUM(L15:L20)</f>
        <v>-16002468.915400002</v>
      </c>
      <c r="M14" s="571"/>
      <c r="N14" s="89"/>
      <c r="O14" s="89" t="s">
        <v>572</v>
      </c>
      <c r="P14" s="89" t="s">
        <v>573</v>
      </c>
      <c r="Q14" s="89"/>
      <c r="R14" s="89"/>
      <c r="S14" s="1234"/>
      <c r="T14" s="1251"/>
      <c r="U14" s="1241"/>
      <c r="V14" s="1245"/>
      <c r="W14" s="1007">
        <f t="shared" si="0"/>
        <v>0</v>
      </c>
      <c r="X14" s="995">
        <f>T14-U14-U16</f>
        <v>0</v>
      </c>
      <c r="Y14" s="557"/>
      <c r="Z14" s="557"/>
      <c r="AA14" s="557"/>
      <c r="AB14" s="557"/>
      <c r="AC14" s="557"/>
    </row>
    <row r="15" spans="2:29" s="558" customFormat="1" ht="18" hidden="1" customHeight="1" outlineLevel="1">
      <c r="B15" s="570" t="s">
        <v>574</v>
      </c>
      <c r="C15" s="571"/>
      <c r="D15" s="89" t="s">
        <v>535</v>
      </c>
      <c r="E15" s="89" t="s">
        <v>575</v>
      </c>
      <c r="F15" s="89"/>
      <c r="G15" s="572"/>
      <c r="H15" s="1371">
        <f>'AP 13'!F25</f>
        <v>1378358</v>
      </c>
      <c r="I15" s="1375">
        <f>'A P MC BM 12'!F24</f>
        <v>1378358</v>
      </c>
      <c r="J15" s="1326"/>
      <c r="K15" s="218"/>
      <c r="L15" s="1327">
        <f t="shared" ref="L15:L20" si="1">J15-I15</f>
        <v>-1378358</v>
      </c>
      <c r="M15" s="571" t="s">
        <v>576</v>
      </c>
      <c r="N15" s="89"/>
      <c r="O15" s="89" t="s">
        <v>577</v>
      </c>
      <c r="P15" s="89" t="s">
        <v>578</v>
      </c>
      <c r="Q15" s="89"/>
      <c r="R15" s="89"/>
      <c r="S15" s="1233">
        <f>'AP 13'!I11</f>
        <v>-31356284.5</v>
      </c>
      <c r="T15" s="1250">
        <f>'A P MC BM 12'!I11</f>
        <v>-2543304.87</v>
      </c>
      <c r="U15" s="1242"/>
      <c r="V15" s="1273"/>
      <c r="W15" s="1007">
        <f t="shared" si="0"/>
        <v>-2543304.87</v>
      </c>
      <c r="X15" s="556"/>
      <c r="Y15" s="581"/>
      <c r="Z15" s="582"/>
      <c r="AA15" s="557"/>
      <c r="AB15" s="557"/>
      <c r="AC15" s="557"/>
    </row>
    <row r="16" spans="2:29" s="558" customFormat="1" ht="18" hidden="1" customHeight="1" outlineLevel="1">
      <c r="B16" s="570" t="s">
        <v>579</v>
      </c>
      <c r="C16" s="571"/>
      <c r="D16" s="89" t="s">
        <v>580</v>
      </c>
      <c r="E16" s="89" t="s">
        <v>581</v>
      </c>
      <c r="F16" s="89"/>
      <c r="G16" s="572"/>
      <c r="H16" s="1371">
        <f>'AP 13'!F26</f>
        <v>5946742.1899999995</v>
      </c>
      <c r="I16" s="1375">
        <f>'A P MC BM 12'!F25</f>
        <v>2131448.21</v>
      </c>
      <c r="J16" s="1326"/>
      <c r="K16" s="218"/>
      <c r="L16" s="1327">
        <f t="shared" si="1"/>
        <v>-2131448.21</v>
      </c>
      <c r="M16" s="571" t="s">
        <v>582</v>
      </c>
      <c r="N16" s="89"/>
      <c r="O16" s="89" t="s">
        <v>1304</v>
      </c>
      <c r="P16" s="89" t="s">
        <v>583</v>
      </c>
      <c r="Q16" s="89"/>
      <c r="R16" s="583"/>
      <c r="S16" s="1235">
        <f>'AP 13'!I12</f>
        <v>-41825652.766011998</v>
      </c>
      <c r="T16" s="1252">
        <f>'A P MC BM 12'!I12</f>
        <v>-28812979.633485988</v>
      </c>
      <c r="U16" s="1243"/>
      <c r="V16" s="1271"/>
      <c r="W16" s="1007">
        <f>T16-U16</f>
        <v>-28812979.633485988</v>
      </c>
      <c r="X16" s="556"/>
      <c r="Y16" s="582" t="e">
        <f>SUM(#REF!)</f>
        <v>#REF!</v>
      </c>
      <c r="Z16" s="557"/>
      <c r="AA16" s="557"/>
      <c r="AB16" s="557"/>
      <c r="AC16" s="557"/>
    </row>
    <row r="17" spans="2:29" s="558" customFormat="1" ht="18" hidden="1" customHeight="1" outlineLevel="1">
      <c r="B17" s="570" t="s">
        <v>584</v>
      </c>
      <c r="C17" s="571"/>
      <c r="D17" s="89" t="s">
        <v>399</v>
      </c>
      <c r="E17" s="89" t="s">
        <v>552</v>
      </c>
      <c r="F17" s="89"/>
      <c r="G17" s="572"/>
      <c r="H17" s="1371">
        <f>'AP 13'!F32</f>
        <v>13570476.660000002</v>
      </c>
      <c r="I17" s="1375">
        <f>'A P MC BM 12'!F29</f>
        <v>12222393.865400001</v>
      </c>
      <c r="J17" s="1326"/>
      <c r="K17" s="218"/>
      <c r="L17" s="1327">
        <f t="shared" si="1"/>
        <v>-12222393.865400001</v>
      </c>
      <c r="M17" s="564" t="s">
        <v>585</v>
      </c>
      <c r="N17" s="567"/>
      <c r="O17" s="565" t="s">
        <v>1305</v>
      </c>
      <c r="P17" s="565" t="s">
        <v>586</v>
      </c>
      <c r="Q17" s="565"/>
      <c r="R17" s="565"/>
      <c r="S17" s="1236"/>
      <c r="T17" s="1253"/>
      <c r="U17" s="1244"/>
      <c r="V17" s="1274"/>
      <c r="W17" s="1006" t="e">
        <f>SUM(W18:W21)</f>
        <v>#REF!</v>
      </c>
      <c r="X17" s="556"/>
      <c r="Y17" s="582">
        <f>SUM(J15:J18)</f>
        <v>0</v>
      </c>
      <c r="Z17" s="557"/>
      <c r="AA17" s="557"/>
      <c r="AB17" s="557"/>
      <c r="AC17" s="557"/>
    </row>
    <row r="18" spans="2:29" s="558" customFormat="1" ht="18" hidden="1" customHeight="1" outlineLevel="1">
      <c r="B18" s="570" t="s">
        <v>587</v>
      </c>
      <c r="C18" s="571"/>
      <c r="D18" s="89" t="s">
        <v>400</v>
      </c>
      <c r="E18" s="89" t="s">
        <v>588</v>
      </c>
      <c r="F18" s="89"/>
      <c r="G18" s="572"/>
      <c r="H18" s="1371">
        <f>'AP 13'!F30</f>
        <v>12335553.33</v>
      </c>
      <c r="I18" s="1375">
        <f>'A P MC BM 12'!F28</f>
        <v>2487515.8400000008</v>
      </c>
      <c r="J18" s="1326"/>
      <c r="K18" s="218"/>
      <c r="L18" s="1327">
        <f t="shared" si="1"/>
        <v>-2487515.8400000008</v>
      </c>
      <c r="M18" s="571" t="s">
        <v>589</v>
      </c>
      <c r="N18" s="89"/>
      <c r="O18" s="89" t="s">
        <v>590</v>
      </c>
      <c r="P18" s="89" t="s">
        <v>591</v>
      </c>
      <c r="Q18" s="89"/>
      <c r="R18" s="89"/>
      <c r="S18" s="1233"/>
      <c r="T18" s="1250"/>
      <c r="U18" s="1241"/>
      <c r="V18" s="1245"/>
      <c r="W18" s="1007" t="e">
        <f>U18-#REF!</f>
        <v>#REF!</v>
      </c>
      <c r="X18" s="556"/>
      <c r="Y18" s="582" t="e">
        <f>Y17-Y16</f>
        <v>#REF!</v>
      </c>
      <c r="Z18" s="557"/>
      <c r="AA18" s="557"/>
      <c r="AB18" s="557"/>
      <c r="AC18" s="557"/>
    </row>
    <row r="19" spans="2:29" s="558" customFormat="1" ht="18" hidden="1" customHeight="1" outlineLevel="1">
      <c r="B19" s="570" t="s">
        <v>592</v>
      </c>
      <c r="C19" s="571"/>
      <c r="D19" s="89" t="s">
        <v>557</v>
      </c>
      <c r="E19" s="89" t="s">
        <v>564</v>
      </c>
      <c r="F19" s="89"/>
      <c r="G19" s="572"/>
      <c r="H19" s="1371">
        <f>'AP 13'!F36+'AP 13'!F37+'AP 13'!F39+'AP 13'!F35</f>
        <v>-7850099</v>
      </c>
      <c r="I19" s="1375">
        <f>'A P MC BM 12'!F33</f>
        <v>-2217247</v>
      </c>
      <c r="J19" s="1326"/>
      <c r="K19" s="218"/>
      <c r="L19" s="1327">
        <f t="shared" si="1"/>
        <v>2217247</v>
      </c>
      <c r="M19" s="571" t="s">
        <v>593</v>
      </c>
      <c r="N19" s="89"/>
      <c r="O19" s="89" t="s">
        <v>594</v>
      </c>
      <c r="P19" s="89" t="s">
        <v>595</v>
      </c>
      <c r="Q19" s="89"/>
      <c r="R19" s="89"/>
      <c r="S19" s="1233"/>
      <c r="T19" s="1250"/>
      <c r="U19" s="1241"/>
      <c r="V19" s="1245"/>
      <c r="W19" s="1007" t="e">
        <f>U19-#REF!</f>
        <v>#REF!</v>
      </c>
      <c r="X19" s="556"/>
      <c r="Y19" s="557"/>
      <c r="Z19" s="557"/>
      <c r="AA19" s="584"/>
      <c r="AB19" s="584"/>
      <c r="AC19" s="557"/>
    </row>
    <row r="20" spans="2:29" s="558" customFormat="1" ht="18" hidden="1" customHeight="1" outlineLevel="1">
      <c r="B20" s="570" t="s">
        <v>596</v>
      </c>
      <c r="C20" s="571"/>
      <c r="D20" s="89" t="s">
        <v>597</v>
      </c>
      <c r="E20" s="89" t="s">
        <v>598</v>
      </c>
      <c r="F20" s="89"/>
      <c r="G20" s="572"/>
      <c r="H20" s="1371"/>
      <c r="I20" s="1372"/>
      <c r="J20" s="1326"/>
      <c r="K20" s="218"/>
      <c r="L20" s="1327">
        <f t="shared" si="1"/>
        <v>0</v>
      </c>
      <c r="M20" s="571" t="s">
        <v>599</v>
      </c>
      <c r="N20" s="89"/>
      <c r="O20" s="89" t="s">
        <v>600</v>
      </c>
      <c r="P20" s="89" t="s">
        <v>601</v>
      </c>
      <c r="Q20" s="89"/>
      <c r="R20" s="89"/>
      <c r="S20" s="1233"/>
      <c r="T20" s="1250"/>
      <c r="U20" s="1241"/>
      <c r="V20" s="1245"/>
      <c r="W20" s="1007" t="e">
        <f>U20-#REF!</f>
        <v>#REF!</v>
      </c>
      <c r="X20" s="556"/>
      <c r="Y20" s="557"/>
      <c r="Z20" s="557"/>
      <c r="AA20" s="584"/>
      <c r="AB20" s="584"/>
      <c r="AC20" s="557"/>
    </row>
    <row r="21" spans="2:29" s="558" customFormat="1" ht="18" hidden="1" customHeight="1" outlineLevel="1">
      <c r="B21" s="563" t="s">
        <v>602</v>
      </c>
      <c r="C21" s="564"/>
      <c r="D21" s="565" t="s">
        <v>1298</v>
      </c>
      <c r="E21" s="565" t="s">
        <v>603</v>
      </c>
      <c r="F21" s="565"/>
      <c r="G21" s="566"/>
      <c r="H21" s="1376">
        <f>SUM(H22:H25)</f>
        <v>3267578.3</v>
      </c>
      <c r="I21" s="1235">
        <f>SUM(I22:I25)</f>
        <v>2937440.54</v>
      </c>
      <c r="J21" s="1324"/>
      <c r="K21" s="481"/>
      <c r="L21" s="1325">
        <f>SUM(L22:L25)</f>
        <v>-2937440.54</v>
      </c>
      <c r="M21" s="571" t="s">
        <v>604</v>
      </c>
      <c r="N21" s="89"/>
      <c r="O21" s="89" t="s">
        <v>605</v>
      </c>
      <c r="P21" s="89" t="s">
        <v>606</v>
      </c>
      <c r="Q21" s="89"/>
      <c r="R21" s="89"/>
      <c r="S21" s="1233"/>
      <c r="T21" s="1250"/>
      <c r="U21" s="1241"/>
      <c r="V21" s="1245"/>
      <c r="W21" s="1007" t="e">
        <f>U21-#REF!</f>
        <v>#REF!</v>
      </c>
      <c r="X21" s="556"/>
      <c r="Y21" s="557"/>
      <c r="Z21" s="557"/>
      <c r="AA21" s="584"/>
      <c r="AB21" s="584"/>
      <c r="AC21" s="557"/>
    </row>
    <row r="22" spans="2:29" s="558" customFormat="1" ht="18" hidden="1" customHeight="1" outlineLevel="1">
      <c r="B22" s="570" t="s">
        <v>607</v>
      </c>
      <c r="C22" s="571"/>
      <c r="D22" s="89" t="s">
        <v>608</v>
      </c>
      <c r="E22" s="89" t="s">
        <v>609</v>
      </c>
      <c r="F22" s="89"/>
      <c r="G22" s="572"/>
      <c r="H22" s="1371">
        <f>'AP 13'!F45</f>
        <v>100000</v>
      </c>
      <c r="I22" s="1233"/>
      <c r="J22" s="1326"/>
      <c r="K22" s="218"/>
      <c r="L22" s="1327">
        <f>J22-I22</f>
        <v>0</v>
      </c>
      <c r="M22" s="564" t="s">
        <v>610</v>
      </c>
      <c r="N22" s="567"/>
      <c r="O22" s="565" t="s">
        <v>1300</v>
      </c>
      <c r="P22" s="565" t="s">
        <v>611</v>
      </c>
      <c r="Q22" s="565"/>
      <c r="R22" s="565"/>
      <c r="S22" s="1236"/>
      <c r="T22" s="1253"/>
      <c r="U22" s="1244"/>
      <c r="V22" s="1274"/>
      <c r="W22" s="1007" t="e">
        <f>U22-#REF!</f>
        <v>#REF!</v>
      </c>
      <c r="X22" s="556"/>
      <c r="Y22" s="557"/>
      <c r="Z22" s="557"/>
      <c r="AA22" s="584"/>
      <c r="AB22" s="584"/>
      <c r="AC22" s="557"/>
    </row>
    <row r="23" spans="2:29" s="558" customFormat="1" ht="18" hidden="1" customHeight="1" outlineLevel="1">
      <c r="B23" s="570" t="s">
        <v>612</v>
      </c>
      <c r="C23" s="571"/>
      <c r="D23" s="89" t="s">
        <v>613</v>
      </c>
      <c r="E23" s="89" t="s">
        <v>614</v>
      </c>
      <c r="F23" s="89"/>
      <c r="G23" s="572"/>
      <c r="H23" s="1371">
        <f>'AP 13'!F50</f>
        <v>3167578.3</v>
      </c>
      <c r="I23" s="1375">
        <f>'A P MC BM 12'!F44</f>
        <v>2937440.54</v>
      </c>
      <c r="J23" s="1326"/>
      <c r="K23" s="218"/>
      <c r="L23" s="1327">
        <f>J23-I23</f>
        <v>-2937440.54</v>
      </c>
      <c r="M23" s="564" t="s">
        <v>493</v>
      </c>
      <c r="N23" s="567"/>
      <c r="O23" s="565" t="s">
        <v>1299</v>
      </c>
      <c r="P23" s="565" t="s">
        <v>615</v>
      </c>
      <c r="Q23" s="565"/>
      <c r="R23" s="565"/>
      <c r="S23" s="1236"/>
      <c r="T23" s="1253"/>
      <c r="U23" s="1244"/>
      <c r="V23" s="1274"/>
      <c r="W23" s="1007" t="e">
        <f>U23-#REF!</f>
        <v>#REF!</v>
      </c>
      <c r="X23" s="556"/>
      <c r="Y23" s="557"/>
      <c r="Z23" s="557"/>
      <c r="AA23" s="584"/>
      <c r="AB23" s="584"/>
      <c r="AC23" s="557"/>
    </row>
    <row r="24" spans="2:29" s="558" customFormat="1" ht="18" hidden="1" customHeight="1" outlineLevel="1">
      <c r="B24" s="570" t="s">
        <v>616</v>
      </c>
      <c r="C24" s="571"/>
      <c r="D24" s="89" t="s">
        <v>617</v>
      </c>
      <c r="E24" s="89" t="s">
        <v>618</v>
      </c>
      <c r="F24" s="89"/>
      <c r="G24" s="572"/>
      <c r="H24" s="1371"/>
      <c r="I24" s="1372"/>
      <c r="J24" s="1326"/>
      <c r="K24" s="218"/>
      <c r="L24" s="1327">
        <f>J24-I24</f>
        <v>0</v>
      </c>
      <c r="M24" s="571" t="s">
        <v>619</v>
      </c>
      <c r="N24" s="89"/>
      <c r="O24" s="89" t="s">
        <v>620</v>
      </c>
      <c r="P24" s="89" t="s">
        <v>621</v>
      </c>
      <c r="Q24" s="89"/>
      <c r="R24" s="89"/>
      <c r="S24" s="1233"/>
      <c r="T24" s="1250"/>
      <c r="U24" s="1241"/>
      <c r="V24" s="1245"/>
      <c r="W24" s="1007" t="e">
        <f>U24-#REF!</f>
        <v>#REF!</v>
      </c>
      <c r="X24" s="556"/>
      <c r="Y24" s="557"/>
      <c r="Z24" s="557"/>
      <c r="AA24" s="584"/>
      <c r="AB24" s="584"/>
      <c r="AC24" s="557"/>
    </row>
    <row r="25" spans="2:29" s="558" customFormat="1" ht="18" hidden="1" customHeight="1" outlineLevel="1">
      <c r="B25" s="570" t="s">
        <v>622</v>
      </c>
      <c r="C25" s="571"/>
      <c r="D25" s="89" t="s">
        <v>623</v>
      </c>
      <c r="E25" s="89" t="s">
        <v>598</v>
      </c>
      <c r="F25" s="89"/>
      <c r="G25" s="572"/>
      <c r="H25" s="1371"/>
      <c r="I25" s="1372"/>
      <c r="J25" s="1326"/>
      <c r="K25" s="218"/>
      <c r="L25" s="1327">
        <f>J25-I25</f>
        <v>0</v>
      </c>
      <c r="M25" s="571" t="s">
        <v>624</v>
      </c>
      <c r="N25" s="89"/>
      <c r="O25" s="89" t="s">
        <v>625</v>
      </c>
      <c r="P25" s="89" t="s">
        <v>626</v>
      </c>
      <c r="Q25" s="89"/>
      <c r="R25" s="89"/>
      <c r="S25" s="1233"/>
      <c r="T25" s="1250"/>
      <c r="U25" s="1241"/>
      <c r="V25" s="1245"/>
      <c r="W25" s="1007" t="e">
        <f>U25-#REF!</f>
        <v>#REF!</v>
      </c>
      <c r="X25" s="556"/>
      <c r="Y25" s="557"/>
      <c r="Z25" s="557"/>
      <c r="AA25" s="584"/>
      <c r="AB25" s="584"/>
      <c r="AC25" s="557"/>
    </row>
    <row r="26" spans="2:29" s="558" customFormat="1" ht="18" hidden="1" customHeight="1" outlineLevel="1">
      <c r="B26" s="563" t="s">
        <v>627</v>
      </c>
      <c r="C26" s="564"/>
      <c r="D26" s="567" t="s">
        <v>628</v>
      </c>
      <c r="E26" s="567" t="s">
        <v>629</v>
      </c>
      <c r="F26" s="567"/>
      <c r="G26" s="585"/>
      <c r="H26" s="1376">
        <f>SUM(H27+H33+H40+H43)</f>
        <v>9398516.2316000015</v>
      </c>
      <c r="I26" s="1235">
        <f>SUM(I27+I33+I40+I43)</f>
        <v>9937654.4000000004</v>
      </c>
      <c r="J26" s="1332"/>
      <c r="K26" s="540"/>
      <c r="L26" s="1333" t="e">
        <f>SUM(L27+L33+L40+L43)</f>
        <v>#REF!</v>
      </c>
      <c r="M26" s="564" t="s">
        <v>630</v>
      </c>
      <c r="N26" s="567"/>
      <c r="O26" s="567" t="s">
        <v>631</v>
      </c>
      <c r="P26" s="567" t="s">
        <v>632</v>
      </c>
      <c r="Q26" s="567"/>
      <c r="R26" s="567"/>
      <c r="S26" s="1235">
        <f>SUM(S27+S35+S45)</f>
        <v>114418511.40000001</v>
      </c>
      <c r="T26" s="1252">
        <f>SUM(T27+T35+T45)</f>
        <v>64181604.153400011</v>
      </c>
      <c r="U26" s="1243"/>
      <c r="V26" s="1271"/>
      <c r="W26" s="1005" t="e">
        <f>SUM(W27+W35+W45)</f>
        <v>#REF!</v>
      </c>
      <c r="X26" s="556"/>
      <c r="Y26" s="557"/>
      <c r="Z26" s="557"/>
      <c r="AA26" s="584"/>
      <c r="AB26" s="586"/>
      <c r="AC26" s="557"/>
    </row>
    <row r="27" spans="2:29" s="558" customFormat="1" ht="18" hidden="1" customHeight="1" outlineLevel="1">
      <c r="B27" s="563" t="s">
        <v>633</v>
      </c>
      <c r="C27" s="564"/>
      <c r="D27" s="565" t="s">
        <v>634</v>
      </c>
      <c r="E27" s="565" t="s">
        <v>635</v>
      </c>
      <c r="F27" s="565"/>
      <c r="G27" s="566"/>
      <c r="H27" s="1369">
        <f>SUM(H28:H32)</f>
        <v>0</v>
      </c>
      <c r="I27" s="1236">
        <f>SUM(I28:I32)</f>
        <v>0</v>
      </c>
      <c r="J27" s="1324"/>
      <c r="K27" s="481"/>
      <c r="L27" s="1325">
        <f>SUM(L28:L32)</f>
        <v>0</v>
      </c>
      <c r="M27" s="564" t="s">
        <v>636</v>
      </c>
      <c r="N27" s="567"/>
      <c r="O27" s="565" t="s">
        <v>637</v>
      </c>
      <c r="P27" s="565" t="s">
        <v>638</v>
      </c>
      <c r="Q27" s="565"/>
      <c r="R27" s="565"/>
      <c r="S27" s="1235">
        <f>SUM(S28:S34)</f>
        <v>51163004.120000005</v>
      </c>
      <c r="T27" s="1252">
        <f>SUM(T28:T34)</f>
        <v>32890500.489999998</v>
      </c>
      <c r="U27" s="1244"/>
      <c r="V27" s="1274"/>
      <c r="W27" s="1006">
        <f>SUM(W28:W34)</f>
        <v>32890500.489999998</v>
      </c>
      <c r="X27" s="556"/>
      <c r="Y27" s="557"/>
      <c r="Z27" s="557"/>
      <c r="AA27" s="584"/>
      <c r="AB27" s="557"/>
      <c r="AC27" s="557"/>
    </row>
    <row r="28" spans="2:29" s="558" customFormat="1" ht="18" hidden="1" customHeight="1" outlineLevel="1">
      <c r="B28" s="570" t="s">
        <v>639</v>
      </c>
      <c r="C28" s="571"/>
      <c r="D28" s="89" t="s">
        <v>641</v>
      </c>
      <c r="E28" s="89" t="s">
        <v>642</v>
      </c>
      <c r="F28" s="89"/>
      <c r="G28" s="572"/>
      <c r="H28" s="1371"/>
      <c r="I28" s="1372"/>
      <c r="J28" s="1326"/>
      <c r="K28" s="218"/>
      <c r="L28" s="1327">
        <f>J28-I28</f>
        <v>0</v>
      </c>
      <c r="M28" s="571" t="s">
        <v>643</v>
      </c>
      <c r="N28" s="89"/>
      <c r="O28" s="89" t="s">
        <v>644</v>
      </c>
      <c r="P28" s="89" t="s">
        <v>645</v>
      </c>
      <c r="Q28" s="89"/>
      <c r="R28" s="89"/>
      <c r="S28" s="584"/>
      <c r="T28" s="1364"/>
      <c r="U28" s="1241"/>
      <c r="V28" s="1245"/>
      <c r="W28" s="1007">
        <f t="shared" ref="W28:W34" si="2">T28-U28</f>
        <v>0</v>
      </c>
      <c r="X28" s="556"/>
      <c r="Y28" s="557"/>
      <c r="Z28" s="1170" t="e">
        <f>+U28/U8</f>
        <v>#DIV/0!</v>
      </c>
      <c r="AA28" s="557"/>
      <c r="AB28" s="557"/>
      <c r="AC28" s="557"/>
    </row>
    <row r="29" spans="2:29" s="558" customFormat="1" ht="18" hidden="1" customHeight="1" outlineLevel="1">
      <c r="B29" s="570" t="s">
        <v>646</v>
      </c>
      <c r="C29" s="571"/>
      <c r="D29" s="89" t="s">
        <v>8</v>
      </c>
      <c r="E29" s="89" t="s">
        <v>647</v>
      </c>
      <c r="F29" s="89"/>
      <c r="G29" s="572"/>
      <c r="H29" s="1371"/>
      <c r="I29" s="1372"/>
      <c r="J29" s="1326"/>
      <c r="K29" s="218"/>
      <c r="L29" s="1327">
        <f>J29-I29</f>
        <v>0</v>
      </c>
      <c r="M29" s="571" t="s">
        <v>648</v>
      </c>
      <c r="N29" s="89"/>
      <c r="O29" s="89" t="s">
        <v>649</v>
      </c>
      <c r="P29" s="89" t="s">
        <v>650</v>
      </c>
      <c r="Q29" s="89"/>
      <c r="R29" s="89"/>
      <c r="S29" s="1233"/>
      <c r="T29" s="1250"/>
      <c r="U29" s="1241"/>
      <c r="V29" s="1245"/>
      <c r="W29" s="1007">
        <f t="shared" si="2"/>
        <v>0</v>
      </c>
      <c r="X29" s="556"/>
      <c r="Y29" s="557"/>
      <c r="Z29" s="557"/>
      <c r="AA29" s="557"/>
      <c r="AB29" s="557"/>
      <c r="AC29" s="557"/>
    </row>
    <row r="30" spans="2:29" s="558" customFormat="1" ht="18" hidden="1" customHeight="1" outlineLevel="1">
      <c r="B30" s="570" t="s">
        <v>651</v>
      </c>
      <c r="C30" s="571"/>
      <c r="D30" s="89" t="s">
        <v>652</v>
      </c>
      <c r="E30" s="89" t="s">
        <v>653</v>
      </c>
      <c r="F30" s="89"/>
      <c r="G30" s="572"/>
      <c r="H30" s="1371"/>
      <c r="I30" s="1372"/>
      <c r="J30" s="1326"/>
      <c r="K30" s="218"/>
      <c r="L30" s="1327">
        <f>J30-I30</f>
        <v>0</v>
      </c>
      <c r="M30" s="571" t="s">
        <v>654</v>
      </c>
      <c r="N30" s="89"/>
      <c r="O30" s="89" t="s">
        <v>655</v>
      </c>
      <c r="P30" s="89" t="s">
        <v>656</v>
      </c>
      <c r="Q30" s="89"/>
      <c r="R30" s="89"/>
      <c r="S30" s="1233"/>
      <c r="T30" s="1250"/>
      <c r="U30" s="1241"/>
      <c r="V30" s="1245"/>
      <c r="W30" s="1007">
        <f t="shared" si="2"/>
        <v>0</v>
      </c>
      <c r="X30" s="556"/>
      <c r="Y30" s="557"/>
      <c r="Z30" s="557"/>
      <c r="AA30" s="557"/>
      <c r="AB30" s="557"/>
      <c r="AC30" s="557"/>
    </row>
    <row r="31" spans="2:29" s="558" customFormat="1" ht="18" hidden="1" customHeight="1" outlineLevel="1">
      <c r="B31" s="570" t="s">
        <v>657</v>
      </c>
      <c r="C31" s="571"/>
      <c r="D31" s="89" t="s">
        <v>32</v>
      </c>
      <c r="E31" s="89" t="s">
        <v>658</v>
      </c>
      <c r="F31" s="89"/>
      <c r="G31" s="572"/>
      <c r="H31" s="1371"/>
      <c r="I31" s="1372"/>
      <c r="J31" s="1326"/>
      <c r="K31" s="218"/>
      <c r="L31" s="1327">
        <f>J31-I31</f>
        <v>0</v>
      </c>
      <c r="M31" s="571" t="s">
        <v>659</v>
      </c>
      <c r="N31" s="89"/>
      <c r="O31" s="89" t="s">
        <v>660</v>
      </c>
      <c r="P31" s="89" t="s">
        <v>661</v>
      </c>
      <c r="Q31" s="89"/>
      <c r="R31" s="89"/>
      <c r="S31" s="1233"/>
      <c r="T31" s="1250"/>
      <c r="U31" s="1241"/>
      <c r="V31" s="1245"/>
      <c r="W31" s="1007">
        <f t="shared" si="2"/>
        <v>0</v>
      </c>
      <c r="X31" s="556"/>
      <c r="Y31" s="557"/>
      <c r="Z31" s="557"/>
      <c r="AA31" s="557"/>
      <c r="AB31" s="557"/>
      <c r="AC31" s="557"/>
    </row>
    <row r="32" spans="2:29" s="558" customFormat="1" ht="18" hidden="1" customHeight="1" outlineLevel="1">
      <c r="B32" s="570" t="s">
        <v>662</v>
      </c>
      <c r="C32" s="571"/>
      <c r="D32" s="89" t="s">
        <v>663</v>
      </c>
      <c r="E32" s="89" t="s">
        <v>598</v>
      </c>
      <c r="F32" s="89"/>
      <c r="G32" s="572"/>
      <c r="H32" s="1371"/>
      <c r="I32" s="1372"/>
      <c r="J32" s="1326"/>
      <c r="K32" s="218"/>
      <c r="L32" s="1327">
        <f>J32-I32</f>
        <v>0</v>
      </c>
      <c r="M32" s="571" t="s">
        <v>664</v>
      </c>
      <c r="N32" s="89"/>
      <c r="O32" s="89" t="s">
        <v>665</v>
      </c>
      <c r="P32" s="89" t="s">
        <v>666</v>
      </c>
      <c r="Q32" s="89"/>
      <c r="R32" s="89"/>
      <c r="S32" s="1233"/>
      <c r="T32" s="1250"/>
      <c r="U32" s="1241"/>
      <c r="V32" s="1245"/>
      <c r="W32" s="1007">
        <f t="shared" si="2"/>
        <v>0</v>
      </c>
      <c r="X32" s="556"/>
      <c r="Y32" s="557"/>
      <c r="Z32" s="557"/>
      <c r="AA32" s="557"/>
      <c r="AB32" s="557"/>
      <c r="AC32" s="557"/>
    </row>
    <row r="33" spans="2:29" s="558" customFormat="1" ht="18" hidden="1" customHeight="1" outlineLevel="1">
      <c r="B33" s="563" t="s">
        <v>667</v>
      </c>
      <c r="C33" s="564"/>
      <c r="D33" s="565" t="s">
        <v>668</v>
      </c>
      <c r="E33" s="565" t="s">
        <v>669</v>
      </c>
      <c r="F33" s="565"/>
      <c r="G33" s="566"/>
      <c r="H33" s="1376">
        <f>SUM(H35:H39)</f>
        <v>8602761.8616000004</v>
      </c>
      <c r="I33" s="1235">
        <f>SUM(I35:I39)</f>
        <v>9029849.5999999996</v>
      </c>
      <c r="J33" s="1332"/>
      <c r="K33" s="540"/>
      <c r="L33" s="1325">
        <f>SUM(L35:L39)</f>
        <v>-9029849.5999999996</v>
      </c>
      <c r="M33" s="571" t="s">
        <v>670</v>
      </c>
      <c r="N33" s="89"/>
      <c r="O33" s="89" t="s">
        <v>671</v>
      </c>
      <c r="P33" s="89" t="s">
        <v>672</v>
      </c>
      <c r="Q33" s="89"/>
      <c r="R33" s="89"/>
      <c r="S33" s="1233"/>
      <c r="T33" s="1250"/>
      <c r="U33" s="1241"/>
      <c r="V33" s="1245"/>
      <c r="W33" s="1007">
        <f t="shared" si="2"/>
        <v>0</v>
      </c>
      <c r="X33" s="556"/>
      <c r="Y33" s="557"/>
      <c r="Z33" s="557"/>
      <c r="AA33" s="557"/>
      <c r="AB33" s="557"/>
      <c r="AC33" s="557"/>
    </row>
    <row r="34" spans="2:29" s="558" customFormat="1" ht="18" hidden="1" customHeight="1" outlineLevel="1">
      <c r="B34" s="570"/>
      <c r="C34" s="571"/>
      <c r="D34" s="89" t="s">
        <v>673</v>
      </c>
      <c r="E34" s="89" t="s">
        <v>674</v>
      </c>
      <c r="F34" s="89"/>
      <c r="G34" s="572"/>
      <c r="H34" s="1371"/>
      <c r="I34" s="1372"/>
      <c r="J34" s="1326"/>
      <c r="K34" s="218"/>
      <c r="L34" s="1327" t="e">
        <f>J34-#REF!</f>
        <v>#REF!</v>
      </c>
      <c r="M34" s="571" t="s">
        <v>675</v>
      </c>
      <c r="N34" s="89"/>
      <c r="O34" s="89" t="s">
        <v>267</v>
      </c>
      <c r="P34" s="89" t="s">
        <v>676</v>
      </c>
      <c r="Q34" s="89"/>
      <c r="R34" s="89"/>
      <c r="S34" s="1233">
        <f>'AP 13'!I18</f>
        <v>51163004.120000005</v>
      </c>
      <c r="T34" s="1250">
        <f>'A P MC BM 12'!I19</f>
        <v>32890500.489999998</v>
      </c>
      <c r="U34" s="1241"/>
      <c r="V34" s="1245"/>
      <c r="W34" s="1010">
        <f t="shared" si="2"/>
        <v>32890500.489999998</v>
      </c>
      <c r="X34" s="556"/>
      <c r="Y34" s="557"/>
      <c r="Z34" s="557"/>
      <c r="AA34" s="557"/>
      <c r="AB34" s="557"/>
      <c r="AC34" s="557"/>
    </row>
    <row r="35" spans="2:29" s="558" customFormat="1" ht="18" hidden="1" customHeight="1" outlineLevel="1">
      <c r="B35" s="570" t="s">
        <v>677</v>
      </c>
      <c r="C35" s="571"/>
      <c r="D35" s="89" t="s">
        <v>678</v>
      </c>
      <c r="E35" s="89" t="s">
        <v>679</v>
      </c>
      <c r="F35" s="89"/>
      <c r="G35" s="572"/>
      <c r="H35" s="1371">
        <f>'AP 13'!F46</f>
        <v>7738712.001600001</v>
      </c>
      <c r="I35" s="1375">
        <f>'A P MC BM 12'!F40</f>
        <v>6847791</v>
      </c>
      <c r="J35" s="1326"/>
      <c r="K35" s="218"/>
      <c r="L35" s="1334">
        <f>J35-I35</f>
        <v>-6847791</v>
      </c>
      <c r="M35" s="564" t="s">
        <v>680</v>
      </c>
      <c r="N35" s="567"/>
      <c r="O35" s="565" t="s">
        <v>1306</v>
      </c>
      <c r="P35" s="565" t="s">
        <v>681</v>
      </c>
      <c r="Q35" s="565"/>
      <c r="R35" s="565"/>
      <c r="S35" s="1236">
        <f>SUM(S36:S43)</f>
        <v>63255507.279999994</v>
      </c>
      <c r="T35" s="1253">
        <f>SUM(T36:T44)</f>
        <v>31291103.663400013</v>
      </c>
      <c r="U35" s="1244"/>
      <c r="V35" s="1274"/>
      <c r="W35" s="1006">
        <f>SUM(W36:W44)</f>
        <v>31291103.663400013</v>
      </c>
      <c r="X35" s="556"/>
      <c r="Y35" s="557"/>
      <c r="Z35" s="557"/>
      <c r="AA35" s="557"/>
      <c r="AB35" s="557"/>
      <c r="AC35" s="557"/>
    </row>
    <row r="36" spans="2:29" s="558" customFormat="1" ht="18" hidden="1" customHeight="1" outlineLevel="1">
      <c r="B36" s="570" t="s">
        <v>682</v>
      </c>
      <c r="C36" s="571"/>
      <c r="D36" s="89" t="s">
        <v>266</v>
      </c>
      <c r="E36" s="89" t="s">
        <v>683</v>
      </c>
      <c r="F36" s="89"/>
      <c r="G36" s="572"/>
      <c r="H36" s="1371">
        <f>'AP 13'!F52</f>
        <v>544178.18999999994</v>
      </c>
      <c r="I36" s="1375">
        <f>'A P MC BM 12'!F46</f>
        <v>661759</v>
      </c>
      <c r="J36" s="1326"/>
      <c r="K36" s="218"/>
      <c r="L36" s="1334">
        <f t="shared" ref="L36:L42" si="3">J36-I36</f>
        <v>-661759</v>
      </c>
      <c r="M36" s="571" t="s">
        <v>684</v>
      </c>
      <c r="N36" s="89"/>
      <c r="O36" s="89" t="s">
        <v>685</v>
      </c>
      <c r="P36" s="89" t="s">
        <v>645</v>
      </c>
      <c r="Q36" s="89"/>
      <c r="R36" s="89"/>
      <c r="S36" s="1233">
        <f>'AP 13'!I20</f>
        <v>45486750.579999998</v>
      </c>
      <c r="T36" s="1250">
        <f>'A P MC BM 12'!I20</f>
        <v>27381150.81000001</v>
      </c>
      <c r="U36" s="1241"/>
      <c r="V36" s="1245"/>
      <c r="W36" s="1010">
        <f t="shared" ref="W36:W44" si="4">T36-U36</f>
        <v>27381150.81000001</v>
      </c>
      <c r="X36" s="556"/>
      <c r="Y36" s="557"/>
      <c r="Z36" s="577">
        <f>U36+U16</f>
        <v>0</v>
      </c>
      <c r="AA36" s="557"/>
      <c r="AB36" s="557"/>
      <c r="AC36" s="557"/>
    </row>
    <row r="37" spans="2:29" s="558" customFormat="1" ht="18" hidden="1" customHeight="1" outlineLevel="1">
      <c r="B37" s="570" t="s">
        <v>686</v>
      </c>
      <c r="C37" s="571"/>
      <c r="D37" s="89" t="s">
        <v>34</v>
      </c>
      <c r="E37" s="89" t="s">
        <v>687</v>
      </c>
      <c r="F37" s="89"/>
      <c r="G37" s="572"/>
      <c r="H37" s="1371">
        <f>'AP 13'!F48</f>
        <v>319871.6700000001</v>
      </c>
      <c r="I37" s="1375">
        <f>'A P MC BM 12'!F41+'A P MC BM 12'!F42</f>
        <v>1520299.6</v>
      </c>
      <c r="J37" s="1326"/>
      <c r="K37" s="218"/>
      <c r="L37" s="1334">
        <f>J37-I37</f>
        <v>-1520299.6</v>
      </c>
      <c r="M37" s="571" t="s">
        <v>688</v>
      </c>
      <c r="N37" s="89"/>
      <c r="O37" s="89" t="s">
        <v>649</v>
      </c>
      <c r="P37" s="89" t="s">
        <v>650</v>
      </c>
      <c r="Q37" s="89"/>
      <c r="R37" s="89"/>
      <c r="S37" s="1233"/>
      <c r="T37" s="1250"/>
      <c r="U37" s="1241"/>
      <c r="V37" s="1245"/>
      <c r="W37" s="1007">
        <f t="shared" si="4"/>
        <v>0</v>
      </c>
      <c r="X37" s="556"/>
      <c r="Y37" s="557"/>
      <c r="Z37" s="557"/>
      <c r="AA37" s="557"/>
      <c r="AB37" s="557"/>
      <c r="AC37" s="557"/>
    </row>
    <row r="38" spans="2:29" s="558" customFormat="1" ht="18" hidden="1" customHeight="1" outlineLevel="1">
      <c r="B38" s="570" t="s">
        <v>689</v>
      </c>
      <c r="C38" s="571"/>
      <c r="D38" s="89" t="s">
        <v>33</v>
      </c>
      <c r="E38" s="89" t="s">
        <v>690</v>
      </c>
      <c r="F38" s="89"/>
      <c r="G38" s="572"/>
      <c r="H38" s="1371"/>
      <c r="I38" s="1372"/>
      <c r="J38" s="1326"/>
      <c r="K38" s="218"/>
      <c r="L38" s="1327">
        <f t="shared" si="3"/>
        <v>0</v>
      </c>
      <c r="M38" s="571" t="s">
        <v>691</v>
      </c>
      <c r="N38" s="89"/>
      <c r="O38" s="89" t="s">
        <v>655</v>
      </c>
      <c r="P38" s="89" t="s">
        <v>656</v>
      </c>
      <c r="Q38" s="89"/>
      <c r="R38" s="89"/>
      <c r="S38" s="1233"/>
      <c r="T38" s="1250"/>
      <c r="U38" s="1241"/>
      <c r="V38" s="1245"/>
      <c r="W38" s="1007">
        <f t="shared" si="4"/>
        <v>0</v>
      </c>
      <c r="X38" s="556"/>
      <c r="Y38" s="557"/>
      <c r="Z38" s="557"/>
      <c r="AA38" s="557"/>
      <c r="AB38" s="557"/>
      <c r="AC38" s="557"/>
    </row>
    <row r="39" spans="2:29" s="558" customFormat="1" ht="18" hidden="1" customHeight="1" outlineLevel="1">
      <c r="B39" s="570" t="s">
        <v>692</v>
      </c>
      <c r="C39" s="571"/>
      <c r="D39" s="89" t="s">
        <v>27</v>
      </c>
      <c r="E39" s="89" t="s">
        <v>598</v>
      </c>
      <c r="F39" s="89"/>
      <c r="G39" s="572"/>
      <c r="H39" s="1371"/>
      <c r="I39" s="1375"/>
      <c r="J39" s="1326"/>
      <c r="K39" s="218"/>
      <c r="L39" s="1327">
        <f>J39-I39</f>
        <v>0</v>
      </c>
      <c r="M39" s="571" t="s">
        <v>693</v>
      </c>
      <c r="N39" s="89"/>
      <c r="O39" s="89" t="s">
        <v>660</v>
      </c>
      <c r="P39" s="89" t="s">
        <v>661</v>
      </c>
      <c r="Q39" s="89"/>
      <c r="R39" s="89"/>
      <c r="S39" s="1233">
        <f>'AP 13'!I13</f>
        <v>16622799.459999995</v>
      </c>
      <c r="T39" s="1250">
        <f>'A P MC BM 12'!I13</f>
        <v>2948424.8534000032</v>
      </c>
      <c r="U39" s="1241"/>
      <c r="V39" s="1245"/>
      <c r="W39" s="1010">
        <f t="shared" si="4"/>
        <v>2948424.8534000032</v>
      </c>
      <c r="X39" s="556"/>
      <c r="Y39" s="546"/>
      <c r="Z39" s="97"/>
      <c r="AA39" s="546"/>
      <c r="AB39" s="557"/>
      <c r="AC39" s="557"/>
    </row>
    <row r="40" spans="2:29" s="558" customFormat="1" ht="18" hidden="1" customHeight="1" outlineLevel="1">
      <c r="B40" s="563" t="s">
        <v>694</v>
      </c>
      <c r="C40" s="564"/>
      <c r="D40" s="565" t="s">
        <v>695</v>
      </c>
      <c r="E40" s="565" t="s">
        <v>696</v>
      </c>
      <c r="F40" s="565"/>
      <c r="G40" s="566"/>
      <c r="H40" s="1369">
        <f>SUM(H41:H42)</f>
        <v>0</v>
      </c>
      <c r="I40" s="1236">
        <f>SUM(I41:I42)</f>
        <v>0</v>
      </c>
      <c r="J40" s="1324"/>
      <c r="K40" s="481"/>
      <c r="L40" s="1327">
        <f t="shared" si="3"/>
        <v>0</v>
      </c>
      <c r="M40" s="571" t="s">
        <v>697</v>
      </c>
      <c r="N40" s="89"/>
      <c r="O40" s="89" t="s">
        <v>698</v>
      </c>
      <c r="P40" s="89" t="s">
        <v>699</v>
      </c>
      <c r="Q40" s="89"/>
      <c r="R40" s="89"/>
      <c r="S40" s="1233">
        <f>'AP 13'!I14</f>
        <v>867102</v>
      </c>
      <c r="T40" s="1250">
        <f>'A P MC BM 12'!I14</f>
        <v>181044</v>
      </c>
      <c r="U40" s="1241"/>
      <c r="V40" s="1245"/>
      <c r="W40" s="1007">
        <f t="shared" si="4"/>
        <v>181044</v>
      </c>
      <c r="X40" s="556"/>
      <c r="Y40" s="546"/>
      <c r="Z40" s="97"/>
      <c r="AA40" s="546"/>
      <c r="AB40" s="557"/>
      <c r="AC40" s="557"/>
    </row>
    <row r="41" spans="2:29" s="558" customFormat="1" ht="18" hidden="1" customHeight="1" outlineLevel="1">
      <c r="B41" s="570" t="s">
        <v>700</v>
      </c>
      <c r="C41" s="571"/>
      <c r="D41" s="89" t="s">
        <v>701</v>
      </c>
      <c r="E41" s="89" t="s">
        <v>702</v>
      </c>
      <c r="F41" s="89"/>
      <c r="G41" s="572"/>
      <c r="H41" s="1371"/>
      <c r="I41" s="1372"/>
      <c r="J41" s="1326"/>
      <c r="K41" s="218"/>
      <c r="L41" s="1327">
        <f t="shared" si="3"/>
        <v>0</v>
      </c>
      <c r="M41" s="571" t="s">
        <v>703</v>
      </c>
      <c r="N41" s="89"/>
      <c r="O41" s="89" t="s">
        <v>704</v>
      </c>
      <c r="P41" s="89" t="s">
        <v>705</v>
      </c>
      <c r="Q41" s="89"/>
      <c r="R41" s="89"/>
      <c r="S41" s="1233">
        <f>'AP 13'!I15</f>
        <v>2000</v>
      </c>
      <c r="T41" s="1653">
        <f>'A P MC BM 12'!I15+'A P MC BM 12'!I16+155383</f>
        <v>780484</v>
      </c>
      <c r="U41" s="1241"/>
      <c r="V41" s="1245"/>
      <c r="W41" s="1007">
        <f t="shared" si="4"/>
        <v>780484</v>
      </c>
      <c r="X41" s="556"/>
      <c r="Y41" s="546"/>
      <c r="Z41" s="97"/>
      <c r="AA41" s="546"/>
      <c r="AB41" s="557"/>
      <c r="AC41" s="557"/>
    </row>
    <row r="42" spans="2:29" s="558" customFormat="1" ht="18" hidden="1" customHeight="1" outlineLevel="1">
      <c r="B42" s="570" t="s">
        <v>706</v>
      </c>
      <c r="C42" s="571"/>
      <c r="D42" s="89" t="s">
        <v>563</v>
      </c>
      <c r="E42" s="89" t="s">
        <v>598</v>
      </c>
      <c r="F42" s="89"/>
      <c r="G42" s="572"/>
      <c r="H42" s="1371"/>
      <c r="I42" s="1372"/>
      <c r="J42" s="1326"/>
      <c r="K42" s="218"/>
      <c r="L42" s="1327">
        <f t="shared" si="3"/>
        <v>0</v>
      </c>
      <c r="M42" s="571" t="s">
        <v>707</v>
      </c>
      <c r="N42" s="89"/>
      <c r="O42" s="89" t="s">
        <v>708</v>
      </c>
      <c r="P42" s="89" t="s">
        <v>709</v>
      </c>
      <c r="Q42" s="89"/>
      <c r="R42" s="89"/>
      <c r="S42" s="1233">
        <f>'AP 13'!I16</f>
        <v>276855.24</v>
      </c>
      <c r="T42" s="1250"/>
      <c r="U42" s="1241"/>
      <c r="V42" s="1245"/>
      <c r="W42" s="1007">
        <f t="shared" si="4"/>
        <v>0</v>
      </c>
      <c r="X42" s="556"/>
      <c r="Y42" s="546"/>
      <c r="Z42" s="97"/>
      <c r="AA42" s="546"/>
      <c r="AB42" s="557"/>
      <c r="AC42" s="557"/>
    </row>
    <row r="43" spans="2:29" s="558" customFormat="1" ht="18" hidden="1" customHeight="1" outlineLevel="1">
      <c r="B43" s="563" t="s">
        <v>710</v>
      </c>
      <c r="C43" s="564"/>
      <c r="D43" s="565" t="s">
        <v>711</v>
      </c>
      <c r="E43" s="565" t="s">
        <v>712</v>
      </c>
      <c r="F43" s="565"/>
      <c r="G43" s="566"/>
      <c r="H43" s="1376">
        <f>SUM(H44:H46)</f>
        <v>795754.37000000081</v>
      </c>
      <c r="I43" s="1235">
        <f>SUM(I44:I46)</f>
        <v>907804.80000000028</v>
      </c>
      <c r="J43" s="1332"/>
      <c r="K43" s="540"/>
      <c r="L43" s="1325" t="e">
        <f>SUM(L44:L46)</f>
        <v>#REF!</v>
      </c>
      <c r="M43" s="571" t="s">
        <v>713</v>
      </c>
      <c r="N43" s="89"/>
      <c r="O43" s="89" t="s">
        <v>714</v>
      </c>
      <c r="P43" s="89" t="s">
        <v>672</v>
      </c>
      <c r="Q43" s="89"/>
      <c r="R43" s="89"/>
      <c r="S43" s="1233"/>
      <c r="T43" s="1250"/>
      <c r="U43" s="1241"/>
      <c r="V43" s="1245"/>
      <c r="W43" s="1007">
        <f t="shared" si="4"/>
        <v>0</v>
      </c>
      <c r="X43" s="556"/>
      <c r="Y43" s="546"/>
      <c r="Z43" s="546"/>
      <c r="AA43" s="546"/>
      <c r="AB43" s="557"/>
      <c r="AC43" s="557"/>
    </row>
    <row r="44" spans="2:29" s="558" customFormat="1" ht="18" hidden="1" customHeight="1" outlineLevel="1">
      <c r="B44" s="570" t="s">
        <v>715</v>
      </c>
      <c r="C44" s="571"/>
      <c r="D44" s="89" t="s">
        <v>716</v>
      </c>
      <c r="E44" s="89" t="s">
        <v>717</v>
      </c>
      <c r="F44" s="89"/>
      <c r="G44" s="572"/>
      <c r="H44" s="1371">
        <f>'AP 13'!F54</f>
        <v>484307.12000000046</v>
      </c>
      <c r="I44" s="1375">
        <f>'A P MC BM 12'!F48</f>
        <v>477519.82000000024</v>
      </c>
      <c r="J44" s="1326"/>
      <c r="K44" s="218"/>
      <c r="L44" s="1327">
        <f>J44-I44</f>
        <v>-477519.82000000024</v>
      </c>
      <c r="M44" s="571" t="s">
        <v>718</v>
      </c>
      <c r="N44" s="89"/>
      <c r="O44" s="89" t="s">
        <v>1396</v>
      </c>
      <c r="P44" s="89" t="s">
        <v>676</v>
      </c>
      <c r="Q44" s="89"/>
      <c r="R44" s="89"/>
      <c r="T44" s="1250"/>
      <c r="U44" s="1241"/>
      <c r="V44" s="1245"/>
      <c r="W44" s="1007">
        <f t="shared" si="4"/>
        <v>0</v>
      </c>
      <c r="X44" s="995">
        <f>SUM(W40:W44)</f>
        <v>961528</v>
      </c>
      <c r="Y44" s="1011" t="e">
        <f>SUM(#REF!)</f>
        <v>#REF!</v>
      </c>
      <c r="Z44" s="546"/>
      <c r="AA44" s="546"/>
      <c r="AB44" s="557"/>
      <c r="AC44" s="557"/>
    </row>
    <row r="45" spans="2:29" s="558" customFormat="1" ht="18" hidden="1" customHeight="1" outlineLevel="1">
      <c r="B45" s="570" t="s">
        <v>719</v>
      </c>
      <c r="C45" s="571"/>
      <c r="D45" s="89" t="s">
        <v>720</v>
      </c>
      <c r="E45" s="89" t="s">
        <v>721</v>
      </c>
      <c r="F45" s="89"/>
      <c r="G45" s="572"/>
      <c r="H45" s="1371">
        <f>'AP 13'!F58</f>
        <v>311447.25000000029</v>
      </c>
      <c r="I45" s="1375">
        <f>'A P MC BM 12'!F51</f>
        <v>430284.98</v>
      </c>
      <c r="J45" s="1326"/>
      <c r="K45" s="218"/>
      <c r="L45" s="1327">
        <f>J45-I45</f>
        <v>-430284.98</v>
      </c>
      <c r="M45" s="564" t="s">
        <v>602</v>
      </c>
      <c r="N45" s="567"/>
      <c r="O45" s="565" t="s">
        <v>722</v>
      </c>
      <c r="P45" s="565" t="s">
        <v>723</v>
      </c>
      <c r="Q45" s="565"/>
      <c r="R45" s="565"/>
      <c r="S45" s="1236"/>
      <c r="T45" s="1253"/>
      <c r="U45" s="1244"/>
      <c r="V45" s="1274"/>
      <c r="W45" s="1007" t="e">
        <f>U45-#REF!</f>
        <v>#REF!</v>
      </c>
      <c r="X45" s="556"/>
      <c r="Y45" s="546"/>
      <c r="Z45" s="546"/>
      <c r="AA45" s="546"/>
      <c r="AB45" s="557"/>
      <c r="AC45" s="557"/>
    </row>
    <row r="46" spans="2:29" s="558" customFormat="1" ht="18" hidden="1" customHeight="1" outlineLevel="1">
      <c r="B46" s="570" t="s">
        <v>724</v>
      </c>
      <c r="C46" s="571"/>
      <c r="D46" s="89" t="s">
        <v>1307</v>
      </c>
      <c r="E46" s="89" t="s">
        <v>725</v>
      </c>
      <c r="F46" s="89"/>
      <c r="G46" s="572"/>
      <c r="H46" s="1371"/>
      <c r="I46" s="1372"/>
      <c r="J46" s="1326"/>
      <c r="K46" s="218"/>
      <c r="L46" s="1327" t="e">
        <f>#REF!-J46</f>
        <v>#REF!</v>
      </c>
      <c r="M46" s="571"/>
      <c r="N46" s="89"/>
      <c r="O46" s="89"/>
      <c r="P46" s="89"/>
      <c r="Q46" s="89"/>
      <c r="R46" s="89"/>
      <c r="S46" s="1233"/>
      <c r="T46" s="1250"/>
      <c r="U46" s="1241"/>
      <c r="V46" s="1245"/>
      <c r="W46" s="1007" t="e">
        <f>U46-#REF!</f>
        <v>#REF!</v>
      </c>
      <c r="X46" s="556"/>
      <c r="Y46" s="546"/>
      <c r="Z46" s="546"/>
      <c r="AA46" s="546"/>
      <c r="AB46" s="557"/>
      <c r="AC46" s="557"/>
    </row>
    <row r="47" spans="2:29" s="558" customFormat="1" ht="18" hidden="1" customHeight="1" outlineLevel="1">
      <c r="B47" s="563" t="s">
        <v>726</v>
      </c>
      <c r="C47" s="564"/>
      <c r="D47" s="565" t="s">
        <v>727</v>
      </c>
      <c r="E47" s="565" t="s">
        <v>728</v>
      </c>
      <c r="F47" s="565"/>
      <c r="G47" s="566"/>
      <c r="H47" s="1369"/>
      <c r="I47" s="1370"/>
      <c r="J47" s="1324"/>
      <c r="K47" s="481"/>
      <c r="L47" s="1327" t="e">
        <f>#REF!-J47</f>
        <v>#REF!</v>
      </c>
      <c r="M47" s="571"/>
      <c r="N47" s="89"/>
      <c r="O47" s="89"/>
      <c r="P47" s="89"/>
      <c r="Q47" s="89"/>
      <c r="R47" s="89"/>
      <c r="S47" s="1233"/>
      <c r="T47" s="1250"/>
      <c r="U47" s="1241"/>
      <c r="V47" s="1245"/>
      <c r="W47" s="1007" t="e">
        <f>U47-#REF!</f>
        <v>#REF!</v>
      </c>
      <c r="X47" s="556"/>
      <c r="Y47" s="546"/>
      <c r="Z47" s="546"/>
      <c r="AA47" s="546"/>
      <c r="AB47" s="557"/>
      <c r="AC47" s="557"/>
    </row>
    <row r="48" spans="2:29" s="558" customFormat="1" ht="18" hidden="1" customHeight="1" outlineLevel="1">
      <c r="B48" s="570"/>
      <c r="C48" s="571"/>
      <c r="D48" s="89" t="s">
        <v>729</v>
      </c>
      <c r="E48" s="89" t="s">
        <v>674</v>
      </c>
      <c r="F48" s="89"/>
      <c r="G48" s="572"/>
      <c r="H48" s="1371"/>
      <c r="I48" s="1372"/>
      <c r="J48" s="1326"/>
      <c r="K48" s="218"/>
      <c r="L48" s="1327" t="e">
        <f>#REF!-J48</f>
        <v>#REF!</v>
      </c>
      <c r="M48" s="571"/>
      <c r="N48" s="89"/>
      <c r="O48" s="89"/>
      <c r="P48" s="89"/>
      <c r="Q48" s="89"/>
      <c r="R48" s="89"/>
      <c r="S48" s="1233"/>
      <c r="T48" s="1250"/>
      <c r="U48" s="1241"/>
      <c r="V48" s="1245"/>
      <c r="W48" s="1007" t="e">
        <f>U48-#REF!</f>
        <v>#REF!</v>
      </c>
      <c r="X48" s="556"/>
      <c r="Y48" s="546"/>
      <c r="Z48" s="546"/>
      <c r="AA48" s="546"/>
      <c r="AB48" s="557"/>
      <c r="AC48" s="557"/>
    </row>
    <row r="49" spans="2:29" s="558" customFormat="1" ht="18" hidden="1" customHeight="1" outlineLevel="1">
      <c r="B49" s="563" t="s">
        <v>730</v>
      </c>
      <c r="C49" s="564"/>
      <c r="D49" s="567" t="s">
        <v>1301</v>
      </c>
      <c r="E49" s="567" t="s">
        <v>731</v>
      </c>
      <c r="F49" s="567"/>
      <c r="G49" s="585"/>
      <c r="H49" s="1376">
        <f>SUM(H50:H51)</f>
        <v>3289448.42</v>
      </c>
      <c r="I49" s="1235">
        <f>SUM(I50:I51)</f>
        <v>4047756.048</v>
      </c>
      <c r="J49" s="1332"/>
      <c r="K49" s="540"/>
      <c r="L49" s="1333">
        <f>SUM(L50:L51)</f>
        <v>-4047756.048</v>
      </c>
      <c r="M49" s="564" t="s">
        <v>627</v>
      </c>
      <c r="N49" s="567"/>
      <c r="O49" s="567" t="s">
        <v>1301</v>
      </c>
      <c r="P49" s="567" t="s">
        <v>732</v>
      </c>
      <c r="Q49" s="567"/>
      <c r="R49" s="567"/>
      <c r="S49" s="1235">
        <f>+S50</f>
        <v>0</v>
      </c>
      <c r="T49" s="1252">
        <f>+T50</f>
        <v>0</v>
      </c>
      <c r="U49" s="1243"/>
      <c r="V49" s="1271"/>
      <c r="W49" s="1007" t="e">
        <f>U49-#REF!</f>
        <v>#REF!</v>
      </c>
      <c r="X49" s="556"/>
      <c r="Y49" s="546"/>
      <c r="Z49" s="546"/>
      <c r="AA49" s="546"/>
      <c r="AB49" s="557"/>
      <c r="AC49" s="557"/>
    </row>
    <row r="50" spans="2:29" s="558" customFormat="1" ht="18" hidden="1" customHeight="1" outlineLevel="1">
      <c r="B50" s="570" t="s">
        <v>733</v>
      </c>
      <c r="C50" s="571"/>
      <c r="D50" s="89" t="s">
        <v>734</v>
      </c>
      <c r="E50" s="89" t="s">
        <v>735</v>
      </c>
      <c r="F50" s="89"/>
      <c r="G50" s="572"/>
      <c r="H50" s="1371">
        <f>'AP 13'!F53</f>
        <v>3289448.42</v>
      </c>
      <c r="I50" s="1375">
        <f>'A P MC BM 12'!F47</f>
        <v>4047756.048</v>
      </c>
      <c r="J50" s="1326"/>
      <c r="K50" s="218"/>
      <c r="L50" s="1334">
        <f>J50-I50</f>
        <v>-4047756.048</v>
      </c>
      <c r="M50" s="571" t="s">
        <v>736</v>
      </c>
      <c r="N50" s="89"/>
      <c r="O50" s="89" t="s">
        <v>739</v>
      </c>
      <c r="P50" s="89" t="s">
        <v>740</v>
      </c>
      <c r="Q50" s="587"/>
      <c r="R50" s="587"/>
      <c r="S50" s="1365"/>
      <c r="T50" s="1364"/>
      <c r="U50" s="1245"/>
      <c r="V50" s="1245"/>
      <c r="W50" s="1007" t="e">
        <f>U50-#REF!</f>
        <v>#REF!</v>
      </c>
      <c r="X50" s="556"/>
      <c r="Y50" s="546"/>
      <c r="Z50" s="546"/>
      <c r="AA50" s="546"/>
      <c r="AB50" s="557"/>
      <c r="AC50" s="557"/>
    </row>
    <row r="51" spans="2:29" s="558" customFormat="1" ht="18" hidden="1" customHeight="1" outlineLevel="1">
      <c r="B51" s="570" t="s">
        <v>741</v>
      </c>
      <c r="C51" s="571"/>
      <c r="D51" s="89" t="s">
        <v>742</v>
      </c>
      <c r="E51" s="89" t="s">
        <v>743</v>
      </c>
      <c r="F51" s="89"/>
      <c r="G51" s="572"/>
      <c r="H51" s="1371"/>
      <c r="I51" s="1372"/>
      <c r="J51" s="1326"/>
      <c r="K51" s="218"/>
      <c r="L51" s="1327">
        <f>J51-I51</f>
        <v>0</v>
      </c>
      <c r="M51" s="571"/>
      <c r="N51" s="89"/>
      <c r="O51" s="89"/>
      <c r="P51" s="89"/>
      <c r="Q51" s="89"/>
      <c r="R51" s="89"/>
      <c r="S51" s="1233"/>
      <c r="T51" s="1250"/>
      <c r="U51" s="1241"/>
      <c r="V51" s="1245"/>
      <c r="W51" s="1007" t="e">
        <f>U51-#REF!</f>
        <v>#REF!</v>
      </c>
      <c r="X51" s="556"/>
      <c r="Y51" s="546"/>
      <c r="Z51" s="546"/>
      <c r="AA51" s="546"/>
      <c r="AB51" s="557"/>
      <c r="AC51" s="557"/>
    </row>
    <row r="52" spans="2:29" s="558" customFormat="1" ht="18" hidden="1" customHeight="1" outlineLevel="1" thickBot="1">
      <c r="B52" s="588"/>
      <c r="C52" s="589"/>
      <c r="D52" s="590"/>
      <c r="E52" s="590"/>
      <c r="F52" s="590"/>
      <c r="G52" s="591"/>
      <c r="H52" s="1377"/>
      <c r="I52" s="1378"/>
      <c r="J52" s="1335"/>
      <c r="K52" s="537"/>
      <c r="L52" s="1336">
        <f>J52-I52</f>
        <v>0</v>
      </c>
      <c r="M52" s="589"/>
      <c r="N52" s="590"/>
      <c r="O52" s="590"/>
      <c r="P52" s="590"/>
      <c r="Q52" s="590"/>
      <c r="R52" s="590"/>
      <c r="S52" s="1366"/>
      <c r="T52" s="1367"/>
      <c r="U52" s="1246"/>
      <c r="V52" s="1245"/>
      <c r="W52" s="1007" t="e">
        <f>U52-#REF!</f>
        <v>#REF!</v>
      </c>
      <c r="X52" s="556"/>
      <c r="Y52" s="546"/>
      <c r="Z52" s="546"/>
      <c r="AA52" s="546"/>
      <c r="AB52" s="557"/>
      <c r="AC52" s="557"/>
    </row>
    <row r="53" spans="2:29" s="558" customFormat="1" ht="24.75" hidden="1" customHeight="1" outlineLevel="1" thickBot="1">
      <c r="B53" s="592"/>
      <c r="C53" s="593"/>
      <c r="D53" s="594" t="s">
        <v>744</v>
      </c>
      <c r="E53" s="594" t="s">
        <v>745</v>
      </c>
      <c r="F53" s="594"/>
      <c r="G53" s="595"/>
      <c r="H53" s="1379">
        <f>SUM(H49+H26+H5)</f>
        <v>41336574.1316</v>
      </c>
      <c r="I53" s="1380">
        <f>SUM(I49+I26+I5)</f>
        <v>32925319.903400004</v>
      </c>
      <c r="J53" s="1337">
        <f>SUM(J49+J26+J5)</f>
        <v>0</v>
      </c>
      <c r="K53" s="596"/>
      <c r="L53" s="1338" t="e">
        <f>SUM(L49+L26+L5)</f>
        <v>#REF!</v>
      </c>
      <c r="M53" s="1321"/>
      <c r="N53" s="597"/>
      <c r="O53" s="594" t="s">
        <v>746</v>
      </c>
      <c r="P53" s="594" t="s">
        <v>747</v>
      </c>
      <c r="Q53" s="594"/>
      <c r="R53" s="594"/>
      <c r="S53" s="598">
        <f>SUM(S49+S26+S5)</f>
        <v>41336574.133988008</v>
      </c>
      <c r="T53" s="1262">
        <f>SUM(T49+T26+T5)</f>
        <v>32925319.649914023</v>
      </c>
      <c r="U53" s="1261">
        <f>SUM(U49+U26+U5)</f>
        <v>0</v>
      </c>
      <c r="V53" s="1271"/>
      <c r="W53" s="1007" t="e">
        <f>W5+W26</f>
        <v>#REF!</v>
      </c>
      <c r="X53" s="556"/>
      <c r="Y53" s="546"/>
      <c r="Z53" s="546"/>
      <c r="AA53" s="546"/>
      <c r="AB53" s="557"/>
      <c r="AC53" s="557"/>
    </row>
    <row r="54" spans="2:29" collapsed="1">
      <c r="H54" s="1154"/>
      <c r="J54" s="599"/>
      <c r="K54" s="599"/>
      <c r="L54" s="599"/>
      <c r="S54" s="1625">
        <f>H53-S53</f>
        <v>-2.3880079388618469E-3</v>
      </c>
      <c r="T54" s="1625">
        <f>I53-T53</f>
        <v>0.25348598137497902</v>
      </c>
      <c r="Y54" s="600"/>
      <c r="Z54" s="600"/>
      <c r="AA54" s="600"/>
    </row>
    <row r="55" spans="2:29" ht="13.5" thickBot="1">
      <c r="J55" s="599"/>
      <c r="K55" s="599"/>
      <c r="L55" s="599"/>
      <c r="S55" s="1626">
        <f>S53-S105</f>
        <v>0</v>
      </c>
      <c r="T55" s="1626">
        <f>T53-T105</f>
        <v>0</v>
      </c>
      <c r="U55" s="219"/>
      <c r="V55" s="219"/>
      <c r="W55" s="219"/>
      <c r="Y55" s="600"/>
      <c r="Z55" s="600"/>
      <c r="AA55" s="600"/>
    </row>
    <row r="56" spans="2:29" ht="17.25" customHeight="1" thickBot="1">
      <c r="B56" s="1694" t="s">
        <v>517</v>
      </c>
      <c r="C56" s="1098" t="s">
        <v>1668</v>
      </c>
      <c r="D56" s="1696" t="s">
        <v>1508</v>
      </c>
      <c r="E56" s="1696" t="s">
        <v>519</v>
      </c>
      <c r="F56" s="1099"/>
      <c r="G56" s="1696" t="s">
        <v>1540</v>
      </c>
      <c r="H56" s="1698" t="s">
        <v>520</v>
      </c>
      <c r="I56" s="1699"/>
      <c r="J56" s="1308"/>
      <c r="K56" s="1309"/>
      <c r="L56" s="1310"/>
      <c r="M56" s="1694" t="s">
        <v>521</v>
      </c>
      <c r="N56" s="1098" t="s">
        <v>1668</v>
      </c>
      <c r="O56" s="1696" t="s">
        <v>1427</v>
      </c>
      <c r="P56" s="1696" t="s">
        <v>523</v>
      </c>
      <c r="Q56" s="1099"/>
      <c r="R56" s="1706" t="s">
        <v>1540</v>
      </c>
      <c r="S56" s="1703" t="s">
        <v>520</v>
      </c>
      <c r="T56" s="1704"/>
      <c r="U56" s="1095"/>
      <c r="V56" s="1705">
        <v>2013</v>
      </c>
      <c r="W56" s="1702">
        <v>2012</v>
      </c>
    </row>
    <row r="57" spans="2:29" ht="18.75" customHeight="1" thickBot="1">
      <c r="B57" s="1695"/>
      <c r="C57" s="1100" t="s">
        <v>1669</v>
      </c>
      <c r="D57" s="1697"/>
      <c r="E57" s="1697"/>
      <c r="F57" s="1101"/>
      <c r="G57" s="1697"/>
      <c r="H57" s="1155" t="s">
        <v>344</v>
      </c>
      <c r="I57" s="1291" t="s">
        <v>269</v>
      </c>
      <c r="J57" s="1190" t="s">
        <v>270</v>
      </c>
      <c r="K57" s="1304">
        <v>2013</v>
      </c>
      <c r="L57" s="1311">
        <v>2012</v>
      </c>
      <c r="M57" s="1695"/>
      <c r="N57" s="1100" t="s">
        <v>1669</v>
      </c>
      <c r="O57" s="1697"/>
      <c r="P57" s="1697"/>
      <c r="Q57" s="1101"/>
      <c r="R57" s="1707"/>
      <c r="S57" s="1268" t="s">
        <v>344</v>
      </c>
      <c r="T57" s="1097" t="s">
        <v>269</v>
      </c>
      <c r="U57" s="1096" t="s">
        <v>270</v>
      </c>
      <c r="V57" s="1705"/>
      <c r="W57" s="1702"/>
    </row>
    <row r="58" spans="2:29" ht="18" customHeight="1">
      <c r="B58" s="1442" t="s">
        <v>752</v>
      </c>
      <c r="C58" s="1443" t="s">
        <v>525</v>
      </c>
      <c r="D58" s="1444" t="s">
        <v>1315</v>
      </c>
      <c r="E58" s="1445" t="s">
        <v>1456</v>
      </c>
      <c r="F58" s="1446"/>
      <c r="G58" s="1445"/>
      <c r="H58" s="1447"/>
      <c r="I58" s="1448"/>
      <c r="J58" s="1449"/>
      <c r="K58" s="1450"/>
      <c r="L58" s="1451"/>
      <c r="M58" s="1442" t="s">
        <v>752</v>
      </c>
      <c r="N58" s="1452" t="s">
        <v>1581</v>
      </c>
      <c r="O58" s="1444" t="s">
        <v>1341</v>
      </c>
      <c r="P58" s="1445"/>
      <c r="Q58" s="1446"/>
      <c r="R58" s="1448"/>
      <c r="S58" s="1453"/>
      <c r="T58" s="1454"/>
      <c r="U58" s="1263"/>
      <c r="V58" s="825"/>
      <c r="W58" s="825"/>
    </row>
    <row r="59" spans="2:29" ht="18" customHeight="1">
      <c r="B59" s="638">
        <v>1</v>
      </c>
      <c r="C59" s="639" t="s">
        <v>1589</v>
      </c>
      <c r="D59" s="544" t="s">
        <v>1316</v>
      </c>
      <c r="E59" s="634" t="s">
        <v>1457</v>
      </c>
      <c r="F59" s="1505" t="s">
        <v>1674</v>
      </c>
      <c r="G59" s="338">
        <v>4</v>
      </c>
      <c r="H59" s="1162">
        <f>SUM(H44:H46)</f>
        <v>795754.37000000081</v>
      </c>
      <c r="I59" s="1506">
        <f>SUM(I44:I46)</f>
        <v>907804.80000000028</v>
      </c>
      <c r="J59" s="1312">
        <v>246671</v>
      </c>
      <c r="K59" s="1305">
        <f>I59-H59</f>
        <v>112050.42999999947</v>
      </c>
      <c r="L59" s="1313">
        <f>J59-I59</f>
        <v>-661133.80000000028</v>
      </c>
      <c r="M59" s="1515">
        <v>1</v>
      </c>
      <c r="N59" s="631" t="s">
        <v>1622</v>
      </c>
      <c r="O59" s="631" t="s">
        <v>1318</v>
      </c>
      <c r="P59" s="631" t="s">
        <v>1480</v>
      </c>
      <c r="Q59" s="632" t="s">
        <v>1673</v>
      </c>
      <c r="R59" s="1495"/>
      <c r="S59" s="1496"/>
      <c r="T59" s="1497"/>
      <c r="U59" s="1264"/>
      <c r="V59" s="826"/>
      <c r="W59" s="826"/>
    </row>
    <row r="60" spans="2:29" ht="18" customHeight="1">
      <c r="B60" s="603">
        <v>2</v>
      </c>
      <c r="C60" s="604" t="s">
        <v>1590</v>
      </c>
      <c r="D60" s="605" t="s">
        <v>1317</v>
      </c>
      <c r="E60" s="606" t="s">
        <v>1458</v>
      </c>
      <c r="F60" s="1709" t="s">
        <v>1675</v>
      </c>
      <c r="G60" s="336"/>
      <c r="H60" s="1166"/>
      <c r="I60" s="1301"/>
      <c r="J60" s="1314">
        <f>SUM(J61:J62)</f>
        <v>0</v>
      </c>
      <c r="K60" s="1306"/>
      <c r="L60" s="1315"/>
      <c r="M60" s="541">
        <v>2</v>
      </c>
      <c r="N60" s="544" t="s">
        <v>1623</v>
      </c>
      <c r="O60" s="544" t="s">
        <v>1086</v>
      </c>
      <c r="P60" s="544" t="s">
        <v>1481</v>
      </c>
      <c r="Q60" s="260"/>
      <c r="R60" s="1502" t="s">
        <v>297</v>
      </c>
      <c r="S60" s="1503">
        <f>SUM(S61:S63)</f>
        <v>45486750.579999998</v>
      </c>
      <c r="T60" s="1504">
        <f>SUM(T61:T63)</f>
        <v>27381150.81000001</v>
      </c>
      <c r="U60" s="1188">
        <f>SUM(U61:U63)</f>
        <v>5284079</v>
      </c>
      <c r="V60" s="531">
        <f>SUM(V61:V63)</f>
        <v>18105599.769999988</v>
      </c>
      <c r="W60" s="531">
        <f>SUM(W61:W63)</f>
        <v>22097071.81000001</v>
      </c>
    </row>
    <row r="61" spans="2:29" ht="18" customHeight="1">
      <c r="B61" s="611" t="s">
        <v>1320</v>
      </c>
      <c r="C61" s="612" t="s">
        <v>1591</v>
      </c>
      <c r="D61" s="613" t="s">
        <v>1509</v>
      </c>
      <c r="E61" s="220" t="s">
        <v>1459</v>
      </c>
      <c r="F61" s="1710"/>
      <c r="G61" s="329"/>
      <c r="H61" s="1157"/>
      <c r="I61" s="1293"/>
      <c r="J61" s="1314"/>
      <c r="K61" s="1306"/>
      <c r="L61" s="1315"/>
      <c r="M61" s="622" t="s">
        <v>1320</v>
      </c>
      <c r="N61" s="1516" t="s">
        <v>1624</v>
      </c>
      <c r="O61" s="624" t="s">
        <v>272</v>
      </c>
      <c r="P61" s="624" t="s">
        <v>1482</v>
      </c>
      <c r="Q61" s="1498" t="s">
        <v>1687</v>
      </c>
      <c r="R61" s="1499"/>
      <c r="S61" s="1500">
        <f>S36</f>
        <v>45486750.579999998</v>
      </c>
      <c r="T61" s="1501">
        <f>T36</f>
        <v>27381150.81000001</v>
      </c>
      <c r="U61" s="1188">
        <v>5284079</v>
      </c>
      <c r="V61" s="827">
        <f>S61-T61</f>
        <v>18105599.769999988</v>
      </c>
      <c r="W61" s="827">
        <f>T61-U61</f>
        <v>22097071.81000001</v>
      </c>
    </row>
    <row r="62" spans="2:29" ht="18" customHeight="1">
      <c r="B62" s="614" t="s">
        <v>1321</v>
      </c>
      <c r="C62" s="615" t="s">
        <v>1592</v>
      </c>
      <c r="D62" s="616" t="s">
        <v>1510</v>
      </c>
      <c r="E62" s="346" t="s">
        <v>1460</v>
      </c>
      <c r="F62" s="1711"/>
      <c r="G62" s="330"/>
      <c r="H62" s="1158"/>
      <c r="I62" s="1294"/>
      <c r="J62" s="1314"/>
      <c r="K62" s="1306"/>
      <c r="L62" s="1315"/>
      <c r="M62" s="611" t="s">
        <v>1321</v>
      </c>
      <c r="N62" s="1470" t="s">
        <v>1625</v>
      </c>
      <c r="O62" s="613" t="s">
        <v>1342</v>
      </c>
      <c r="P62" s="613" t="s">
        <v>1483</v>
      </c>
      <c r="Q62" s="630" t="s">
        <v>1689</v>
      </c>
      <c r="R62" s="1471"/>
      <c r="S62" s="1472"/>
      <c r="T62" s="1473"/>
      <c r="U62" s="1188"/>
      <c r="V62" s="827"/>
      <c r="W62" s="827"/>
    </row>
    <row r="63" spans="2:29" ht="18" customHeight="1">
      <c r="B63" s="617"/>
      <c r="C63" s="618"/>
      <c r="D63" s="543" t="s">
        <v>1319</v>
      </c>
      <c r="E63" s="619" t="s">
        <v>1237</v>
      </c>
      <c r="F63" s="620"/>
      <c r="G63" s="331"/>
      <c r="H63" s="1159">
        <f>SUM(H59:H60)</f>
        <v>795754.37000000081</v>
      </c>
      <c r="I63" s="1507">
        <f>SUM(I59:I60)</f>
        <v>907804.80000000028</v>
      </c>
      <c r="J63" s="1314">
        <f>SUM(J59:J60)</f>
        <v>246671</v>
      </c>
      <c r="K63" s="1306">
        <f>SUM(K59:K60)</f>
        <v>112050.42999999947</v>
      </c>
      <c r="L63" s="1315">
        <f>SUM(L59:L60)</f>
        <v>-661133.80000000028</v>
      </c>
      <c r="M63" s="614" t="s">
        <v>1323</v>
      </c>
      <c r="N63" s="1517" t="s">
        <v>1626</v>
      </c>
      <c r="O63" s="616" t="s">
        <v>1343</v>
      </c>
      <c r="P63" s="616" t="s">
        <v>1484</v>
      </c>
      <c r="Q63" s="1508" t="s">
        <v>1693</v>
      </c>
      <c r="R63" s="1509"/>
      <c r="S63" s="1510"/>
      <c r="T63" s="1511"/>
      <c r="U63" s="1188"/>
      <c r="V63" s="827"/>
      <c r="W63" s="827"/>
    </row>
    <row r="64" spans="2:29" ht="18" customHeight="1">
      <c r="B64" s="603">
        <v>3</v>
      </c>
      <c r="C64" s="604" t="s">
        <v>1593</v>
      </c>
      <c r="D64" s="605" t="s">
        <v>1322</v>
      </c>
      <c r="E64" s="605" t="s">
        <v>1461</v>
      </c>
      <c r="F64" s="1709" t="s">
        <v>1676</v>
      </c>
      <c r="G64" s="327"/>
      <c r="H64" s="1160"/>
      <c r="I64" s="1295"/>
      <c r="J64" s="1314"/>
      <c r="K64" s="1306"/>
      <c r="L64" s="1315"/>
      <c r="M64" s="617"/>
      <c r="N64" s="1519" t="s">
        <v>1582</v>
      </c>
      <c r="O64" s="543" t="s">
        <v>1319</v>
      </c>
      <c r="P64" s="544" t="s">
        <v>1237</v>
      </c>
      <c r="Q64" s="260"/>
      <c r="R64" s="1514"/>
      <c r="S64" s="1503">
        <f>SUM(S61:S63)</f>
        <v>45486750.579999998</v>
      </c>
      <c r="T64" s="1504">
        <f>SUM(T61:T63)</f>
        <v>27381150.81000001</v>
      </c>
      <c r="U64" s="1188">
        <f>SUM(U61:U63)</f>
        <v>5284079</v>
      </c>
      <c r="V64" s="531">
        <f>SUM(V61:V63)</f>
        <v>18105599.769999988</v>
      </c>
      <c r="W64" s="531">
        <f>SUM(W61:W63)</f>
        <v>22097071.81000001</v>
      </c>
      <c r="Y64" s="621"/>
    </row>
    <row r="65" spans="2:28" ht="18" customHeight="1">
      <c r="B65" s="611" t="s">
        <v>1320</v>
      </c>
      <c r="C65" s="612" t="s">
        <v>1594</v>
      </c>
      <c r="D65" s="613" t="s">
        <v>1703</v>
      </c>
      <c r="E65" s="220" t="s">
        <v>1462</v>
      </c>
      <c r="F65" s="1710"/>
      <c r="G65" s="333">
        <v>5</v>
      </c>
      <c r="H65" s="1161">
        <f>H35+H36+H39</f>
        <v>8282890.1916000005</v>
      </c>
      <c r="I65" s="1296">
        <f>I35+I36+I39</f>
        <v>7509550</v>
      </c>
      <c r="J65" s="1314">
        <v>541520</v>
      </c>
      <c r="K65" s="1306">
        <f t="shared" ref="K65:L67" si="5">I65-H65</f>
        <v>-773340.19160000049</v>
      </c>
      <c r="L65" s="1315">
        <f t="shared" si="5"/>
        <v>-6968030</v>
      </c>
      <c r="M65" s="603">
        <v>3</v>
      </c>
      <c r="N65" s="1518" t="s">
        <v>1627</v>
      </c>
      <c r="O65" s="605" t="s">
        <v>1344</v>
      </c>
      <c r="P65" s="624"/>
      <c r="Q65" s="1498"/>
      <c r="R65" s="1499"/>
      <c r="S65" s="1512"/>
      <c r="T65" s="1513"/>
      <c r="U65" s="1188"/>
      <c r="V65" s="827"/>
      <c r="W65" s="827"/>
    </row>
    <row r="66" spans="2:28" ht="18" customHeight="1">
      <c r="B66" s="611" t="s">
        <v>1321</v>
      </c>
      <c r="C66" s="612" t="s">
        <v>1595</v>
      </c>
      <c r="D66" s="613" t="s">
        <v>1531</v>
      </c>
      <c r="E66" s="220" t="s">
        <v>1463</v>
      </c>
      <c r="F66" s="1710"/>
      <c r="G66" s="333">
        <v>6</v>
      </c>
      <c r="H66" s="1475">
        <f>H37</f>
        <v>319871.6700000001</v>
      </c>
      <c r="I66" s="1476">
        <f>I37</f>
        <v>1520299.6</v>
      </c>
      <c r="J66" s="1314">
        <v>4267</v>
      </c>
      <c r="K66" s="1306">
        <f t="shared" si="5"/>
        <v>1200427.93</v>
      </c>
      <c r="L66" s="1315">
        <f t="shared" si="5"/>
        <v>-1516032.6</v>
      </c>
      <c r="M66" s="611" t="s">
        <v>1320</v>
      </c>
      <c r="N66" s="1470" t="s">
        <v>1628</v>
      </c>
      <c r="O66" s="613" t="s">
        <v>1345</v>
      </c>
      <c r="P66" s="613" t="s">
        <v>1485</v>
      </c>
      <c r="Q66" s="637" t="s">
        <v>1687</v>
      </c>
      <c r="R66" s="1297">
        <v>12</v>
      </c>
      <c r="S66" s="1468">
        <f>$S$39</f>
        <v>16622799.459999995</v>
      </c>
      <c r="T66" s="1469">
        <f>$T$39</f>
        <v>2948424.8534000032</v>
      </c>
      <c r="U66" s="1188"/>
      <c r="V66" s="827">
        <f t="shared" ref="V66:W70" si="6">S66-T66</f>
        <v>13674374.606599992</v>
      </c>
      <c r="W66" s="827">
        <f t="shared" si="6"/>
        <v>2948424.8534000032</v>
      </c>
      <c r="X66" s="512">
        <f>U66-T66</f>
        <v>-2948424.8534000032</v>
      </c>
    </row>
    <row r="67" spans="2:28" ht="18" customHeight="1">
      <c r="B67" s="611" t="s">
        <v>1323</v>
      </c>
      <c r="C67" s="612" t="s">
        <v>1596</v>
      </c>
      <c r="D67" s="613" t="s">
        <v>500</v>
      </c>
      <c r="E67" s="220" t="s">
        <v>1459</v>
      </c>
      <c r="F67" s="1710"/>
      <c r="G67" s="333">
        <v>6.1</v>
      </c>
      <c r="H67" s="1560">
        <f>H23</f>
        <v>3167578.3</v>
      </c>
      <c r="I67" s="1559">
        <f>I23</f>
        <v>2937440.54</v>
      </c>
      <c r="J67" s="1314">
        <v>2652210</v>
      </c>
      <c r="K67" s="1306">
        <f t="shared" si="5"/>
        <v>-230137.75999999978</v>
      </c>
      <c r="L67" s="1315">
        <f t="shared" si="5"/>
        <v>-285230.54000000004</v>
      </c>
      <c r="M67" s="611" t="s">
        <v>1321</v>
      </c>
      <c r="N67" s="1470" t="s">
        <v>1629</v>
      </c>
      <c r="O67" s="613" t="s">
        <v>1346</v>
      </c>
      <c r="P67" s="613" t="s">
        <v>1486</v>
      </c>
      <c r="Q67" s="637"/>
      <c r="R67" s="1297">
        <v>13</v>
      </c>
      <c r="S67" s="1468">
        <f>$S$40</f>
        <v>867102</v>
      </c>
      <c r="T67" s="1469">
        <f>$T$40</f>
        <v>181044</v>
      </c>
      <c r="U67" s="1188">
        <v>463046</v>
      </c>
      <c r="V67" s="827">
        <f t="shared" si="6"/>
        <v>686058</v>
      </c>
      <c r="W67" s="827">
        <f t="shared" si="6"/>
        <v>-282002</v>
      </c>
    </row>
    <row r="68" spans="2:28" ht="18" customHeight="1">
      <c r="B68" s="614" t="s">
        <v>1324</v>
      </c>
      <c r="C68" s="615" t="s">
        <v>1597</v>
      </c>
      <c r="D68" s="616" t="s">
        <v>1511</v>
      </c>
      <c r="E68" s="346" t="s">
        <v>1464</v>
      </c>
      <c r="F68" s="1711"/>
      <c r="G68" s="330"/>
      <c r="H68" s="1158"/>
      <c r="I68" s="1294"/>
      <c r="J68" s="1314"/>
      <c r="K68" s="1306"/>
      <c r="L68" s="1315"/>
      <c r="M68" s="611" t="s">
        <v>1323</v>
      </c>
      <c r="N68" s="1470" t="s">
        <v>1630</v>
      </c>
      <c r="O68" s="613" t="s">
        <v>1347</v>
      </c>
      <c r="P68" s="613" t="s">
        <v>1487</v>
      </c>
      <c r="Q68" s="637"/>
      <c r="R68" s="1297">
        <v>14</v>
      </c>
      <c r="S68" s="1477">
        <f>SUM(S41:S42)</f>
        <v>278855.24</v>
      </c>
      <c r="T68" s="1478">
        <f>SUM(T41:T42)</f>
        <v>780484</v>
      </c>
      <c r="U68" s="1265">
        <f>115324+40335</f>
        <v>155659</v>
      </c>
      <c r="V68" s="827">
        <f t="shared" si="6"/>
        <v>-501628.76</v>
      </c>
      <c r="W68" s="827">
        <f t="shared" si="6"/>
        <v>624825</v>
      </c>
      <c r="X68" s="512">
        <f>U68-T68</f>
        <v>-624825</v>
      </c>
      <c r="Y68" s="625"/>
      <c r="Z68" s="626"/>
    </row>
    <row r="69" spans="2:28" ht="18" customHeight="1">
      <c r="B69" s="617"/>
      <c r="C69" s="618"/>
      <c r="D69" s="543" t="s">
        <v>1319</v>
      </c>
      <c r="E69" s="543" t="s">
        <v>1237</v>
      </c>
      <c r="F69" s="627"/>
      <c r="G69" s="332"/>
      <c r="H69" s="1162">
        <f>SUM(H65:H68)</f>
        <v>11770340.161600001</v>
      </c>
      <c r="I69" s="1506">
        <f>SUM(I65:I68)</f>
        <v>11967290.140000001</v>
      </c>
      <c r="J69" s="1312">
        <f>SUM(J65:J68)</f>
        <v>3197997</v>
      </c>
      <c r="K69" s="1305">
        <f>SUM(K65:K68)</f>
        <v>196949.97839999967</v>
      </c>
      <c r="L69" s="1313">
        <f>SUM(L65:L68)</f>
        <v>-8769293.1400000006</v>
      </c>
      <c r="M69" s="611" t="s">
        <v>1330</v>
      </c>
      <c r="N69" s="1470" t="s">
        <v>1631</v>
      </c>
      <c r="O69" s="613" t="s">
        <v>1348</v>
      </c>
      <c r="P69" s="613" t="s">
        <v>1488</v>
      </c>
      <c r="Q69" s="637"/>
      <c r="R69" s="1471"/>
      <c r="S69" s="1472"/>
      <c r="T69" s="1473"/>
      <c r="U69" s="1263"/>
      <c r="V69" s="827">
        <f t="shared" si="6"/>
        <v>0</v>
      </c>
      <c r="W69" s="827">
        <f t="shared" si="6"/>
        <v>0</v>
      </c>
      <c r="Y69" s="628"/>
    </row>
    <row r="70" spans="2:28" ht="18" customHeight="1">
      <c r="B70" s="603">
        <v>4</v>
      </c>
      <c r="C70" s="604" t="s">
        <v>630</v>
      </c>
      <c r="D70" s="605" t="s">
        <v>1325</v>
      </c>
      <c r="E70" s="605" t="s">
        <v>635</v>
      </c>
      <c r="F70" s="1709" t="s">
        <v>1677</v>
      </c>
      <c r="G70" s="327"/>
      <c r="H70" s="1160"/>
      <c r="I70" s="1295"/>
      <c r="J70" s="1314"/>
      <c r="K70" s="1306"/>
      <c r="L70" s="1315"/>
      <c r="M70" s="614" t="s">
        <v>1324</v>
      </c>
      <c r="N70" s="1517" t="s">
        <v>1632</v>
      </c>
      <c r="O70" s="616" t="s">
        <v>268</v>
      </c>
      <c r="P70" s="616" t="s">
        <v>1489</v>
      </c>
      <c r="Q70" s="632"/>
      <c r="R70" s="1520">
        <v>15</v>
      </c>
      <c r="S70" s="1521"/>
      <c r="T70" s="1522">
        <f>T44</f>
        <v>0</v>
      </c>
      <c r="U70" s="1188">
        <v>75438</v>
      </c>
      <c r="V70" s="827">
        <f t="shared" si="6"/>
        <v>0</v>
      </c>
      <c r="W70" s="827">
        <f t="shared" si="6"/>
        <v>-75438</v>
      </c>
      <c r="X70" s="512">
        <f>U70-T70</f>
        <v>75438</v>
      </c>
      <c r="Y70" s="626">
        <f>SUM(W67:W70)</f>
        <v>267385</v>
      </c>
    </row>
    <row r="71" spans="2:28" ht="18" customHeight="1">
      <c r="B71" s="611" t="s">
        <v>1320</v>
      </c>
      <c r="C71" s="612" t="s">
        <v>1598</v>
      </c>
      <c r="D71" s="613" t="s">
        <v>1397</v>
      </c>
      <c r="E71" s="220" t="s">
        <v>1465</v>
      </c>
      <c r="F71" s="1710"/>
      <c r="G71" s="333"/>
      <c r="H71" s="1161">
        <f t="shared" ref="H71:J72" si="7">+H28</f>
        <v>0</v>
      </c>
      <c r="I71" s="1296">
        <f t="shared" si="7"/>
        <v>0</v>
      </c>
      <c r="J71" s="1314">
        <f t="shared" si="7"/>
        <v>0</v>
      </c>
      <c r="K71" s="1306"/>
      <c r="L71" s="1315"/>
      <c r="M71" s="617"/>
      <c r="N71" s="1519" t="s">
        <v>1583</v>
      </c>
      <c r="O71" s="543" t="s">
        <v>1319</v>
      </c>
      <c r="P71" s="544" t="s">
        <v>1237</v>
      </c>
      <c r="Q71" s="260"/>
      <c r="R71" s="1523"/>
      <c r="S71" s="1503">
        <f>SUM(S66:S70)</f>
        <v>17768756.699999992</v>
      </c>
      <c r="T71" s="1504">
        <f>SUM(T66:T70)</f>
        <v>3909952.8534000032</v>
      </c>
      <c r="U71" s="1188">
        <f>SUM(U66:U70)</f>
        <v>694143</v>
      </c>
      <c r="V71" s="531">
        <f>SUM(V66:V70)</f>
        <v>13858803.846599992</v>
      </c>
      <c r="W71" s="531">
        <f>SUM(W66:W70)</f>
        <v>3215809.8534000032</v>
      </c>
      <c r="X71" s="512">
        <f>SUM(X68:X70)</f>
        <v>-549387</v>
      </c>
    </row>
    <row r="72" spans="2:28" ht="18" customHeight="1">
      <c r="B72" s="611" t="s">
        <v>1321</v>
      </c>
      <c r="C72" s="612" t="s">
        <v>1599</v>
      </c>
      <c r="D72" s="613" t="s">
        <v>503</v>
      </c>
      <c r="E72" s="220" t="s">
        <v>1466</v>
      </c>
      <c r="F72" s="1710"/>
      <c r="G72" s="333"/>
      <c r="H72" s="1161">
        <f t="shared" si="7"/>
        <v>0</v>
      </c>
      <c r="I72" s="1296">
        <f t="shared" si="7"/>
        <v>0</v>
      </c>
      <c r="J72" s="1314">
        <f t="shared" si="7"/>
        <v>0</v>
      </c>
      <c r="K72" s="1306"/>
      <c r="L72" s="1315"/>
      <c r="M72" s="603">
        <v>4</v>
      </c>
      <c r="N72" s="1518" t="s">
        <v>1633</v>
      </c>
      <c r="O72" s="605" t="s">
        <v>1670</v>
      </c>
      <c r="P72" s="605" t="s">
        <v>1490</v>
      </c>
      <c r="Q72" s="643" t="s">
        <v>1694</v>
      </c>
      <c r="R72" s="1499"/>
      <c r="S72" s="1512"/>
      <c r="T72" s="1513"/>
      <c r="U72" s="1188"/>
      <c r="V72" s="827"/>
      <c r="W72" s="827"/>
      <c r="AA72" s="58"/>
      <c r="AB72" s="58"/>
    </row>
    <row r="73" spans="2:28" ht="18" customHeight="1">
      <c r="B73" s="611" t="s">
        <v>1323</v>
      </c>
      <c r="C73" s="612" t="s">
        <v>1600</v>
      </c>
      <c r="D73" s="613" t="s">
        <v>1512</v>
      </c>
      <c r="E73" s="220" t="s">
        <v>1467</v>
      </c>
      <c r="F73" s="1479"/>
      <c r="G73" s="329"/>
      <c r="H73" s="1157"/>
      <c r="I73" s="1293"/>
      <c r="J73" s="1314"/>
      <c r="K73" s="1306"/>
      <c r="L73" s="1315"/>
      <c r="M73" s="607">
        <v>5</v>
      </c>
      <c r="N73" s="1474" t="s">
        <v>1634</v>
      </c>
      <c r="O73" s="609" t="s">
        <v>1671</v>
      </c>
      <c r="P73" s="609" t="s">
        <v>1491</v>
      </c>
      <c r="Q73" s="630" t="s">
        <v>1696</v>
      </c>
      <c r="R73" s="1471"/>
      <c r="S73" s="1472"/>
      <c r="T73" s="1473"/>
      <c r="U73" s="1188"/>
      <c r="V73" s="827"/>
      <c r="W73" s="827"/>
      <c r="AA73" s="58"/>
      <c r="AB73" s="58"/>
    </row>
    <row r="74" spans="2:28" ht="18" customHeight="1">
      <c r="B74" s="611" t="s">
        <v>1324</v>
      </c>
      <c r="C74" s="612" t="s">
        <v>1601</v>
      </c>
      <c r="D74" s="613" t="s">
        <v>502</v>
      </c>
      <c r="E74" s="220" t="s">
        <v>1468</v>
      </c>
      <c r="F74" s="1479"/>
      <c r="G74" s="333"/>
      <c r="H74" s="1161">
        <f>$J$31</f>
        <v>0</v>
      </c>
      <c r="I74" s="1296">
        <f>$J$31</f>
        <v>0</v>
      </c>
      <c r="J74" s="1314">
        <f>$J$31</f>
        <v>0</v>
      </c>
      <c r="K74" s="1306"/>
      <c r="L74" s="1315"/>
      <c r="M74" s="614"/>
      <c r="N74" s="1517"/>
      <c r="O74" s="616"/>
      <c r="P74" s="616"/>
      <c r="Q74" s="632"/>
      <c r="R74" s="1509"/>
      <c r="S74" s="1510"/>
      <c r="T74" s="1511"/>
      <c r="U74" s="1188"/>
      <c r="V74" s="827"/>
      <c r="W74" s="827"/>
      <c r="AA74" s="58"/>
      <c r="AB74" s="58"/>
    </row>
    <row r="75" spans="2:28" ht="18" customHeight="1">
      <c r="B75" s="614" t="s">
        <v>1539</v>
      </c>
      <c r="C75" s="615" t="s">
        <v>1602</v>
      </c>
      <c r="D75" s="616" t="s">
        <v>1513</v>
      </c>
      <c r="E75" s="346" t="s">
        <v>1469</v>
      </c>
      <c r="F75" s="1547"/>
      <c r="G75" s="330"/>
      <c r="H75" s="1158"/>
      <c r="I75" s="1294"/>
      <c r="J75" s="1314">
        <v>1441625</v>
      </c>
      <c r="K75" s="1306">
        <f>I75-H75</f>
        <v>0</v>
      </c>
      <c r="L75" s="1315">
        <f>J75-I75</f>
        <v>1441625</v>
      </c>
      <c r="M75" s="617"/>
      <c r="N75" s="1519"/>
      <c r="O75" s="543" t="s">
        <v>1349</v>
      </c>
      <c r="P75" s="1526" t="s">
        <v>1505</v>
      </c>
      <c r="Q75" s="260"/>
      <c r="R75" s="1514"/>
      <c r="S75" s="1527">
        <f>SUM(S72,S71,S64)</f>
        <v>63255507.279999986</v>
      </c>
      <c r="T75" s="1528">
        <f>SUM(T72,T71,T64)</f>
        <v>31291103.663400013</v>
      </c>
      <c r="U75" s="1263">
        <f>SUM(U72,U71,U64)</f>
        <v>5978222</v>
      </c>
      <c r="V75" s="533">
        <f>SUM(V72,V71,V64)</f>
        <v>31964403.616599981</v>
      </c>
      <c r="W75" s="533">
        <f>SUM(W72,W71,W64)</f>
        <v>25312881.663400013</v>
      </c>
      <c r="AA75" s="58"/>
      <c r="AB75" s="58"/>
    </row>
    <row r="76" spans="2:28" ht="18" customHeight="1">
      <c r="B76" s="617"/>
      <c r="C76" s="618"/>
      <c r="D76" s="543" t="s">
        <v>1319</v>
      </c>
      <c r="E76" s="543" t="s">
        <v>1237</v>
      </c>
      <c r="F76" s="627"/>
      <c r="G76" s="338">
        <v>7</v>
      </c>
      <c r="H76" s="1162">
        <f>SUM(H71:H75)</f>
        <v>0</v>
      </c>
      <c r="I76" s="1506">
        <f>SUM(I71:I75)</f>
        <v>0</v>
      </c>
      <c r="J76" s="1312">
        <f>SUM(J71:J75)</f>
        <v>1441625</v>
      </c>
      <c r="K76" s="1305">
        <f>SUM(K71:K75)</f>
        <v>0</v>
      </c>
      <c r="L76" s="1313">
        <f>SUM(L71:L75)</f>
        <v>1441625</v>
      </c>
      <c r="M76" s="636"/>
      <c r="N76" s="605"/>
      <c r="O76" s="606"/>
      <c r="P76" s="624"/>
      <c r="Q76" s="1498"/>
      <c r="R76" s="1499"/>
      <c r="S76" s="1524">
        <f>SUM(S73,S72,S65)</f>
        <v>0</v>
      </c>
      <c r="T76" s="1525">
        <f>SUM(T73,T72,T65)</f>
        <v>0</v>
      </c>
      <c r="U76" s="1266">
        <f>SUM(U73,U72,U65)</f>
        <v>0</v>
      </c>
      <c r="V76" s="828"/>
      <c r="W76" s="828"/>
      <c r="AA76" s="58"/>
      <c r="AB76" s="58"/>
    </row>
    <row r="77" spans="2:28" ht="18" customHeight="1">
      <c r="B77" s="622">
        <v>5</v>
      </c>
      <c r="C77" s="623" t="s">
        <v>1603</v>
      </c>
      <c r="D77" s="605" t="s">
        <v>1326</v>
      </c>
      <c r="E77" s="605" t="s">
        <v>1702</v>
      </c>
      <c r="F77" s="629"/>
      <c r="G77" s="327"/>
      <c r="H77" s="1160"/>
      <c r="I77" s="1295"/>
      <c r="J77" s="1314"/>
      <c r="K77" s="1306"/>
      <c r="L77" s="1315"/>
      <c r="M77" s="1480" t="s">
        <v>757</v>
      </c>
      <c r="N77" s="1481" t="s">
        <v>1584</v>
      </c>
      <c r="O77" s="609" t="s">
        <v>1350</v>
      </c>
      <c r="P77" s="613"/>
      <c r="Q77" s="637"/>
      <c r="R77" s="1471"/>
      <c r="S77" s="1472"/>
      <c r="T77" s="1473"/>
      <c r="U77" s="1188"/>
      <c r="V77" s="827"/>
      <c r="W77" s="827"/>
      <c r="AA77" s="58"/>
      <c r="AB77" s="58"/>
    </row>
    <row r="78" spans="2:28" ht="18" customHeight="1">
      <c r="B78" s="611">
        <v>6</v>
      </c>
      <c r="C78" s="612" t="s">
        <v>1604</v>
      </c>
      <c r="D78" s="609" t="s">
        <v>1327</v>
      </c>
      <c r="E78" s="609" t="s">
        <v>1460</v>
      </c>
      <c r="F78" s="630" t="s">
        <v>1678</v>
      </c>
      <c r="G78" s="333"/>
      <c r="H78" s="1163"/>
      <c r="I78" s="1297"/>
      <c r="J78" s="1314"/>
      <c r="K78" s="1306"/>
      <c r="L78" s="1315"/>
      <c r="M78" s="1529"/>
      <c r="N78" s="616"/>
      <c r="O78" s="616"/>
      <c r="P78" s="616"/>
      <c r="Q78" s="632"/>
      <c r="R78" s="1509"/>
      <c r="S78" s="1510"/>
      <c r="T78" s="1511"/>
      <c r="U78" s="1188"/>
      <c r="V78" s="827"/>
      <c r="W78" s="827"/>
      <c r="AA78" s="58"/>
      <c r="AB78" s="58"/>
    </row>
    <row r="79" spans="2:28" ht="18" customHeight="1">
      <c r="B79" s="614">
        <v>7</v>
      </c>
      <c r="C79" s="615" t="s">
        <v>1605</v>
      </c>
      <c r="D79" s="631" t="s">
        <v>62</v>
      </c>
      <c r="E79" s="631" t="s">
        <v>1470</v>
      </c>
      <c r="F79" s="632" t="s">
        <v>1679</v>
      </c>
      <c r="G79" s="1540">
        <v>8</v>
      </c>
      <c r="H79" s="1164">
        <f>$H$50</f>
        <v>3289448.42</v>
      </c>
      <c r="I79" s="1298">
        <f>$I$50</f>
        <v>4047756.048</v>
      </c>
      <c r="J79" s="1314">
        <v>1157259</v>
      </c>
      <c r="K79" s="1306">
        <f>I79-H79</f>
        <v>758307.62800000003</v>
      </c>
      <c r="L79" s="1315">
        <f>J79-I79</f>
        <v>-2890497.048</v>
      </c>
      <c r="M79" s="541">
        <v>1</v>
      </c>
      <c r="N79" s="544" t="s">
        <v>1635</v>
      </c>
      <c r="O79" s="544" t="s">
        <v>1351</v>
      </c>
      <c r="P79" s="544" t="s">
        <v>1492</v>
      </c>
      <c r="Q79" s="260"/>
      <c r="R79" s="1514"/>
      <c r="S79" s="1527">
        <f>SUM(S80:S81)</f>
        <v>0</v>
      </c>
      <c r="T79" s="1528">
        <f>SUM(T80:T81)</f>
        <v>0</v>
      </c>
      <c r="U79" s="1263">
        <f>SUM(U80:U81)</f>
        <v>0</v>
      </c>
      <c r="V79" s="829"/>
      <c r="W79" s="829"/>
      <c r="AA79" s="58"/>
      <c r="AB79" s="633"/>
    </row>
    <row r="80" spans="2:28" ht="18" customHeight="1">
      <c r="B80" s="541"/>
      <c r="C80" s="542"/>
      <c r="D80" s="543" t="s">
        <v>1537</v>
      </c>
      <c r="E80" s="634"/>
      <c r="F80" s="635"/>
      <c r="G80" s="334"/>
      <c r="H80" s="1162">
        <f>SUM(H77:H79,H76,H69,H63)</f>
        <v>15855542.951600002</v>
      </c>
      <c r="I80" s="1506">
        <f>SUM(I77:I79,I76,I69,I63)</f>
        <v>16922850.988000002</v>
      </c>
      <c r="J80" s="1312">
        <f>SUM(J77:J79,J76,J69,J63)</f>
        <v>6043552</v>
      </c>
      <c r="K80" s="1305">
        <f>SUM(K77:K79,K76,K69,K63)</f>
        <v>1067308.0363999992</v>
      </c>
      <c r="L80" s="1313">
        <f>SUM(L77:L79,L76,L69,L63)</f>
        <v>-10879298.988000002</v>
      </c>
      <c r="M80" s="622" t="s">
        <v>1320</v>
      </c>
      <c r="N80" s="1516" t="s">
        <v>1636</v>
      </c>
      <c r="O80" s="624" t="s">
        <v>1507</v>
      </c>
      <c r="P80" s="624" t="s">
        <v>1506</v>
      </c>
      <c r="Q80" s="1498"/>
      <c r="R80" s="1499"/>
      <c r="S80" s="1512"/>
      <c r="T80" s="1513"/>
      <c r="U80" s="1188"/>
      <c r="V80" s="828"/>
      <c r="W80" s="828"/>
      <c r="AA80" s="58"/>
    </row>
    <row r="81" spans="2:27" ht="18" customHeight="1">
      <c r="B81" s="1541"/>
      <c r="C81" s="1542"/>
      <c r="D81" s="1542"/>
      <c r="E81" s="1543"/>
      <c r="F81" s="1544"/>
      <c r="G81" s="1545"/>
      <c r="H81" s="1546"/>
      <c r="I81" s="1545"/>
      <c r="J81" s="1316"/>
      <c r="K81" s="1307"/>
      <c r="L81" s="1317"/>
      <c r="M81" s="614" t="s">
        <v>1321</v>
      </c>
      <c r="N81" s="1517" t="s">
        <v>1637</v>
      </c>
      <c r="O81" s="616" t="s">
        <v>1352</v>
      </c>
      <c r="P81" s="616" t="s">
        <v>1483</v>
      </c>
      <c r="Q81" s="1508" t="s">
        <v>1695</v>
      </c>
      <c r="R81" s="1509"/>
      <c r="S81" s="1510"/>
      <c r="T81" s="1511"/>
      <c r="U81" s="1188"/>
      <c r="V81" s="827"/>
      <c r="W81" s="827"/>
    </row>
    <row r="82" spans="2:27" ht="18" customHeight="1">
      <c r="B82" s="1480" t="s">
        <v>757</v>
      </c>
      <c r="C82" s="1483" t="s">
        <v>627</v>
      </c>
      <c r="D82" s="609" t="s">
        <v>1328</v>
      </c>
      <c r="E82" s="1484" t="s">
        <v>1538</v>
      </c>
      <c r="F82" s="1485"/>
      <c r="G82" s="1486"/>
      <c r="H82" s="1487"/>
      <c r="I82" s="1488"/>
      <c r="J82" s="1314"/>
      <c r="K82" s="1306"/>
      <c r="L82" s="1315"/>
      <c r="M82" s="1533"/>
      <c r="N82" s="1534"/>
      <c r="O82" s="543" t="s">
        <v>1319</v>
      </c>
      <c r="P82" s="544" t="s">
        <v>1319</v>
      </c>
      <c r="Q82" s="260"/>
      <c r="R82" s="1523"/>
      <c r="S82" s="1503">
        <f>S79</f>
        <v>0</v>
      </c>
      <c r="T82" s="1504">
        <f>T79</f>
        <v>0</v>
      </c>
      <c r="U82" s="1188">
        <f>U79</f>
        <v>0</v>
      </c>
      <c r="V82" s="827"/>
      <c r="W82" s="827"/>
    </row>
    <row r="83" spans="2:27" ht="18" customHeight="1">
      <c r="B83" s="1466">
        <v>1</v>
      </c>
      <c r="C83" s="1482" t="s">
        <v>1606</v>
      </c>
      <c r="D83" s="609" t="s">
        <v>1329</v>
      </c>
      <c r="E83" s="609" t="s">
        <v>1471</v>
      </c>
      <c r="F83" s="630" t="s">
        <v>1680</v>
      </c>
      <c r="G83" s="333"/>
      <c r="H83" s="1163"/>
      <c r="I83" s="1297"/>
      <c r="J83" s="1314"/>
      <c r="K83" s="1306"/>
      <c r="L83" s="1315"/>
      <c r="M83" s="636">
        <v>2</v>
      </c>
      <c r="N83" s="605" t="s">
        <v>1638</v>
      </c>
      <c r="O83" s="605" t="s">
        <v>1353</v>
      </c>
      <c r="P83" s="605" t="s">
        <v>1493</v>
      </c>
      <c r="Q83" s="629"/>
      <c r="R83" s="1530">
        <v>16</v>
      </c>
      <c r="S83" s="1531">
        <f>S34</f>
        <v>51163004.120000005</v>
      </c>
      <c r="T83" s="1532">
        <f>T34</f>
        <v>32890500.489999998</v>
      </c>
      <c r="U83" s="1188">
        <v>11385269</v>
      </c>
      <c r="V83" s="827">
        <f>S83-T83</f>
        <v>18272503.630000006</v>
      </c>
      <c r="W83" s="827">
        <f>T83-U83</f>
        <v>21505231.489999998</v>
      </c>
    </row>
    <row r="84" spans="2:27" ht="18" customHeight="1">
      <c r="B84" s="611" t="s">
        <v>1320</v>
      </c>
      <c r="C84" s="612" t="s">
        <v>1607</v>
      </c>
      <c r="D84" s="613" t="s">
        <v>1331</v>
      </c>
      <c r="E84" s="613" t="s">
        <v>1472</v>
      </c>
      <c r="F84" s="637"/>
      <c r="G84" s="333">
        <v>9</v>
      </c>
      <c r="H84" s="1161">
        <f>H22</f>
        <v>100000</v>
      </c>
      <c r="I84" s="1299"/>
      <c r="J84" s="1314"/>
      <c r="K84" s="1306">
        <f>I84-H84</f>
        <v>-100000</v>
      </c>
      <c r="L84" s="1315"/>
      <c r="M84" s="1466">
        <v>3</v>
      </c>
      <c r="N84" s="609" t="s">
        <v>1639</v>
      </c>
      <c r="O84" s="609" t="s">
        <v>1354</v>
      </c>
      <c r="P84" s="609" t="s">
        <v>615</v>
      </c>
      <c r="Q84" s="630" t="s">
        <v>63</v>
      </c>
      <c r="R84" s="1471"/>
      <c r="S84" s="1472"/>
      <c r="T84" s="1473"/>
      <c r="U84" s="1188"/>
      <c r="V84" s="827"/>
      <c r="W84" s="827"/>
    </row>
    <row r="85" spans="2:27" ht="18" customHeight="1">
      <c r="B85" s="611" t="s">
        <v>1321</v>
      </c>
      <c r="C85" s="612" t="s">
        <v>1608</v>
      </c>
      <c r="D85" s="613" t="s">
        <v>1332</v>
      </c>
      <c r="E85" s="613" t="s">
        <v>1473</v>
      </c>
      <c r="F85" s="630" t="s">
        <v>1681</v>
      </c>
      <c r="G85" s="333"/>
      <c r="H85" s="1161">
        <f>$J$22</f>
        <v>0</v>
      </c>
      <c r="I85" s="1296">
        <f>$J$22</f>
        <v>0</v>
      </c>
      <c r="J85" s="1314">
        <f>$J$22</f>
        <v>0</v>
      </c>
      <c r="K85" s="1306"/>
      <c r="L85" s="1315"/>
      <c r="M85" s="1515">
        <v>4</v>
      </c>
      <c r="N85" s="631" t="s">
        <v>1640</v>
      </c>
      <c r="O85" s="631" t="s">
        <v>1355</v>
      </c>
      <c r="P85" s="631" t="s">
        <v>1490</v>
      </c>
      <c r="Q85" s="1508" t="s">
        <v>1697</v>
      </c>
      <c r="R85" s="1520"/>
      <c r="S85" s="1535"/>
      <c r="T85" s="1536"/>
      <c r="U85" s="1188"/>
      <c r="V85" s="827"/>
      <c r="W85" s="827"/>
    </row>
    <row r="86" spans="2:27" ht="18" customHeight="1">
      <c r="B86" s="611" t="s">
        <v>1323</v>
      </c>
      <c r="C86" s="612" t="s">
        <v>1609</v>
      </c>
      <c r="D86" s="613" t="s">
        <v>1333</v>
      </c>
      <c r="E86" s="613" t="s">
        <v>1474</v>
      </c>
      <c r="F86" s="630" t="s">
        <v>1682</v>
      </c>
      <c r="G86" s="335"/>
      <c r="H86" s="1165"/>
      <c r="I86" s="1299"/>
      <c r="J86" s="1314"/>
      <c r="K86" s="1306"/>
      <c r="L86" s="1315"/>
      <c r="M86" s="1533"/>
      <c r="N86" s="1534"/>
      <c r="O86" s="543" t="s">
        <v>1356</v>
      </c>
      <c r="P86" s="1526" t="s">
        <v>1494</v>
      </c>
      <c r="Q86" s="260"/>
      <c r="R86" s="1514"/>
      <c r="S86" s="1503">
        <f>SUM(S83:S84,S79)</f>
        <v>51163004.120000005</v>
      </c>
      <c r="T86" s="1504">
        <f>SUM(T83:T84,T79)</f>
        <v>32890500.489999998</v>
      </c>
      <c r="U86" s="1188">
        <f>SUM(U83:U85,U79)</f>
        <v>11385269</v>
      </c>
      <c r="V86" s="531">
        <f>SUM(V83:V85,V79)</f>
        <v>18272503.630000006</v>
      </c>
      <c r="W86" s="531">
        <f>SUM(W83:W85,W79)</f>
        <v>21505231.489999998</v>
      </c>
    </row>
    <row r="87" spans="2:27" ht="18" customHeight="1">
      <c r="B87" s="614" t="s">
        <v>1330</v>
      </c>
      <c r="C87" s="615" t="s">
        <v>1610</v>
      </c>
      <c r="D87" s="616" t="s">
        <v>501</v>
      </c>
      <c r="E87" s="616" t="s">
        <v>1475</v>
      </c>
      <c r="F87" s="632" t="s">
        <v>1683</v>
      </c>
      <c r="G87" s="1540">
        <v>10</v>
      </c>
      <c r="H87" s="1164">
        <f>$J$38</f>
        <v>0</v>
      </c>
      <c r="I87" s="1298">
        <f>$J$38</f>
        <v>0</v>
      </c>
      <c r="J87" s="1314">
        <f>$J$38</f>
        <v>0</v>
      </c>
      <c r="K87" s="1306"/>
      <c r="L87" s="1315"/>
      <c r="M87" s="1460"/>
      <c r="N87" s="1461"/>
      <c r="O87" s="1461"/>
      <c r="P87" s="1461"/>
      <c r="Q87" s="1462"/>
      <c r="R87" s="1463"/>
      <c r="S87" s="1464"/>
      <c r="T87" s="1465"/>
      <c r="U87" s="1188"/>
      <c r="V87" s="827"/>
      <c r="W87" s="827"/>
    </row>
    <row r="88" spans="2:27" ht="18" customHeight="1">
      <c r="B88" s="638"/>
      <c r="C88" s="639"/>
      <c r="D88" s="543" t="s">
        <v>1319</v>
      </c>
      <c r="E88" s="640" t="s">
        <v>1237</v>
      </c>
      <c r="F88" s="641"/>
      <c r="G88" s="334"/>
      <c r="H88" s="1162">
        <f>SUM(H84:H87)</f>
        <v>100000</v>
      </c>
      <c r="I88" s="1506">
        <f>SUM(I84:I87)</f>
        <v>0</v>
      </c>
      <c r="J88" s="1312">
        <f>SUM(J84:J87)</f>
        <v>0</v>
      </c>
      <c r="K88" s="1305"/>
      <c r="L88" s="1313"/>
      <c r="M88" s="541"/>
      <c r="N88" s="544"/>
      <c r="O88" s="544" t="s">
        <v>1357</v>
      </c>
      <c r="P88" s="1526" t="s">
        <v>1495</v>
      </c>
      <c r="Q88" s="260"/>
      <c r="R88" s="1514"/>
      <c r="S88" s="1503">
        <f>+S86+S75</f>
        <v>114418511.39999999</v>
      </c>
      <c r="T88" s="1504">
        <f>+T86+T75</f>
        <v>64181604.153400011</v>
      </c>
      <c r="U88" s="1188">
        <f>+U86+U75</f>
        <v>17363491</v>
      </c>
      <c r="V88" s="531">
        <f>+V86+V75</f>
        <v>50236907.246599987</v>
      </c>
      <c r="W88" s="531">
        <f>+W86+W75</f>
        <v>46818113.153400011</v>
      </c>
    </row>
    <row r="89" spans="2:27" ht="18" customHeight="1">
      <c r="B89" s="622"/>
      <c r="C89" s="642" t="s">
        <v>730</v>
      </c>
      <c r="D89" s="605" t="s">
        <v>1334</v>
      </c>
      <c r="E89" s="605" t="s">
        <v>1476</v>
      </c>
      <c r="F89" s="629"/>
      <c r="G89" s="327"/>
      <c r="H89" s="1518"/>
      <c r="I89" s="1300"/>
      <c r="J89" s="1314"/>
      <c r="K89" s="1306"/>
      <c r="L89" s="1315"/>
      <c r="M89" s="1455"/>
      <c r="N89" s="624"/>
      <c r="O89" s="624"/>
      <c r="P89" s="624"/>
      <c r="Q89" s="1498"/>
      <c r="R89" s="1499"/>
      <c r="S89" s="1512"/>
      <c r="T89" s="1513"/>
      <c r="U89" s="1188"/>
      <c r="V89" s="827"/>
      <c r="W89" s="827"/>
      <c r="Z89" s="621"/>
    </row>
    <row r="90" spans="2:27" ht="18" customHeight="1">
      <c r="B90" s="611" t="s">
        <v>1320</v>
      </c>
      <c r="C90" s="612" t="s">
        <v>1611</v>
      </c>
      <c r="D90" s="613" t="s">
        <v>1731</v>
      </c>
      <c r="E90" s="613" t="s">
        <v>1477</v>
      </c>
      <c r="F90" s="1708" t="s">
        <v>1684</v>
      </c>
      <c r="G90" s="333"/>
      <c r="H90" s="1470"/>
      <c r="I90" s="1489"/>
      <c r="J90" s="1314"/>
      <c r="K90" s="1306"/>
      <c r="L90" s="1315"/>
      <c r="M90" s="1480" t="s">
        <v>1162</v>
      </c>
      <c r="N90" s="1481" t="s">
        <v>1585</v>
      </c>
      <c r="O90" s="609" t="s">
        <v>1232</v>
      </c>
      <c r="P90" s="613"/>
      <c r="Q90" s="637"/>
      <c r="R90" s="1471"/>
      <c r="S90" s="1472"/>
      <c r="T90" s="1473"/>
      <c r="U90" s="1188"/>
      <c r="V90" s="827"/>
      <c r="W90" s="827"/>
    </row>
    <row r="91" spans="2:27" ht="18" customHeight="1">
      <c r="B91" s="611" t="s">
        <v>1321</v>
      </c>
      <c r="C91" s="612" t="s">
        <v>1612</v>
      </c>
      <c r="D91" s="613" t="s">
        <v>1732</v>
      </c>
      <c r="E91" s="613" t="s">
        <v>1545</v>
      </c>
      <c r="F91" s="1708"/>
      <c r="G91" s="335"/>
      <c r="H91" s="1493">
        <f>'AP 13'!F26+'AP 13'!F39</f>
        <v>4936240.1899999995</v>
      </c>
      <c r="I91" s="1556">
        <f>'A P MC BM 12'!E25+'A P MC BM 12'!E26+'A P MC BM 12'!E27+'A P MC BM 12'!E30+'A P MC BM 12'!E31+'A P MC BM 12'!H33</f>
        <v>1968722.21</v>
      </c>
      <c r="J91" s="1314"/>
      <c r="K91" s="1306">
        <f t="shared" ref="K91:L93" si="8">I91-H91</f>
        <v>-2967517.9799999995</v>
      </c>
      <c r="L91" s="1315">
        <f t="shared" si="8"/>
        <v>-1968722.21</v>
      </c>
      <c r="M91" s="650"/>
      <c r="N91" s="613"/>
      <c r="O91" s="613"/>
      <c r="P91" s="613"/>
      <c r="Q91" s="637"/>
      <c r="R91" s="1471"/>
      <c r="S91" s="1472"/>
      <c r="T91" s="1473"/>
      <c r="U91" s="1188"/>
      <c r="V91" s="827"/>
      <c r="W91" s="827"/>
    </row>
    <row r="92" spans="2:27" ht="18" customHeight="1">
      <c r="B92" s="611" t="s">
        <v>1323</v>
      </c>
      <c r="C92" s="612" t="s">
        <v>1613</v>
      </c>
      <c r="D92" s="613" t="s">
        <v>1733</v>
      </c>
      <c r="E92" s="613" t="s">
        <v>1478</v>
      </c>
      <c r="F92" s="1708"/>
      <c r="G92" s="333"/>
      <c r="H92" s="1493">
        <f>'AP 13'!F30+'AP 13'!F36</f>
        <v>10305525.33</v>
      </c>
      <c r="I92" s="1556">
        <f>'A P MC BM 12'!E28+'A P MC BM 12'!E33</f>
        <v>2205822.8400000008</v>
      </c>
      <c r="J92" s="1314">
        <v>1899793</v>
      </c>
      <c r="K92" s="1306">
        <f t="shared" si="8"/>
        <v>-8099702.4899999993</v>
      </c>
      <c r="L92" s="1315">
        <f t="shared" si="8"/>
        <v>-306029.84000000078</v>
      </c>
      <c r="M92" s="1466">
        <v>1</v>
      </c>
      <c r="N92" s="609" t="s">
        <v>1641</v>
      </c>
      <c r="O92" s="609" t="s">
        <v>1358</v>
      </c>
      <c r="P92" s="609" t="s">
        <v>1496</v>
      </c>
      <c r="Q92" s="637" t="s">
        <v>1698</v>
      </c>
      <c r="R92" s="1490"/>
      <c r="S92" s="1491"/>
      <c r="T92" s="1492"/>
      <c r="U92" s="1188"/>
      <c r="V92" s="827"/>
      <c r="W92" s="827"/>
      <c r="Y92" s="600"/>
      <c r="Z92" s="100"/>
      <c r="AA92" s="600"/>
    </row>
    <row r="93" spans="2:27" ht="18" customHeight="1">
      <c r="B93" s="614" t="s">
        <v>1330</v>
      </c>
      <c r="C93" s="615" t="s">
        <v>1614</v>
      </c>
      <c r="D93" s="616" t="s">
        <v>926</v>
      </c>
      <c r="E93" s="616" t="s">
        <v>1479</v>
      </c>
      <c r="F93" s="549"/>
      <c r="G93" s="1540"/>
      <c r="H93" s="1558">
        <f>'AP 13'!F32+'AP 13'!F37</f>
        <v>9022248.660000002</v>
      </c>
      <c r="I93" s="1557">
        <f>'A P MC BM 12'!E29+'A P MC BM 12'!E34</f>
        <v>10513785.865400001</v>
      </c>
      <c r="J93" s="1314">
        <v>6404953</v>
      </c>
      <c r="K93" s="1306">
        <f t="shared" si="8"/>
        <v>1491537.2053999994</v>
      </c>
      <c r="L93" s="1315">
        <f t="shared" si="8"/>
        <v>-4108832.8654000014</v>
      </c>
      <c r="M93" s="1466">
        <v>2</v>
      </c>
      <c r="N93" s="609" t="s">
        <v>1642</v>
      </c>
      <c r="O93" s="609" t="s">
        <v>1359</v>
      </c>
      <c r="P93" s="609" t="s">
        <v>1497</v>
      </c>
      <c r="Q93" s="1467"/>
      <c r="R93" s="1490"/>
      <c r="S93" s="1491"/>
      <c r="T93" s="1492"/>
      <c r="U93" s="1188"/>
      <c r="V93" s="827"/>
      <c r="W93" s="827"/>
      <c r="Y93" s="600"/>
      <c r="Z93" s="100"/>
      <c r="AA93" s="600"/>
    </row>
    <row r="94" spans="2:27" ht="18" customHeight="1">
      <c r="B94" s="638"/>
      <c r="C94" s="639"/>
      <c r="D94" s="543" t="s">
        <v>1319</v>
      </c>
      <c r="E94" s="640" t="s">
        <v>1237</v>
      </c>
      <c r="F94" s="641"/>
      <c r="G94" s="338">
        <v>11</v>
      </c>
      <c r="H94" s="1162">
        <f>SUM(H90:H93)</f>
        <v>24264014.18</v>
      </c>
      <c r="I94" s="1506">
        <f>SUM(I90:I93)</f>
        <v>14688330.915400002</v>
      </c>
      <c r="J94" s="1312">
        <f>SUM(J90:J93)</f>
        <v>8304746</v>
      </c>
      <c r="K94" s="1305">
        <f>SUM(K90:K93)</f>
        <v>-9575683.2645999994</v>
      </c>
      <c r="L94" s="1313">
        <f>SUM(L90:L93)</f>
        <v>-6383584.9154000022</v>
      </c>
      <c r="M94" s="1466">
        <v>3</v>
      </c>
      <c r="N94" s="609" t="s">
        <v>1643</v>
      </c>
      <c r="O94" s="609" t="s">
        <v>1360</v>
      </c>
      <c r="P94" s="609" t="s">
        <v>1498</v>
      </c>
      <c r="Q94" s="1467"/>
      <c r="R94" s="1297" t="s">
        <v>1402</v>
      </c>
      <c r="S94" s="1468">
        <f>+S8</f>
        <v>100000</v>
      </c>
      <c r="T94" s="1469">
        <f>+T8</f>
        <v>100000</v>
      </c>
      <c r="U94" s="1188">
        <v>100000</v>
      </c>
      <c r="V94" s="827">
        <f t="shared" ref="V94:W101" si="9">S94-T94</f>
        <v>0</v>
      </c>
      <c r="W94" s="827">
        <f t="shared" si="9"/>
        <v>0</v>
      </c>
      <c r="Y94" s="600"/>
      <c r="Z94" s="100"/>
      <c r="AA94" s="600"/>
    </row>
    <row r="95" spans="2:27" ht="18" customHeight="1">
      <c r="B95" s="603">
        <v>3</v>
      </c>
      <c r="C95" s="604" t="s">
        <v>1615</v>
      </c>
      <c r="D95" s="605" t="s">
        <v>1335</v>
      </c>
      <c r="E95" s="606"/>
      <c r="F95" s="643" t="s">
        <v>1685</v>
      </c>
      <c r="G95" s="336"/>
      <c r="H95" s="1166"/>
      <c r="I95" s="1301"/>
      <c r="J95" s="1314"/>
      <c r="K95" s="1306"/>
      <c r="L95" s="1315"/>
      <c r="M95" s="1466">
        <v>4</v>
      </c>
      <c r="N95" s="609" t="s">
        <v>1644</v>
      </c>
      <c r="O95" s="609" t="s">
        <v>1361</v>
      </c>
      <c r="P95" s="609" t="s">
        <v>1499</v>
      </c>
      <c r="Q95" s="630" t="s">
        <v>64</v>
      </c>
      <c r="R95" s="1490"/>
      <c r="S95" s="1491"/>
      <c r="T95" s="1492"/>
      <c r="U95" s="1188"/>
      <c r="V95" s="827">
        <f t="shared" si="9"/>
        <v>0</v>
      </c>
      <c r="W95" s="827">
        <f t="shared" si="9"/>
        <v>0</v>
      </c>
      <c r="Y95" s="600"/>
      <c r="Z95" s="100"/>
      <c r="AA95" s="600"/>
    </row>
    <row r="96" spans="2:27" ht="18" customHeight="1">
      <c r="B96" s="607">
        <v>4</v>
      </c>
      <c r="C96" s="608" t="s">
        <v>1616</v>
      </c>
      <c r="D96" s="609" t="s">
        <v>1336</v>
      </c>
      <c r="E96" s="610"/>
      <c r="F96" s="644"/>
      <c r="G96" s="1044"/>
      <c r="H96" s="1161">
        <f>H98+H97+H99</f>
        <v>1117017</v>
      </c>
      <c r="I96" s="1296">
        <f>I98</f>
        <v>1314138</v>
      </c>
      <c r="J96" s="1314">
        <f>SUM(J97:J99)</f>
        <v>571889</v>
      </c>
      <c r="K96" s="1306"/>
      <c r="L96" s="1315"/>
      <c r="M96" s="1466">
        <v>5</v>
      </c>
      <c r="N96" s="609" t="s">
        <v>1645</v>
      </c>
      <c r="O96" s="609" t="s">
        <v>1362</v>
      </c>
      <c r="P96" s="609" t="s">
        <v>1504</v>
      </c>
      <c r="Q96" s="637" t="s">
        <v>1699</v>
      </c>
      <c r="R96" s="1490"/>
      <c r="S96" s="1491"/>
      <c r="T96" s="1492"/>
      <c r="U96" s="1188"/>
      <c r="V96" s="827">
        <f t="shared" si="9"/>
        <v>0</v>
      </c>
      <c r="W96" s="827">
        <f t="shared" si="9"/>
        <v>0</v>
      </c>
      <c r="Y96" s="600"/>
      <c r="Z96" s="600"/>
      <c r="AA96" s="600"/>
    </row>
    <row r="97" spans="2:27" ht="18" customHeight="1">
      <c r="B97" s="611" t="s">
        <v>1320</v>
      </c>
      <c r="C97" s="612" t="s">
        <v>1617</v>
      </c>
      <c r="D97" s="613" t="s">
        <v>1337</v>
      </c>
      <c r="E97" s="613" t="s">
        <v>1542</v>
      </c>
      <c r="F97" s="630" t="s">
        <v>1686</v>
      </c>
      <c r="G97" s="328"/>
      <c r="H97" s="1156"/>
      <c r="I97" s="1292"/>
      <c r="J97" s="1316"/>
      <c r="K97" s="1307"/>
      <c r="L97" s="1317"/>
      <c r="M97" s="1466">
        <v>6</v>
      </c>
      <c r="N97" s="609" t="s">
        <v>1646</v>
      </c>
      <c r="O97" s="609" t="s">
        <v>1363</v>
      </c>
      <c r="P97" s="609" t="s">
        <v>1500</v>
      </c>
      <c r="Q97" s="1467"/>
      <c r="R97" s="1490"/>
      <c r="S97" s="1491"/>
      <c r="T97" s="1492"/>
      <c r="U97" s="1188"/>
      <c r="V97" s="827">
        <f t="shared" si="9"/>
        <v>0</v>
      </c>
      <c r="W97" s="827">
        <f t="shared" si="9"/>
        <v>0</v>
      </c>
      <c r="Y97" s="600"/>
      <c r="Z97" s="600"/>
      <c r="AA97" s="600"/>
    </row>
    <row r="98" spans="2:27" ht="18" customHeight="1">
      <c r="B98" s="611" t="s">
        <v>1321</v>
      </c>
      <c r="C98" s="612" t="s">
        <v>1618</v>
      </c>
      <c r="D98" s="613" t="s">
        <v>1338</v>
      </c>
      <c r="E98" s="610"/>
      <c r="F98" s="644"/>
      <c r="G98" s="328"/>
      <c r="H98" s="1493">
        <f>'AP 13'!G25</f>
        <v>1117017</v>
      </c>
      <c r="I98" s="1494">
        <f>'A P MC BM 12'!E24+'A P MC BM 12'!E32</f>
        <v>1314138</v>
      </c>
      <c r="J98" s="1314">
        <v>571889</v>
      </c>
      <c r="K98" s="1306">
        <f>I98-H98</f>
        <v>197121</v>
      </c>
      <c r="L98" s="1315">
        <f>J98-I98</f>
        <v>-742249</v>
      </c>
      <c r="M98" s="1515">
        <v>7</v>
      </c>
      <c r="N98" s="631" t="s">
        <v>1647</v>
      </c>
      <c r="O98" s="631" t="s">
        <v>1364</v>
      </c>
      <c r="P98" s="631" t="s">
        <v>1501</v>
      </c>
      <c r="Q98" s="1548"/>
      <c r="R98" s="1520"/>
      <c r="S98" s="1537">
        <f>+S12</f>
        <v>0</v>
      </c>
      <c r="T98" s="1538">
        <f>+T12</f>
        <v>0</v>
      </c>
      <c r="U98" s="1265">
        <f>+U12</f>
        <v>0</v>
      </c>
      <c r="V98" s="827">
        <f t="shared" si="9"/>
        <v>0</v>
      </c>
      <c r="W98" s="827">
        <f t="shared" si="9"/>
        <v>0</v>
      </c>
      <c r="Y98" s="600"/>
      <c r="Z98" s="600"/>
      <c r="AA98" s="600"/>
    </row>
    <row r="99" spans="2:27" ht="18" customHeight="1">
      <c r="B99" s="614" t="s">
        <v>1323</v>
      </c>
      <c r="C99" s="615" t="s">
        <v>1619</v>
      </c>
      <c r="D99" s="616" t="s">
        <v>1672</v>
      </c>
      <c r="E99" s="645"/>
      <c r="F99" s="646"/>
      <c r="G99" s="337"/>
      <c r="H99" s="1167"/>
      <c r="I99" s="1302"/>
      <c r="J99" s="1314"/>
      <c r="K99" s="1306"/>
      <c r="L99" s="1315"/>
      <c r="M99" s="541">
        <v>8</v>
      </c>
      <c r="N99" s="544" t="s">
        <v>1648</v>
      </c>
      <c r="O99" s="544" t="s">
        <v>1365</v>
      </c>
      <c r="P99" s="544" t="s">
        <v>1502</v>
      </c>
      <c r="Q99" s="260"/>
      <c r="R99" s="1502" t="s">
        <v>1403</v>
      </c>
      <c r="S99" s="1552">
        <f>SUM(S14:S15)</f>
        <v>-31356284.5</v>
      </c>
      <c r="T99" s="1507">
        <f>SUM(T14:T15)</f>
        <v>-2543304.87</v>
      </c>
      <c r="U99" s="1265"/>
      <c r="V99" s="827">
        <f t="shared" si="9"/>
        <v>-28812979.629999999</v>
      </c>
      <c r="W99" s="827">
        <f t="shared" si="9"/>
        <v>-2543304.87</v>
      </c>
      <c r="Y99" s="600"/>
      <c r="Z99" s="600"/>
      <c r="AA99" s="600"/>
    </row>
    <row r="100" spans="2:27" ht="18" customHeight="1">
      <c r="B100" s="617"/>
      <c r="C100" s="618"/>
      <c r="D100" s="543" t="s">
        <v>1319</v>
      </c>
      <c r="E100" s="640" t="s">
        <v>1237</v>
      </c>
      <c r="F100" s="641"/>
      <c r="G100" s="338" t="s">
        <v>1040</v>
      </c>
      <c r="H100" s="1162">
        <f>H96</f>
        <v>1117017</v>
      </c>
      <c r="I100" s="1506">
        <f>I96</f>
        <v>1314138</v>
      </c>
      <c r="J100" s="1312">
        <f>J98</f>
        <v>571889</v>
      </c>
      <c r="K100" s="1305">
        <f>K98</f>
        <v>197121</v>
      </c>
      <c r="L100" s="1313">
        <f>L98</f>
        <v>-742249</v>
      </c>
      <c r="M100" s="636">
        <v>9</v>
      </c>
      <c r="N100" s="605" t="s">
        <v>1649</v>
      </c>
      <c r="O100" s="605" t="s">
        <v>1366</v>
      </c>
      <c r="P100" s="605" t="s">
        <v>578</v>
      </c>
      <c r="Q100" s="643" t="s">
        <v>1700</v>
      </c>
      <c r="R100" s="1549"/>
      <c r="S100" s="1550"/>
      <c r="T100" s="1551"/>
      <c r="U100" s="1188"/>
      <c r="V100" s="827">
        <f t="shared" si="9"/>
        <v>0</v>
      </c>
      <c r="W100" s="827">
        <f t="shared" si="9"/>
        <v>0</v>
      </c>
      <c r="Y100" s="600"/>
      <c r="Z100" s="600"/>
      <c r="AA100" s="600"/>
    </row>
    <row r="101" spans="2:27" ht="18" customHeight="1">
      <c r="B101" s="603">
        <v>5</v>
      </c>
      <c r="C101" s="604" t="s">
        <v>1620</v>
      </c>
      <c r="D101" s="605" t="s">
        <v>1339</v>
      </c>
      <c r="E101" s="606"/>
      <c r="F101" s="647"/>
      <c r="G101" s="336"/>
      <c r="H101" s="1166"/>
      <c r="I101" s="1301"/>
      <c r="J101" s="1316"/>
      <c r="K101" s="1307"/>
      <c r="L101" s="1317"/>
      <c r="M101" s="1515">
        <v>10</v>
      </c>
      <c r="N101" s="631" t="s">
        <v>1650</v>
      </c>
      <c r="O101" s="631" t="s">
        <v>1367</v>
      </c>
      <c r="P101" s="631" t="s">
        <v>1503</v>
      </c>
      <c r="Q101" s="1508" t="s">
        <v>1701</v>
      </c>
      <c r="R101" s="1520" t="s">
        <v>1404</v>
      </c>
      <c r="S101" s="1537">
        <f>+S16</f>
        <v>-41825652.766011998</v>
      </c>
      <c r="T101" s="1538">
        <f>+T16</f>
        <v>-28812979.633485988</v>
      </c>
      <c r="U101" s="1265">
        <v>-2543305</v>
      </c>
      <c r="V101" s="827">
        <f t="shared" si="9"/>
        <v>-13012673.13252601</v>
      </c>
      <c r="W101" s="827">
        <f t="shared" si="9"/>
        <v>-26269674.633485988</v>
      </c>
      <c r="Y101" s="600"/>
      <c r="Z101" s="600"/>
      <c r="AA101" s="600"/>
    </row>
    <row r="102" spans="2:27" ht="18" customHeight="1">
      <c r="B102" s="648">
        <v>6</v>
      </c>
      <c r="C102" s="649" t="s">
        <v>1621</v>
      </c>
      <c r="D102" s="631" t="s">
        <v>1543</v>
      </c>
      <c r="E102" s="645"/>
      <c r="F102" s="646"/>
      <c r="G102" s="337"/>
      <c r="H102" s="1167"/>
      <c r="I102" s="1302"/>
      <c r="J102" s="1314"/>
      <c r="K102" s="1306"/>
      <c r="L102" s="1315"/>
      <c r="M102" s="541"/>
      <c r="N102" s="544"/>
      <c r="O102" s="543" t="s">
        <v>1368</v>
      </c>
      <c r="P102" s="1534"/>
      <c r="Q102" s="1539"/>
      <c r="R102" s="1502"/>
      <c r="S102" s="1527">
        <f>SUM(S92:S101)</f>
        <v>-73081937.266011998</v>
      </c>
      <c r="T102" s="1528">
        <f>SUM(T92:T101)</f>
        <v>-31256284.503485989</v>
      </c>
      <c r="U102" s="1263">
        <f>SUM(U92:U101)</f>
        <v>-2443305</v>
      </c>
      <c r="V102" s="533">
        <f>SUM(V92:V101)</f>
        <v>-41825652.762526006</v>
      </c>
      <c r="W102" s="533">
        <f>SUM(W92:W101)</f>
        <v>-28812979.503485989</v>
      </c>
      <c r="Y102" s="600"/>
      <c r="Z102" s="600"/>
      <c r="AA102" s="600"/>
    </row>
    <row r="103" spans="2:27" ht="18" customHeight="1">
      <c r="B103" s="541"/>
      <c r="C103" s="542"/>
      <c r="D103" s="543" t="s">
        <v>1340</v>
      </c>
      <c r="E103" s="544"/>
      <c r="F103" s="260"/>
      <c r="G103" s="338"/>
      <c r="H103" s="1162">
        <f>SUM(H101:H102,H100,H94,H88)</f>
        <v>25481031.18</v>
      </c>
      <c r="I103" s="1506">
        <f>SUM(I101:I102,I100,I94,I88)</f>
        <v>16002468.915400002</v>
      </c>
      <c r="J103" s="1312">
        <f>SUM(J101:J102,J100,J94,J88)</f>
        <v>8876635</v>
      </c>
      <c r="K103" s="1305">
        <f>SUM(K101:K102,K100,K94,K88)</f>
        <v>-9378562.2645999994</v>
      </c>
      <c r="L103" s="1313">
        <f>SUM(L101:L102,L100,L94,L88)</f>
        <v>-7125833.9154000022</v>
      </c>
      <c r="M103" s="1455"/>
      <c r="N103" s="624"/>
      <c r="O103" s="624"/>
      <c r="P103" s="624"/>
      <c r="Q103" s="1498"/>
      <c r="R103" s="1499"/>
      <c r="S103" s="1512"/>
      <c r="T103" s="1513"/>
      <c r="U103" s="1188"/>
      <c r="V103" s="827"/>
      <c r="W103" s="827"/>
      <c r="Y103" s="600"/>
      <c r="Z103" s="600"/>
      <c r="AA103" s="600"/>
    </row>
    <row r="104" spans="2:27" ht="18" customHeight="1" thickBot="1">
      <c r="B104" s="1455"/>
      <c r="C104" s="1456"/>
      <c r="D104" s="624"/>
      <c r="E104" s="606"/>
      <c r="F104" s="647"/>
      <c r="G104" s="336"/>
      <c r="H104" s="1166"/>
      <c r="I104" s="1301"/>
      <c r="J104" s="1457"/>
      <c r="K104" s="1458"/>
      <c r="L104" s="1459"/>
      <c r="M104" s="1460"/>
      <c r="N104" s="1461"/>
      <c r="O104" s="1461"/>
      <c r="P104" s="1461"/>
      <c r="Q104" s="1462"/>
      <c r="R104" s="1463"/>
      <c r="S104" s="1464"/>
      <c r="T104" s="1465"/>
      <c r="U104" s="1267"/>
      <c r="V104" s="830"/>
      <c r="W104" s="830"/>
      <c r="Y104" s="600"/>
      <c r="Z104" s="600"/>
      <c r="AA104" s="600"/>
    </row>
    <row r="105" spans="2:27" ht="18.75" customHeight="1" thickBot="1">
      <c r="B105" s="651"/>
      <c r="C105" s="652"/>
      <c r="D105" s="653" t="s">
        <v>1370</v>
      </c>
      <c r="E105" s="653" t="s">
        <v>1544</v>
      </c>
      <c r="F105" s="654"/>
      <c r="G105" s="655"/>
      <c r="H105" s="1168">
        <f>+H103+H80</f>
        <v>41336574.1316</v>
      </c>
      <c r="I105" s="1303">
        <f>+I103+I80</f>
        <v>32925319.903400004</v>
      </c>
      <c r="J105" s="1318">
        <f>+J103+J80-1</f>
        <v>14920186</v>
      </c>
      <c r="K105" s="1319">
        <f>+K103+K80-1</f>
        <v>-8311255.2281999998</v>
      </c>
      <c r="L105" s="1320">
        <f>+L103+L80-1</f>
        <v>-18005133.903400004</v>
      </c>
      <c r="M105" s="1441"/>
      <c r="N105" s="1102"/>
      <c r="O105" s="1103" t="s">
        <v>1369</v>
      </c>
      <c r="P105" s="1103"/>
      <c r="Q105" s="1104"/>
      <c r="R105" s="1103"/>
      <c r="S105" s="1622">
        <f>+S102+S88</f>
        <v>41336574.133987993</v>
      </c>
      <c r="T105" s="1623">
        <f>+T102+T88</f>
        <v>32925319.649914023</v>
      </c>
      <c r="U105" s="545">
        <f>+U102+U88</f>
        <v>14920186</v>
      </c>
      <c r="V105" s="545">
        <f>+V102+V88</f>
        <v>8411254.4840739816</v>
      </c>
      <c r="W105" s="545">
        <f>+W102+W88</f>
        <v>18005133.649914023</v>
      </c>
    </row>
    <row r="106" spans="2:27">
      <c r="H106" s="1169">
        <f>H105-H53</f>
        <v>0</v>
      </c>
      <c r="I106" s="1169">
        <f>I105-I53</f>
        <v>0</v>
      </c>
      <c r="S106" s="480"/>
      <c r="U106" s="480"/>
      <c r="V106" s="480"/>
    </row>
    <row r="107" spans="2:27">
      <c r="I107" s="788"/>
      <c r="J107" s="219">
        <f>+J105-U105</f>
        <v>0</v>
      </c>
      <c r="K107" s="219"/>
      <c r="L107" s="219"/>
    </row>
    <row r="109" spans="2:27">
      <c r="D109" s="219"/>
    </row>
  </sheetData>
  <mergeCells count="26">
    <mergeCell ref="F90:F92"/>
    <mergeCell ref="F60:F62"/>
    <mergeCell ref="F64:F66"/>
    <mergeCell ref="F67:F68"/>
    <mergeCell ref="F70:F72"/>
    <mergeCell ref="W3:W4"/>
    <mergeCell ref="O3:O4"/>
    <mergeCell ref="W56:W57"/>
    <mergeCell ref="P56:P57"/>
    <mergeCell ref="S56:T56"/>
    <mergeCell ref="V56:V57"/>
    <mergeCell ref="R56:R57"/>
    <mergeCell ref="B56:B57"/>
    <mergeCell ref="D56:D57"/>
    <mergeCell ref="O56:O57"/>
    <mergeCell ref="M56:M57"/>
    <mergeCell ref="G56:G57"/>
    <mergeCell ref="E56:E57"/>
    <mergeCell ref="H56:I56"/>
    <mergeCell ref="B3:B4"/>
    <mergeCell ref="D3:D4"/>
    <mergeCell ref="E3:E4"/>
    <mergeCell ref="P3:P4"/>
    <mergeCell ref="M3:M4"/>
    <mergeCell ref="L3:L4"/>
    <mergeCell ref="H3:J3"/>
  </mergeCells>
  <phoneticPr fontId="0" type="noConversion"/>
  <pageMargins left="0.78740157480314965" right="0.43307086614173229" top="0.51181102362204722" bottom="0.86614173228346458" header="0.51181102362204722" footer="0.51181102362204722"/>
  <pageSetup paperSize="9" scale="75" orientation="portrait" horizontalDpi="4294967295" r:id="rId1"/>
  <headerFooter alignWithMargins="0"/>
  <rowBreaks count="1" manualBreakCount="1">
    <brk id="55" max="19" man="1"/>
  </rowBreaks>
  <colBreaks count="1" manualBreakCount="1">
    <brk id="12" max="10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FFCCFF"/>
  </sheetPr>
  <dimension ref="B1:X123"/>
  <sheetViews>
    <sheetView showGridLines="0" defaultGridColor="0" topLeftCell="A82" colorId="18" zoomScale="75" zoomScaleNormal="75" zoomScaleSheetLayoutView="70" workbookViewId="0">
      <selection activeCell="M96" sqref="M96"/>
    </sheetView>
  </sheetViews>
  <sheetFormatPr defaultRowHeight="12.75" outlineLevelRow="1" outlineLevelCol="1"/>
  <cols>
    <col min="1" max="1" width="4" style="724" customWidth="1"/>
    <col min="2" max="2" width="6" style="722" customWidth="1"/>
    <col min="3" max="3" width="6" style="723" customWidth="1"/>
    <col min="4" max="4" width="56.7109375" style="724" bestFit="1" customWidth="1"/>
    <col min="5" max="5" width="7.140625" style="724" customWidth="1" outlineLevel="1"/>
    <col min="6" max="6" width="20.85546875" style="724" customWidth="1"/>
    <col min="7" max="7" width="27.85546875" style="724" customWidth="1"/>
    <col min="8" max="8" width="21.5703125" style="724" hidden="1" customWidth="1" outlineLevel="1"/>
    <col min="9" max="9" width="19" style="724" hidden="1" customWidth="1" outlineLevel="1" collapsed="1"/>
    <col min="10" max="10" width="16.85546875" style="724" hidden="1" customWidth="1" outlineLevel="1" collapsed="1"/>
    <col min="11" max="11" width="4.140625" style="723" customWidth="1" collapsed="1"/>
    <col min="12" max="12" width="4.5703125" style="475" customWidth="1"/>
    <col min="13" max="13" width="46.5703125" style="724" bestFit="1" customWidth="1"/>
    <col min="14" max="14" width="41.42578125" style="724" hidden="1" customWidth="1" outlineLevel="1"/>
    <col min="15" max="15" width="18.28515625" style="724" customWidth="1" collapsed="1"/>
    <col min="16" max="16" width="21.85546875" style="724" customWidth="1"/>
    <col min="17" max="17" width="17.42578125" style="724" hidden="1" customWidth="1" outlineLevel="1"/>
    <col min="18" max="18" width="17.42578125" style="724" hidden="1" customWidth="1" outlineLevel="1" collapsed="1"/>
    <col min="19" max="19" width="18.5703125" style="724" hidden="1" customWidth="1" outlineLevel="1"/>
    <col min="20" max="20" width="2.28515625" style="724" customWidth="1" collapsed="1"/>
    <col min="21" max="21" width="9.140625" style="724"/>
    <col min="22" max="22" width="12.85546875" style="724" bestFit="1" customWidth="1"/>
    <col min="23" max="16384" width="9.140625" style="724"/>
  </cols>
  <sheetData>
    <row r="1" spans="2:19" s="78" customFormat="1">
      <c r="B1" s="656"/>
      <c r="C1" s="83"/>
      <c r="H1" s="657"/>
      <c r="I1" s="657"/>
      <c r="K1" s="83"/>
      <c r="L1" s="658"/>
    </row>
    <row r="2" spans="2:19" s="78" customFormat="1" ht="12.75" hidden="1" customHeight="1" outlineLevel="1">
      <c r="B2" s="1720"/>
      <c r="C2" s="659"/>
      <c r="D2" s="1727" t="s">
        <v>749</v>
      </c>
      <c r="E2" s="659"/>
      <c r="F2" s="659"/>
      <c r="G2" s="659"/>
      <c r="H2" s="1729"/>
      <c r="I2" s="1729"/>
      <c r="J2" s="1729"/>
      <c r="K2" s="1727" t="s">
        <v>748</v>
      </c>
      <c r="L2" s="1727"/>
      <c r="M2" s="1725" t="s">
        <v>751</v>
      </c>
      <c r="N2" s="660"/>
      <c r="O2" s="660"/>
      <c r="P2" s="660"/>
      <c r="Q2" s="1722"/>
      <c r="R2" s="1723"/>
      <c r="S2" s="1724"/>
    </row>
    <row r="3" spans="2:19" s="78" customFormat="1" ht="13.5" hidden="1" outlineLevel="1" thickBot="1">
      <c r="B3" s="1721"/>
      <c r="C3" s="662"/>
      <c r="D3" s="1728"/>
      <c r="E3" s="662"/>
      <c r="F3" s="601" t="s">
        <v>344</v>
      </c>
      <c r="G3" s="601" t="s">
        <v>269</v>
      </c>
      <c r="H3" s="601" t="s">
        <v>270</v>
      </c>
      <c r="I3" s="663" t="s">
        <v>492</v>
      </c>
      <c r="J3" s="663" t="s">
        <v>1541</v>
      </c>
      <c r="K3" s="1728"/>
      <c r="L3" s="1728"/>
      <c r="M3" s="1726"/>
      <c r="N3" s="662"/>
      <c r="O3" s="601" t="s">
        <v>344</v>
      </c>
      <c r="P3" s="601" t="s">
        <v>269</v>
      </c>
      <c r="Q3" s="601" t="s">
        <v>270</v>
      </c>
      <c r="R3" s="664" t="s">
        <v>492</v>
      </c>
      <c r="S3" s="664" t="s">
        <v>1541</v>
      </c>
    </row>
    <row r="4" spans="2:19" s="78" customFormat="1" ht="18" hidden="1" customHeight="1" outlineLevel="1">
      <c r="B4" s="665"/>
      <c r="C4" s="666"/>
      <c r="D4" s="667" t="s">
        <v>753</v>
      </c>
      <c r="E4" s="668" t="s">
        <v>754</v>
      </c>
      <c r="F4" s="668">
        <v>0</v>
      </c>
      <c r="G4" s="668">
        <v>0</v>
      </c>
      <c r="H4" s="669"/>
      <c r="I4" s="669"/>
      <c r="J4" s="669"/>
      <c r="K4" s="670" t="s">
        <v>752</v>
      </c>
      <c r="L4" s="661"/>
      <c r="M4" s="667" t="s">
        <v>755</v>
      </c>
      <c r="N4" s="668" t="s">
        <v>756</v>
      </c>
      <c r="O4" s="669">
        <f>O10</f>
        <v>29487625.153988</v>
      </c>
      <c r="P4" s="669">
        <f>P10</f>
        <v>12821946.656514</v>
      </c>
      <c r="Q4" s="669">
        <f>Q10</f>
        <v>0</v>
      </c>
      <c r="R4" s="669">
        <f>R10</f>
        <v>143238921.48000002</v>
      </c>
      <c r="S4" s="671">
        <f>S10</f>
        <v>117863909</v>
      </c>
    </row>
    <row r="5" spans="2:19" s="83" customFormat="1" ht="18" hidden="1" customHeight="1" outlineLevel="1">
      <c r="B5" s="672"/>
      <c r="C5" s="673"/>
      <c r="D5" s="674" t="s">
        <v>758</v>
      </c>
      <c r="E5" s="569" t="s">
        <v>759</v>
      </c>
      <c r="F5" s="81">
        <f>SUM(F6,F12,F13,F17,F22,F18,F9)</f>
        <v>69334173.620000005</v>
      </c>
      <c r="G5" s="81">
        <f>SUM(G6,G12,G13,G17,G22,G18,G9)</f>
        <v>40891769.660000004</v>
      </c>
      <c r="H5" s="81">
        <f>SUM(H6,H12,H13,H17,H22,H18,H9)</f>
        <v>0</v>
      </c>
      <c r="I5" s="81">
        <f>SUM(I6,I12,I13,I17,I22,I18,I9)</f>
        <v>116115315.61</v>
      </c>
      <c r="J5" s="81">
        <f>SUM(J6,J12,J13,J17,J22,J18,J9)</f>
        <v>96767317.5</v>
      </c>
      <c r="K5" s="81"/>
      <c r="L5" s="318"/>
      <c r="M5" s="79"/>
      <c r="N5" s="80"/>
      <c r="O5" s="81"/>
      <c r="P5" s="81"/>
      <c r="Q5" s="81"/>
      <c r="R5" s="81"/>
      <c r="S5" s="82"/>
    </row>
    <row r="6" spans="2:19" s="78" customFormat="1" ht="18" hidden="1" customHeight="1" outlineLevel="1">
      <c r="B6" s="88">
        <v>1</v>
      </c>
      <c r="C6" s="675"/>
      <c r="D6" s="676" t="s">
        <v>760</v>
      </c>
      <c r="E6" s="89" t="s">
        <v>761</v>
      </c>
      <c r="F6" s="90">
        <f>SUM(F7:F8)</f>
        <v>0</v>
      </c>
      <c r="G6" s="90">
        <f>SUM(G7:G8)</f>
        <v>0</v>
      </c>
      <c r="H6" s="90">
        <f>SUM(H7:H8)</f>
        <v>0</v>
      </c>
      <c r="I6" s="90">
        <f>SUM(I7:I8)</f>
        <v>12250903.609999999</v>
      </c>
      <c r="J6" s="90">
        <f>SUM(J7:J8)</f>
        <v>9159015</v>
      </c>
      <c r="K6" s="90"/>
      <c r="L6" s="319">
        <v>1</v>
      </c>
      <c r="M6" s="84" t="s">
        <v>762</v>
      </c>
      <c r="N6" s="85" t="s">
        <v>763</v>
      </c>
      <c r="O6" s="86">
        <v>0</v>
      </c>
      <c r="P6" s="86"/>
      <c r="Q6" s="86"/>
      <c r="R6" s="86"/>
      <c r="S6" s="87"/>
    </row>
    <row r="7" spans="2:19" s="78" customFormat="1" ht="18" hidden="1" customHeight="1" outlineLevel="1">
      <c r="B7" s="88" t="s">
        <v>764</v>
      </c>
      <c r="C7" s="88"/>
      <c r="D7" s="92" t="s">
        <v>765</v>
      </c>
      <c r="E7" s="89" t="s">
        <v>877</v>
      </c>
      <c r="F7" s="86">
        <v>0</v>
      </c>
      <c r="G7" s="86">
        <v>0</v>
      </c>
      <c r="H7" s="86">
        <v>0</v>
      </c>
      <c r="I7" s="86">
        <v>11751290.01</v>
      </c>
      <c r="J7" s="86">
        <v>9600688</v>
      </c>
      <c r="K7" s="90"/>
      <c r="L7" s="319">
        <v>2</v>
      </c>
      <c r="M7" s="92" t="s">
        <v>878</v>
      </c>
      <c r="N7" s="89" t="s">
        <v>879</v>
      </c>
      <c r="O7" s="86">
        <f>'PASH 13'!F10</f>
        <v>29487625.153988</v>
      </c>
      <c r="P7" s="86">
        <f>'PASH MC 12'!H5</f>
        <v>12821946.656514</v>
      </c>
      <c r="Q7" s="86"/>
      <c r="R7" s="86">
        <f>119696509.48+5272138+322753+7549386</f>
        <v>132840786.48</v>
      </c>
      <c r="S7" s="86">
        <v>116695609</v>
      </c>
    </row>
    <row r="8" spans="2:19" s="78" customFormat="1" ht="18" hidden="1" customHeight="1" outlineLevel="1">
      <c r="B8" s="88" t="s">
        <v>880</v>
      </c>
      <c r="C8" s="88"/>
      <c r="D8" s="92" t="s">
        <v>881</v>
      </c>
      <c r="E8" s="89" t="s">
        <v>882</v>
      </c>
      <c r="F8" s="86">
        <v>0</v>
      </c>
      <c r="G8" s="86">
        <v>0</v>
      </c>
      <c r="H8" s="86">
        <v>0</v>
      </c>
      <c r="I8" s="86">
        <v>499613.6</v>
      </c>
      <c r="J8" s="86">
        <v>-441673</v>
      </c>
      <c r="K8" s="90"/>
      <c r="L8" s="319">
        <v>3</v>
      </c>
      <c r="M8" s="92" t="s">
        <v>59</v>
      </c>
      <c r="N8" s="89" t="s">
        <v>883</v>
      </c>
      <c r="O8" s="86">
        <v>0</v>
      </c>
      <c r="P8" s="86"/>
      <c r="Q8" s="86"/>
      <c r="R8" s="86"/>
      <c r="S8" s="86"/>
    </row>
    <row r="9" spans="2:19" s="78" customFormat="1" ht="18" hidden="1" customHeight="1" outlineLevel="1">
      <c r="B9" s="677">
        <v>2</v>
      </c>
      <c r="C9" s="678"/>
      <c r="D9" s="679" t="s">
        <v>495</v>
      </c>
      <c r="E9" s="575" t="s">
        <v>653</v>
      </c>
      <c r="F9" s="434">
        <f>SUM(F10:F11)</f>
        <v>0</v>
      </c>
      <c r="G9" s="434">
        <f>SUM(G10:G11)</f>
        <v>0</v>
      </c>
      <c r="H9" s="434">
        <f>SUM(H10:H11)</f>
        <v>0</v>
      </c>
      <c r="I9" s="434">
        <f>SUM(I10:I11)</f>
        <v>0</v>
      </c>
      <c r="J9" s="434">
        <f>SUM(J10:J11)</f>
        <v>0</v>
      </c>
      <c r="K9" s="434"/>
      <c r="L9" s="319">
        <v>4</v>
      </c>
      <c r="M9" s="92" t="s">
        <v>60</v>
      </c>
      <c r="N9" s="89" t="s">
        <v>884</v>
      </c>
      <c r="O9" s="86">
        <v>0</v>
      </c>
      <c r="P9" s="86"/>
      <c r="Q9" s="86"/>
      <c r="R9" s="86">
        <v>10398135</v>
      </c>
      <c r="S9" s="86">
        <v>1168300</v>
      </c>
    </row>
    <row r="10" spans="2:19" s="78" customFormat="1" ht="18" hidden="1" customHeight="1" outlineLevel="1">
      <c r="B10" s="88" t="s">
        <v>885</v>
      </c>
      <c r="C10" s="88"/>
      <c r="D10" s="92" t="s">
        <v>28</v>
      </c>
      <c r="E10" s="89" t="s">
        <v>886</v>
      </c>
      <c r="F10" s="86">
        <v>0</v>
      </c>
      <c r="G10" s="86">
        <v>0</v>
      </c>
      <c r="H10" s="86">
        <v>0</v>
      </c>
      <c r="I10" s="86">
        <v>127700</v>
      </c>
      <c r="J10" s="86">
        <v>142800</v>
      </c>
      <c r="K10" s="90"/>
      <c r="L10" s="680"/>
      <c r="M10" s="88" t="s">
        <v>887</v>
      </c>
      <c r="N10" s="681" t="s">
        <v>891</v>
      </c>
      <c r="O10" s="90">
        <f>SUM(O6:O9)</f>
        <v>29487625.153988</v>
      </c>
      <c r="P10" s="90">
        <f>SUM(P6:P9)</f>
        <v>12821946.656514</v>
      </c>
      <c r="Q10" s="90">
        <f>SUM(Q6:Q9)</f>
        <v>0</v>
      </c>
      <c r="R10" s="90">
        <f>SUM(R6:R9)</f>
        <v>143238921.48000002</v>
      </c>
      <c r="S10" s="91">
        <f>SUM(S6:S9)</f>
        <v>117863909</v>
      </c>
    </row>
    <row r="11" spans="2:19" s="78" customFormat="1" ht="18" hidden="1" customHeight="1" outlineLevel="1">
      <c r="B11" s="88" t="s">
        <v>892</v>
      </c>
      <c r="C11" s="88"/>
      <c r="D11" s="92" t="s">
        <v>29</v>
      </c>
      <c r="E11" s="89" t="s">
        <v>893</v>
      </c>
      <c r="F11" s="86">
        <v>0</v>
      </c>
      <c r="G11" s="86">
        <v>0</v>
      </c>
      <c r="H11" s="86">
        <v>0</v>
      </c>
      <c r="I11" s="86">
        <v>-127700</v>
      </c>
      <c r="J11" s="86">
        <v>-142800</v>
      </c>
      <c r="K11" s="90"/>
      <c r="L11" s="680"/>
      <c r="M11" s="92" t="s">
        <v>894</v>
      </c>
      <c r="N11" s="89" t="s">
        <v>1087</v>
      </c>
      <c r="O11" s="86">
        <v>0</v>
      </c>
      <c r="P11" s="86"/>
      <c r="Q11" s="86"/>
      <c r="R11" s="86"/>
      <c r="S11" s="87"/>
    </row>
    <row r="12" spans="2:19" s="78" customFormat="1" ht="18" hidden="1" customHeight="1" outlineLevel="1">
      <c r="B12" s="88">
        <v>3</v>
      </c>
      <c r="C12" s="675"/>
      <c r="D12" s="676" t="s">
        <v>1308</v>
      </c>
      <c r="E12" s="89" t="s">
        <v>1088</v>
      </c>
      <c r="F12" s="1432">
        <f>'PASH 13'!E15</f>
        <v>30603535.829999998</v>
      </c>
      <c r="G12" s="1046">
        <f>'PASH MC 12'!G26</f>
        <v>19943522.130000003</v>
      </c>
      <c r="H12" s="86"/>
      <c r="I12" s="86">
        <f>2146938+502500+49593+203170+1667+85958+84800+139407.2+16000+159000+31200+48750+233214+1824+7512+9996+1044897+1713033+47850.8+635250+4000+1757960</f>
        <v>8924520</v>
      </c>
      <c r="J12" s="86">
        <v>7137776</v>
      </c>
      <c r="K12" s="95" t="s">
        <v>757</v>
      </c>
      <c r="L12" s="680"/>
      <c r="M12" s="682" t="s">
        <v>1311</v>
      </c>
      <c r="N12" s="565" t="s">
        <v>1089</v>
      </c>
      <c r="O12" s="86">
        <f>SUM(O14,O15,O16,O17,O22)</f>
        <v>0</v>
      </c>
      <c r="P12" s="86">
        <f>SUM(P14,P15,P16,P17,P22)</f>
        <v>110000</v>
      </c>
      <c r="Q12" s="86">
        <f>SUM(Q14,Q15,Q16,Q17,Q22)</f>
        <v>0</v>
      </c>
      <c r="R12" s="86">
        <f>SUM(R14,R15,R16,R17,R22)</f>
        <v>0</v>
      </c>
      <c r="S12" s="91">
        <f>SUM(S14,S15,S16,S17,S22)</f>
        <v>0</v>
      </c>
    </row>
    <row r="13" spans="2:19" s="78" customFormat="1" ht="18" hidden="1" customHeight="1" outlineLevel="1">
      <c r="B13" s="683">
        <v>4</v>
      </c>
      <c r="C13" s="673"/>
      <c r="D13" s="684" t="s">
        <v>1090</v>
      </c>
      <c r="E13" s="685" t="s">
        <v>1091</v>
      </c>
      <c r="F13" s="435">
        <f>SUM(F14:F16)</f>
        <v>28677317</v>
      </c>
      <c r="G13" s="435">
        <f>SUM(G14:G16)</f>
        <v>11353114</v>
      </c>
      <c r="H13" s="435">
        <f>SUM(H14:H16)</f>
        <v>0</v>
      </c>
      <c r="I13" s="435">
        <f>SUM(I14:I16)</f>
        <v>90795467</v>
      </c>
      <c r="J13" s="435">
        <f>SUM(J14:J16)</f>
        <v>78747794</v>
      </c>
      <c r="K13" s="81"/>
      <c r="L13" s="319"/>
      <c r="M13" s="92"/>
      <c r="N13" s="89"/>
      <c r="O13" s="86">
        <v>0</v>
      </c>
      <c r="P13" s="86"/>
      <c r="Q13" s="86"/>
      <c r="R13" s="86"/>
      <c r="S13" s="87"/>
    </row>
    <row r="14" spans="2:19" s="78" customFormat="1" ht="18" hidden="1" customHeight="1" outlineLevel="1">
      <c r="B14" s="88" t="s">
        <v>1092</v>
      </c>
      <c r="C14" s="88"/>
      <c r="D14" s="92" t="s">
        <v>1093</v>
      </c>
      <c r="E14" s="89" t="s">
        <v>1094</v>
      </c>
      <c r="F14" s="1432">
        <f>'PASH 13'!E39</f>
        <v>20290215</v>
      </c>
      <c r="G14" s="1046">
        <f>'PASH MC 12'!E36</f>
        <v>7984265</v>
      </c>
      <c r="H14" s="86"/>
      <c r="I14" s="86">
        <v>74335385</v>
      </c>
      <c r="J14" s="86">
        <v>62784342</v>
      </c>
      <c r="K14" s="90"/>
      <c r="L14" s="319">
        <v>5</v>
      </c>
      <c r="M14" s="92" t="s">
        <v>1095</v>
      </c>
      <c r="N14" s="89" t="s">
        <v>1096</v>
      </c>
      <c r="O14" s="86">
        <v>0</v>
      </c>
      <c r="P14" s="86"/>
      <c r="Q14" s="86"/>
      <c r="R14" s="86"/>
      <c r="S14" s="87"/>
    </row>
    <row r="15" spans="2:19" s="78" customFormat="1" ht="18" hidden="1" customHeight="1" outlineLevel="1">
      <c r="B15" s="88" t="s">
        <v>1097</v>
      </c>
      <c r="C15" s="88"/>
      <c r="D15" s="92" t="s">
        <v>1098</v>
      </c>
      <c r="E15" s="89" t="s">
        <v>1099</v>
      </c>
      <c r="F15" s="1432">
        <f>'PASH 13'!E28</f>
        <v>5012289</v>
      </c>
      <c r="G15" s="1046">
        <f>'PASH MC 12'!E26</f>
        <v>2037990</v>
      </c>
      <c r="H15" s="86"/>
      <c r="I15" s="86">
        <v>4043044</v>
      </c>
      <c r="J15" s="86">
        <v>3708757</v>
      </c>
      <c r="K15" s="90"/>
      <c r="L15" s="319">
        <v>6</v>
      </c>
      <c r="M15" s="92" t="s">
        <v>1100</v>
      </c>
      <c r="N15" s="89" t="s">
        <v>1101</v>
      </c>
      <c r="O15" s="86">
        <v>0</v>
      </c>
      <c r="P15" s="86"/>
      <c r="Q15" s="86"/>
      <c r="R15" s="86"/>
      <c r="S15" s="87"/>
    </row>
    <row r="16" spans="2:19" s="78" customFormat="1" ht="18" hidden="1" customHeight="1" outlineLevel="1">
      <c r="B16" s="88" t="s">
        <v>1102</v>
      </c>
      <c r="C16" s="88"/>
      <c r="D16" s="92" t="s">
        <v>1103</v>
      </c>
      <c r="E16" s="89" t="s">
        <v>1104</v>
      </c>
      <c r="F16" s="1432">
        <f>'PASH 13'!E40</f>
        <v>3374813</v>
      </c>
      <c r="G16" s="1046">
        <f>'PASH MC 12'!E37</f>
        <v>1330859</v>
      </c>
      <c r="H16" s="86"/>
      <c r="I16" s="86">
        <v>12417038</v>
      </c>
      <c r="J16" s="86">
        <v>12254695</v>
      </c>
      <c r="K16" s="90"/>
      <c r="L16" s="319">
        <v>7</v>
      </c>
      <c r="M16" s="92" t="s">
        <v>1105</v>
      </c>
      <c r="N16" s="89" t="s">
        <v>1106</v>
      </c>
      <c r="O16" s="95">
        <v>0</v>
      </c>
      <c r="P16" s="95"/>
      <c r="Q16" s="95"/>
      <c r="R16" s="95"/>
      <c r="S16" s="96"/>
    </row>
    <row r="17" spans="2:22" s="78" customFormat="1" ht="18" hidden="1" customHeight="1" outlineLevel="1">
      <c r="B17" s="88">
        <v>5</v>
      </c>
      <c r="C17" s="675"/>
      <c r="D17" s="676" t="s">
        <v>1107</v>
      </c>
      <c r="E17" s="89" t="s">
        <v>1108</v>
      </c>
      <c r="F17" s="1432">
        <f>'PASH 13'!E35</f>
        <v>25120</v>
      </c>
      <c r="G17" s="1045">
        <f>'PASH MC 12'!E32</f>
        <v>53224.99</v>
      </c>
      <c r="H17" s="90"/>
      <c r="I17" s="90">
        <f>1000+37000+1000+26200</f>
        <v>65200</v>
      </c>
      <c r="J17" s="90">
        <v>26000</v>
      </c>
      <c r="K17" s="90"/>
      <c r="L17" s="319">
        <v>8</v>
      </c>
      <c r="M17" s="92" t="s">
        <v>1109</v>
      </c>
      <c r="N17" s="89" t="s">
        <v>1110</v>
      </c>
      <c r="O17" s="86">
        <f>SUM(O18:O20)</f>
        <v>0</v>
      </c>
      <c r="P17" s="86">
        <f>SUM(P18:P20)</f>
        <v>110000</v>
      </c>
      <c r="Q17" s="86"/>
      <c r="R17" s="86"/>
      <c r="S17" s="87">
        <v>0</v>
      </c>
    </row>
    <row r="18" spans="2:22" s="78" customFormat="1" ht="18" hidden="1" customHeight="1" outlineLevel="1">
      <c r="B18" s="88">
        <v>6</v>
      </c>
      <c r="C18" s="675"/>
      <c r="D18" s="676" t="s">
        <v>1111</v>
      </c>
      <c r="E18" s="89" t="s">
        <v>1112</v>
      </c>
      <c r="F18" s="90">
        <f>SUM(F19:F21)</f>
        <v>2310780.79</v>
      </c>
      <c r="G18" s="90">
        <f>SUM(G19:G21)</f>
        <v>6870962.540000001</v>
      </c>
      <c r="H18" s="90">
        <f>SUM(H19:H21)</f>
        <v>0</v>
      </c>
      <c r="I18" s="90">
        <f>SUM(I19:I21)</f>
        <v>41003</v>
      </c>
      <c r="J18" s="90">
        <f>SUM(J19:J21)</f>
        <v>65375</v>
      </c>
      <c r="K18" s="90"/>
      <c r="L18" s="680" t="s">
        <v>1113</v>
      </c>
      <c r="M18" s="92" t="s">
        <v>1114</v>
      </c>
      <c r="N18" s="89" t="s">
        <v>1115</v>
      </c>
      <c r="O18" s="86">
        <v>0</v>
      </c>
      <c r="P18" s="86">
        <v>0</v>
      </c>
      <c r="Q18" s="86"/>
      <c r="R18" s="86"/>
      <c r="S18" s="87"/>
    </row>
    <row r="19" spans="2:22" s="78" customFormat="1" ht="18" hidden="1" customHeight="1" outlineLevel="1">
      <c r="B19" s="88" t="s">
        <v>1116</v>
      </c>
      <c r="C19" s="88"/>
      <c r="D19" s="92" t="s">
        <v>1117</v>
      </c>
      <c r="E19" s="89" t="s">
        <v>1118</v>
      </c>
      <c r="F19" s="89">
        <v>0</v>
      </c>
      <c r="G19" s="89">
        <v>0</v>
      </c>
      <c r="H19" s="86"/>
      <c r="I19" s="86"/>
      <c r="J19" s="86"/>
      <c r="K19" s="90"/>
      <c r="L19" s="680" t="s">
        <v>1119</v>
      </c>
      <c r="M19" s="92" t="s">
        <v>1120</v>
      </c>
      <c r="N19" s="89" t="s">
        <v>1121</v>
      </c>
      <c r="O19" s="86">
        <v>0</v>
      </c>
      <c r="P19" s="86"/>
      <c r="Q19" s="86"/>
      <c r="R19" s="86"/>
      <c r="S19" s="87"/>
    </row>
    <row r="20" spans="2:22" s="78" customFormat="1" ht="18" hidden="1" customHeight="1" outlineLevel="1">
      <c r="B20" s="686" t="s">
        <v>1122</v>
      </c>
      <c r="C20" s="88"/>
      <c r="D20" s="92" t="s">
        <v>1123</v>
      </c>
      <c r="E20" s="89" t="s">
        <v>1124</v>
      </c>
      <c r="F20" s="89">
        <v>0</v>
      </c>
      <c r="G20" s="89">
        <v>0</v>
      </c>
      <c r="H20" s="95"/>
      <c r="I20" s="95"/>
      <c r="J20" s="86"/>
      <c r="K20" s="90"/>
      <c r="L20" s="680" t="s">
        <v>1125</v>
      </c>
      <c r="M20" s="92" t="s">
        <v>1411</v>
      </c>
      <c r="N20" s="89" t="s">
        <v>1126</v>
      </c>
      <c r="O20" s="86">
        <v>0</v>
      </c>
      <c r="P20" s="86">
        <f>'PASH MC 12'!H7</f>
        <v>110000</v>
      </c>
      <c r="Q20" s="86"/>
      <c r="R20" s="86"/>
      <c r="S20" s="87"/>
    </row>
    <row r="21" spans="2:22" s="78" customFormat="1" ht="18" hidden="1" customHeight="1" outlineLevel="1">
      <c r="B21" s="88" t="s">
        <v>1127</v>
      </c>
      <c r="C21" s="88"/>
      <c r="D21" s="92" t="s">
        <v>61</v>
      </c>
      <c r="E21" s="89" t="s">
        <v>1128</v>
      </c>
      <c r="F21" s="1432">
        <f>'PASH 13'!E43</f>
        <v>2310780.79</v>
      </c>
      <c r="G21" s="1432">
        <f>'PASH MC 12'!E40</f>
        <v>6870962.540000001</v>
      </c>
      <c r="H21" s="86"/>
      <c r="I21" s="86">
        <f>1000+40003</f>
        <v>41003</v>
      </c>
      <c r="J21" s="86">
        <v>65375</v>
      </c>
      <c r="K21" s="90"/>
      <c r="L21" s="680"/>
      <c r="M21" s="92"/>
      <c r="N21" s="89"/>
      <c r="O21" s="95">
        <v>0</v>
      </c>
      <c r="P21" s="95"/>
      <c r="Q21" s="95"/>
      <c r="R21" s="95"/>
      <c r="S21" s="96"/>
    </row>
    <row r="22" spans="2:22" s="78" customFormat="1" ht="18" hidden="1" customHeight="1" outlineLevel="1">
      <c r="B22" s="88">
        <v>7</v>
      </c>
      <c r="C22" s="675"/>
      <c r="D22" s="676" t="s">
        <v>1129</v>
      </c>
      <c r="E22" s="89" t="s">
        <v>1130</v>
      </c>
      <c r="F22" s="90">
        <f>SUM(F23:F27)</f>
        <v>7717420</v>
      </c>
      <c r="G22" s="90">
        <f>SUM(G23:G27)</f>
        <v>2670946</v>
      </c>
      <c r="H22" s="90">
        <f>SUM(H23:H27)</f>
        <v>0</v>
      </c>
      <c r="I22" s="90">
        <f>SUM(I23:I27)</f>
        <v>4038222</v>
      </c>
      <c r="J22" s="90">
        <f>SUM(J23:J27)</f>
        <v>1631357.5</v>
      </c>
      <c r="K22" s="90"/>
      <c r="L22" s="319">
        <v>9</v>
      </c>
      <c r="M22" s="92" t="s">
        <v>1131</v>
      </c>
      <c r="N22" s="89" t="s">
        <v>1132</v>
      </c>
      <c r="O22" s="95">
        <f>SUM(O23:O26)</f>
        <v>0</v>
      </c>
      <c r="P22" s="95">
        <f>SUM(P23:P26)</f>
        <v>0</v>
      </c>
      <c r="Q22" s="95">
        <f>SUM(Q23:Q26)</f>
        <v>0</v>
      </c>
      <c r="R22" s="95">
        <f>SUM(R23:R26)</f>
        <v>0</v>
      </c>
      <c r="S22" s="96">
        <f>SUM(S23:S26)</f>
        <v>0</v>
      </c>
    </row>
    <row r="23" spans="2:22" s="78" customFormat="1" ht="18" hidden="1" customHeight="1" outlineLevel="1">
      <c r="B23" s="88" t="s">
        <v>1133</v>
      </c>
      <c r="C23" s="88"/>
      <c r="D23" s="92" t="s">
        <v>1134</v>
      </c>
      <c r="E23" s="89" t="s">
        <v>1135</v>
      </c>
      <c r="F23" s="1432">
        <f>'PASH 13'!E53</f>
        <v>5632852</v>
      </c>
      <c r="G23" s="1046">
        <f>'PASH MC 12'!E48</f>
        <v>1837369</v>
      </c>
      <c r="H23" s="86"/>
      <c r="I23" s="86">
        <v>3756404</v>
      </c>
      <c r="J23" s="86">
        <v>1604032.5</v>
      </c>
      <c r="K23" s="90"/>
      <c r="L23" s="680" t="s">
        <v>1136</v>
      </c>
      <c r="M23" s="92" t="s">
        <v>1137</v>
      </c>
      <c r="N23" s="89" t="s">
        <v>1138</v>
      </c>
      <c r="O23" s="86">
        <v>0</v>
      </c>
      <c r="P23" s="86"/>
      <c r="Q23" s="86"/>
      <c r="R23" s="86"/>
      <c r="S23" s="87"/>
    </row>
    <row r="24" spans="2:22" s="78" customFormat="1" ht="18" hidden="1" customHeight="1" outlineLevel="1">
      <c r="B24" s="88" t="s">
        <v>1139</v>
      </c>
      <c r="C24" s="88"/>
      <c r="D24" s="92" t="s">
        <v>1140</v>
      </c>
      <c r="E24" s="89" t="s">
        <v>1141</v>
      </c>
      <c r="F24" s="89">
        <v>0</v>
      </c>
      <c r="G24" s="89">
        <v>0</v>
      </c>
      <c r="H24" s="86"/>
      <c r="I24" s="86"/>
      <c r="J24" s="86"/>
      <c r="K24" s="90"/>
      <c r="L24" s="680" t="s">
        <v>1142</v>
      </c>
      <c r="M24" s="92" t="s">
        <v>1143</v>
      </c>
      <c r="N24" s="89" t="s">
        <v>1144</v>
      </c>
      <c r="O24" s="86">
        <v>0</v>
      </c>
      <c r="P24" s="86"/>
      <c r="Q24" s="86"/>
      <c r="R24" s="86"/>
      <c r="S24" s="87"/>
    </row>
    <row r="25" spans="2:22" s="78" customFormat="1" ht="18" hidden="1" customHeight="1" outlineLevel="1">
      <c r="B25" s="88" t="s">
        <v>1145</v>
      </c>
      <c r="C25" s="88"/>
      <c r="D25" s="92" t="s">
        <v>9</v>
      </c>
      <c r="E25" s="89" t="s">
        <v>1146</v>
      </c>
      <c r="F25" s="89">
        <v>0</v>
      </c>
      <c r="G25" s="89">
        <v>0</v>
      </c>
      <c r="H25" s="286">
        <v>0</v>
      </c>
      <c r="I25" s="286">
        <v>281818</v>
      </c>
      <c r="J25" s="286">
        <f>27325</f>
        <v>27325</v>
      </c>
      <c r="K25" s="90"/>
      <c r="L25" s="680" t="s">
        <v>1147</v>
      </c>
      <c r="M25" s="92" t="s">
        <v>1312</v>
      </c>
      <c r="N25" s="89" t="s">
        <v>1148</v>
      </c>
      <c r="O25" s="90">
        <v>0</v>
      </c>
      <c r="P25" s="90"/>
      <c r="Q25" s="90"/>
      <c r="R25" s="90"/>
      <c r="S25" s="91"/>
    </row>
    <row r="26" spans="2:22" s="78" customFormat="1" ht="18" hidden="1" customHeight="1" outlineLevel="1">
      <c r="B26" s="88" t="s">
        <v>1149</v>
      </c>
      <c r="C26" s="88"/>
      <c r="D26" s="92" t="s">
        <v>1150</v>
      </c>
      <c r="E26" s="89" t="s">
        <v>1151</v>
      </c>
      <c r="F26" s="89">
        <v>0</v>
      </c>
      <c r="G26" s="89">
        <v>0</v>
      </c>
      <c r="H26" s="86"/>
      <c r="I26" s="86"/>
      <c r="J26" s="86"/>
      <c r="K26" s="95"/>
      <c r="L26" s="680" t="s">
        <v>1152</v>
      </c>
      <c r="M26" s="92" t="s">
        <v>1153</v>
      </c>
      <c r="N26" s="89" t="s">
        <v>1154</v>
      </c>
      <c r="O26" s="687">
        <v>0</v>
      </c>
      <c r="P26" s="687"/>
      <c r="Q26" s="687"/>
      <c r="R26" s="687"/>
      <c r="S26" s="688"/>
    </row>
    <row r="27" spans="2:22" s="78" customFormat="1" ht="18" hidden="1" customHeight="1" outlineLevel="1">
      <c r="B27" s="677" t="s">
        <v>1155</v>
      </c>
      <c r="C27" s="677"/>
      <c r="D27" s="689" t="s">
        <v>1156</v>
      </c>
      <c r="E27" s="575" t="s">
        <v>1157</v>
      </c>
      <c r="F27" s="1433">
        <f>'PASH 13'!E54</f>
        <v>2084568</v>
      </c>
      <c r="G27" s="1054">
        <f>'PASH MC 12'!E49</f>
        <v>833577</v>
      </c>
      <c r="H27" s="207"/>
      <c r="I27" s="207"/>
      <c r="J27" s="207"/>
      <c r="K27" s="434"/>
      <c r="L27" s="690"/>
      <c r="M27" s="689"/>
      <c r="N27" s="575"/>
      <c r="O27" s="207"/>
      <c r="P27" s="207"/>
      <c r="Q27" s="207"/>
      <c r="R27" s="207"/>
      <c r="S27" s="208"/>
    </row>
    <row r="28" spans="2:22" s="78" customFormat="1" ht="18" hidden="1" customHeight="1" outlineLevel="1">
      <c r="B28" s="691"/>
      <c r="C28" s="692"/>
      <c r="D28" s="693" t="s">
        <v>1158</v>
      </c>
      <c r="E28" s="694" t="s">
        <v>1159</v>
      </c>
      <c r="F28" s="538">
        <f>SUM(F5,F4)</f>
        <v>69334173.620000005</v>
      </c>
      <c r="G28" s="538">
        <f>SUM(G5,G4)</f>
        <v>40891769.660000004</v>
      </c>
      <c r="H28" s="538">
        <f>SUM(H5,H4)</f>
        <v>0</v>
      </c>
      <c r="I28" s="538">
        <f>SUM(I5,I4)</f>
        <v>116115315.61</v>
      </c>
      <c r="J28" s="538">
        <f>SUM(J5,J4)</f>
        <v>96767317.5</v>
      </c>
      <c r="K28" s="538"/>
      <c r="L28" s="695"/>
      <c r="M28" s="691" t="s">
        <v>1160</v>
      </c>
      <c r="N28" s="694" t="s">
        <v>1161</v>
      </c>
      <c r="O28" s="538">
        <f>SUM(O12,O4)</f>
        <v>29487625.153988</v>
      </c>
      <c r="P28" s="538">
        <f>SUM(P12,P4)</f>
        <v>12931946.656514</v>
      </c>
      <c r="Q28" s="538">
        <f>SUM(Q12,Q4)</f>
        <v>0</v>
      </c>
      <c r="R28" s="538">
        <f>SUM(R12,R4)</f>
        <v>143238921.48000002</v>
      </c>
      <c r="S28" s="696">
        <f>SUM(S12,S4)</f>
        <v>117863909</v>
      </c>
      <c r="V28" s="657">
        <f>Q28-H28</f>
        <v>0</v>
      </c>
    </row>
    <row r="29" spans="2:22" s="78" customFormat="1" ht="18" hidden="1" customHeight="1" outlineLevel="1">
      <c r="B29" s="683"/>
      <c r="C29" s="79"/>
      <c r="D29" s="697"/>
      <c r="E29" s="685"/>
      <c r="F29" s="698">
        <f>+O28-F28</f>
        <v>-39846548.466012001</v>
      </c>
      <c r="G29" s="698">
        <f>+P28-G28</f>
        <v>-27959823.003486004</v>
      </c>
      <c r="H29" s="698">
        <f>+Q28-H28</f>
        <v>0</v>
      </c>
      <c r="I29" s="698">
        <f>+R28-I28</f>
        <v>27123605.87000002</v>
      </c>
      <c r="J29" s="698"/>
      <c r="K29" s="81"/>
      <c r="L29" s="699"/>
      <c r="M29" s="700"/>
      <c r="N29" s="685"/>
      <c r="O29" s="698">
        <f>+O30-F30</f>
        <v>-1979104.3</v>
      </c>
      <c r="P29" s="698">
        <f>+P30-G30</f>
        <v>-853156.62999999989</v>
      </c>
      <c r="Q29" s="698">
        <f>+Q30-H30</f>
        <v>0</v>
      </c>
      <c r="R29" s="698">
        <f>+R30-I30</f>
        <v>4082607.17</v>
      </c>
      <c r="S29" s="701"/>
    </row>
    <row r="30" spans="2:22" s="78" customFormat="1" ht="18" hidden="1" customHeight="1" outlineLevel="1">
      <c r="B30" s="686"/>
      <c r="C30" s="675"/>
      <c r="D30" s="682" t="s">
        <v>1163</v>
      </c>
      <c r="E30" s="565" t="s">
        <v>1164</v>
      </c>
      <c r="F30" s="90">
        <f>SUM(F31:F35)</f>
        <v>1980623.6600000001</v>
      </c>
      <c r="G30" s="90">
        <f>SUM(G31:G35)</f>
        <v>853484.91999999993</v>
      </c>
      <c r="H30" s="90">
        <f>SUM(H31:H35)</f>
        <v>0</v>
      </c>
      <c r="I30" s="90">
        <f>SUM(I31:I35)</f>
        <v>86800</v>
      </c>
      <c r="J30" s="90">
        <f>SUM(J31:J35)</f>
        <v>0</v>
      </c>
      <c r="K30" s="95" t="s">
        <v>1162</v>
      </c>
      <c r="L30" s="680"/>
      <c r="M30" s="682" t="s">
        <v>1165</v>
      </c>
      <c r="N30" s="565" t="s">
        <v>1166</v>
      </c>
      <c r="O30" s="90">
        <f>SUM(O31:O35)</f>
        <v>1519.36</v>
      </c>
      <c r="P30" s="90">
        <f>SUM(P31:P35)</f>
        <v>328.29</v>
      </c>
      <c r="Q30" s="90">
        <f>SUM(Q31:Q35)</f>
        <v>0</v>
      </c>
      <c r="R30" s="90">
        <f>SUM(R31:R35)</f>
        <v>4169407.17</v>
      </c>
      <c r="S30" s="91">
        <f>SUM(S31:S35)</f>
        <v>1813565.5</v>
      </c>
    </row>
    <row r="31" spans="2:22" s="78" customFormat="1" ht="18" hidden="1" customHeight="1" outlineLevel="1">
      <c r="B31" s="88">
        <v>8</v>
      </c>
      <c r="C31" s="675"/>
      <c r="D31" s="92" t="s">
        <v>1167</v>
      </c>
      <c r="E31" s="89" t="s">
        <v>1168</v>
      </c>
      <c r="F31" s="1434">
        <f>'PASH 13'!E51</f>
        <v>1799697.06</v>
      </c>
      <c r="G31" s="1045">
        <f>'PASH MC 12'!E30</f>
        <v>680367.84</v>
      </c>
      <c r="H31" s="86"/>
      <c r="I31" s="86"/>
      <c r="J31" s="86"/>
      <c r="K31" s="90"/>
      <c r="L31" s="319">
        <v>10</v>
      </c>
      <c r="M31" s="92" t="s">
        <v>1169</v>
      </c>
      <c r="N31" s="89" t="s">
        <v>1170</v>
      </c>
      <c r="O31" s="86">
        <f>'PASH 13'!F11</f>
        <v>1519.36</v>
      </c>
      <c r="P31" s="86">
        <f>'PASH MC 12'!H8</f>
        <v>328.29</v>
      </c>
      <c r="Q31" s="86"/>
      <c r="R31" s="86"/>
      <c r="S31" s="87"/>
    </row>
    <row r="32" spans="2:22" s="78" customFormat="1" ht="18" hidden="1" customHeight="1" outlineLevel="1">
      <c r="B32" s="88">
        <v>9</v>
      </c>
      <c r="C32" s="675"/>
      <c r="D32" s="92" t="s">
        <v>1171</v>
      </c>
      <c r="E32" s="89" t="s">
        <v>1172</v>
      </c>
      <c r="F32" s="89">
        <v>0</v>
      </c>
      <c r="G32" s="89">
        <v>0</v>
      </c>
      <c r="H32" s="95"/>
      <c r="I32" s="95"/>
      <c r="J32" s="95"/>
      <c r="K32" s="95"/>
      <c r="L32" s="319">
        <v>11</v>
      </c>
      <c r="M32" s="92" t="s">
        <v>1173</v>
      </c>
      <c r="N32" s="89" t="s">
        <v>1174</v>
      </c>
      <c r="O32" s="86">
        <v>0</v>
      </c>
      <c r="P32" s="86"/>
      <c r="Q32" s="86"/>
      <c r="R32" s="86"/>
      <c r="S32" s="87"/>
    </row>
    <row r="33" spans="2:19" s="78" customFormat="1" ht="18" hidden="1" customHeight="1" outlineLevel="1">
      <c r="B33" s="88">
        <v>10</v>
      </c>
      <c r="C33" s="675"/>
      <c r="D33" s="92" t="s">
        <v>1175</v>
      </c>
      <c r="E33" s="89" t="s">
        <v>1177</v>
      </c>
      <c r="F33" s="1434">
        <f>'PASH 13'!E52</f>
        <v>180926.6</v>
      </c>
      <c r="G33" s="1045">
        <f>'PASH MC 12'!E47</f>
        <v>173117.08</v>
      </c>
      <c r="H33" s="86"/>
      <c r="I33" s="86"/>
      <c r="J33" s="86">
        <v>0</v>
      </c>
      <c r="K33" s="90"/>
      <c r="L33" s="319">
        <v>12</v>
      </c>
      <c r="M33" s="92" t="s">
        <v>1178</v>
      </c>
      <c r="N33" s="89" t="s">
        <v>1179</v>
      </c>
      <c r="O33" s="86">
        <v>0</v>
      </c>
      <c r="P33" s="86">
        <v>0</v>
      </c>
      <c r="Q33" s="86">
        <v>0</v>
      </c>
      <c r="R33" s="86">
        <v>4082607.17</v>
      </c>
      <c r="S33" s="86">
        <f>1813566-0.5</f>
        <v>1813565.5</v>
      </c>
    </row>
    <row r="34" spans="2:19" s="78" customFormat="1" ht="18" hidden="1" customHeight="1" outlineLevel="1">
      <c r="B34" s="88">
        <v>11</v>
      </c>
      <c r="C34" s="675"/>
      <c r="D34" s="92" t="s">
        <v>1309</v>
      </c>
      <c r="E34" s="89" t="s">
        <v>1180</v>
      </c>
      <c r="F34" s="89">
        <v>0</v>
      </c>
      <c r="G34" s="89">
        <v>0</v>
      </c>
      <c r="H34" s="86"/>
      <c r="I34" s="86"/>
      <c r="J34" s="86"/>
      <c r="K34" s="90"/>
      <c r="L34" s="319">
        <v>13</v>
      </c>
      <c r="M34" s="92" t="s">
        <v>1399</v>
      </c>
      <c r="N34" s="89" t="s">
        <v>1181</v>
      </c>
      <c r="O34" s="86">
        <f>0</f>
        <v>0</v>
      </c>
      <c r="P34" s="86">
        <f>0</f>
        <v>0</v>
      </c>
      <c r="Q34" s="86"/>
      <c r="R34" s="95"/>
      <c r="S34" s="96"/>
    </row>
    <row r="35" spans="2:19" s="78" customFormat="1" ht="18" hidden="1" customHeight="1" outlineLevel="1">
      <c r="B35" s="677">
        <v>12</v>
      </c>
      <c r="C35" s="678"/>
      <c r="D35" s="689" t="s">
        <v>496</v>
      </c>
      <c r="E35" s="575" t="s">
        <v>1182</v>
      </c>
      <c r="F35" s="575">
        <v>0</v>
      </c>
      <c r="G35" s="575">
        <v>0</v>
      </c>
      <c r="H35" s="207"/>
      <c r="I35" s="207">
        <v>86800</v>
      </c>
      <c r="J35" s="207"/>
      <c r="K35" s="434"/>
      <c r="L35" s="702">
        <v>14</v>
      </c>
      <c r="M35" s="689" t="s">
        <v>494</v>
      </c>
      <c r="N35" s="575" t="s">
        <v>1183</v>
      </c>
      <c r="O35" s="207">
        <v>0</v>
      </c>
      <c r="P35" s="207"/>
      <c r="Q35" s="207"/>
      <c r="R35" s="207">
        <v>86800</v>
      </c>
      <c r="S35" s="208"/>
    </row>
    <row r="36" spans="2:19" s="78" customFormat="1" ht="18" hidden="1" customHeight="1" outlineLevel="1">
      <c r="B36" s="691"/>
      <c r="C36" s="691"/>
      <c r="D36" s="693" t="s">
        <v>1184</v>
      </c>
      <c r="E36" s="694" t="s">
        <v>1185</v>
      </c>
      <c r="F36" s="538">
        <f>SUM(F30,F28)</f>
        <v>71314797.280000001</v>
      </c>
      <c r="G36" s="538">
        <f>SUM(G30,G28)</f>
        <v>41745254.580000006</v>
      </c>
      <c r="H36" s="538">
        <f>SUM(H30,H28)</f>
        <v>0</v>
      </c>
      <c r="I36" s="538">
        <f>SUM(I30,I28)</f>
        <v>116202115.61</v>
      </c>
      <c r="J36" s="538">
        <f>SUM(J30,J28)</f>
        <v>96767317.5</v>
      </c>
      <c r="K36" s="538"/>
      <c r="L36" s="695"/>
      <c r="M36" s="691" t="s">
        <v>1186</v>
      </c>
      <c r="N36" s="694" t="s">
        <v>1187</v>
      </c>
      <c r="O36" s="538">
        <f>SUM(O28,O30)</f>
        <v>29489144.513987999</v>
      </c>
      <c r="P36" s="538">
        <f>SUM(P28,P30)</f>
        <v>12932274.946513999</v>
      </c>
      <c r="Q36" s="538">
        <f>SUM(Q28,Q30)</f>
        <v>0</v>
      </c>
      <c r="R36" s="538">
        <f>SUM(R28,R30)</f>
        <v>147408328.65000001</v>
      </c>
      <c r="S36" s="696">
        <f>SUM(S28,S30)</f>
        <v>119677474.5</v>
      </c>
    </row>
    <row r="37" spans="2:19" s="78" customFormat="1" ht="18" hidden="1" customHeight="1" outlineLevel="1">
      <c r="B37" s="683"/>
      <c r="C37" s="79"/>
      <c r="D37" s="700"/>
      <c r="E37" s="685"/>
      <c r="F37" s="1182"/>
      <c r="G37" s="1183"/>
      <c r="H37" s="698"/>
      <c r="I37" s="698"/>
      <c r="J37" s="698"/>
      <c r="K37" s="81"/>
      <c r="L37" s="699"/>
      <c r="M37" s="700"/>
      <c r="N37" s="685"/>
      <c r="O37" s="698"/>
      <c r="P37" s="698"/>
      <c r="Q37" s="698"/>
      <c r="R37" s="698"/>
      <c r="S37" s="701"/>
    </row>
    <row r="38" spans="2:19" s="78" customFormat="1" ht="18" hidden="1" customHeight="1" outlineLevel="1">
      <c r="B38" s="686"/>
      <c r="C38" s="675"/>
      <c r="D38" s="682" t="s">
        <v>1189</v>
      </c>
      <c r="E38" s="565" t="s">
        <v>1194</v>
      </c>
      <c r="F38" s="565">
        <v>0</v>
      </c>
      <c r="G38" s="565"/>
      <c r="H38" s="86"/>
      <c r="I38" s="86"/>
      <c r="J38" s="86"/>
      <c r="K38" s="95" t="s">
        <v>1188</v>
      </c>
      <c r="L38" s="680"/>
      <c r="M38" s="682" t="s">
        <v>1195</v>
      </c>
      <c r="N38" s="565" t="s">
        <v>1196</v>
      </c>
      <c r="O38" s="86">
        <v>0</v>
      </c>
      <c r="P38" s="86"/>
      <c r="Q38" s="86"/>
      <c r="R38" s="86"/>
      <c r="S38" s="91"/>
    </row>
    <row r="39" spans="2:19" s="78" customFormat="1" ht="18" hidden="1" customHeight="1" outlineLevel="1">
      <c r="B39" s="88"/>
      <c r="C39" s="93"/>
      <c r="D39" s="92"/>
      <c r="E39" s="89"/>
      <c r="F39" s="89"/>
      <c r="G39" s="89"/>
      <c r="H39" s="86"/>
      <c r="I39" s="86"/>
      <c r="J39" s="86"/>
      <c r="K39" s="90"/>
      <c r="L39" s="680"/>
      <c r="M39" s="92"/>
      <c r="N39" s="89"/>
      <c r="O39" s="86"/>
      <c r="P39" s="86"/>
      <c r="Q39" s="86"/>
      <c r="R39" s="86"/>
      <c r="S39" s="87"/>
    </row>
    <row r="40" spans="2:19" s="78" customFormat="1" ht="18" hidden="1" customHeight="1" outlineLevel="1">
      <c r="B40" s="88"/>
      <c r="C40" s="88"/>
      <c r="D40" s="88" t="s">
        <v>1197</v>
      </c>
      <c r="E40" s="681" t="s">
        <v>1198</v>
      </c>
      <c r="F40" s="90">
        <f>O38-F38</f>
        <v>0</v>
      </c>
      <c r="G40" s="90">
        <f>P38-G38</f>
        <v>0</v>
      </c>
      <c r="H40" s="90">
        <f>Q38-H38</f>
        <v>0</v>
      </c>
      <c r="I40" s="90">
        <f>S38-I38</f>
        <v>0</v>
      </c>
      <c r="J40" s="90">
        <f>S38-J38</f>
        <v>0</v>
      </c>
      <c r="K40" s="90"/>
      <c r="L40" s="680"/>
      <c r="M40" s="88" t="s">
        <v>1199</v>
      </c>
      <c r="N40" s="89"/>
      <c r="O40" s="86">
        <f>O38-F38</f>
        <v>0</v>
      </c>
      <c r="P40" s="86">
        <f>P38-G38</f>
        <v>0</v>
      </c>
      <c r="Q40" s="86">
        <f>Q38-H38</f>
        <v>0</v>
      </c>
      <c r="R40" s="86">
        <f>R38-I38</f>
        <v>0</v>
      </c>
      <c r="S40" s="87">
        <f>S38-J38</f>
        <v>0</v>
      </c>
    </row>
    <row r="41" spans="2:19" s="78" customFormat="1" ht="18" hidden="1" customHeight="1" outlineLevel="1">
      <c r="B41" s="88"/>
      <c r="C41" s="93"/>
      <c r="D41" s="92"/>
      <c r="E41" s="89"/>
      <c r="F41" s="703">
        <f>F42/O28</f>
        <v>0</v>
      </c>
      <c r="G41" s="703">
        <f>G42/P28</f>
        <v>0</v>
      </c>
      <c r="H41" s="703" t="e">
        <f>H42/Q28</f>
        <v>#DIV/0!</v>
      </c>
      <c r="I41" s="703">
        <f>I42/R28</f>
        <v>0.21786126785628743</v>
      </c>
      <c r="J41" s="703">
        <f>J42/S28</f>
        <v>0.19437805172404388</v>
      </c>
      <c r="K41" s="90"/>
      <c r="L41" s="680"/>
      <c r="M41" s="92"/>
      <c r="N41" s="89"/>
      <c r="O41" s="86"/>
      <c r="P41" s="86"/>
      <c r="Q41" s="86"/>
      <c r="R41" s="86"/>
      <c r="S41" s="87"/>
    </row>
    <row r="42" spans="2:19" s="78" customFormat="1" ht="18" hidden="1" customHeight="1" outlineLevel="1">
      <c r="B42" s="88"/>
      <c r="C42" s="88"/>
      <c r="D42" s="88" t="s">
        <v>1200</v>
      </c>
      <c r="E42" s="681" t="s">
        <v>1201</v>
      </c>
      <c r="F42" s="704">
        <f>IF(F36&lt;=O36,O36-F36,0)+O40</f>
        <v>0</v>
      </c>
      <c r="G42" s="704">
        <f>IF(G36&lt;=P36,P36-G36,0)+P40</f>
        <v>0</v>
      </c>
      <c r="H42" s="704">
        <f>IF(H36&lt;=Q36,Q36-H36,0)+Q40</f>
        <v>0</v>
      </c>
      <c r="I42" s="704">
        <f>IF(I36&lt;=R36,R36-I36,0)+R40</f>
        <v>31206213.040000007</v>
      </c>
      <c r="J42" s="90">
        <f>IF(J36&lt;=S36,S36-J36,0)+S40</f>
        <v>22910157</v>
      </c>
      <c r="K42" s="90"/>
      <c r="L42" s="705"/>
      <c r="M42" s="318" t="s">
        <v>1202</v>
      </c>
      <c r="N42" s="565"/>
      <c r="O42" s="95">
        <f>IF(O36&lt;F36,O36-F36,0)</f>
        <v>-41825652.766011998</v>
      </c>
      <c r="P42" s="95">
        <f>IF(P36&lt;G36,P36-G36,0)</f>
        <v>-28812979.633486006</v>
      </c>
      <c r="Q42" s="95">
        <f>IF(Q36&lt;H36,Q36-H36,0)</f>
        <v>0</v>
      </c>
      <c r="R42" s="95">
        <f>IF(R36&lt;I36,R36-I36,0)</f>
        <v>0</v>
      </c>
      <c r="S42" s="706"/>
    </row>
    <row r="43" spans="2:19" s="78" customFormat="1" ht="18" hidden="1" customHeight="1" outlineLevel="1">
      <c r="B43" s="686"/>
      <c r="C43" s="675"/>
      <c r="D43" s="682" t="s">
        <v>1203</v>
      </c>
      <c r="E43" s="565" t="s">
        <v>1204</v>
      </c>
      <c r="F43" s="90">
        <f>F44</f>
        <v>0</v>
      </c>
      <c r="G43" s="90">
        <f>G44</f>
        <v>0</v>
      </c>
      <c r="H43" s="90">
        <f>H44</f>
        <v>0</v>
      </c>
      <c r="I43" s="90">
        <f>I44</f>
        <v>0</v>
      </c>
      <c r="J43" s="90">
        <f>J42</f>
        <v>22910157</v>
      </c>
      <c r="K43" s="90"/>
      <c r="L43" s="680"/>
      <c r="M43" s="92"/>
      <c r="N43" s="89"/>
      <c r="O43" s="86">
        <f>+O42+F47</f>
        <v>-41825652.766011998</v>
      </c>
      <c r="P43" s="86">
        <f>+P42+G47</f>
        <v>-28812979.633486006</v>
      </c>
      <c r="Q43" s="86">
        <f>+Q42+H47</f>
        <v>0</v>
      </c>
      <c r="R43" s="86">
        <f>+R42+I47</f>
        <v>0</v>
      </c>
      <c r="S43" s="706"/>
    </row>
    <row r="44" spans="2:19" s="78" customFormat="1" ht="18" hidden="1" customHeight="1" outlineLevel="1">
      <c r="B44" s="88">
        <v>1</v>
      </c>
      <c r="C44" s="675"/>
      <c r="D44" s="93" t="s">
        <v>1205</v>
      </c>
      <c r="E44" s="94" t="s">
        <v>1206</v>
      </c>
      <c r="F44" s="94"/>
      <c r="G44" s="94"/>
      <c r="H44" s="95"/>
      <c r="I44" s="95"/>
      <c r="J44" s="95"/>
      <c r="K44" s="95"/>
      <c r="L44" s="680"/>
      <c r="M44" s="92"/>
      <c r="N44" s="89"/>
      <c r="O44" s="86"/>
      <c r="P44" s="86"/>
      <c r="Q44" s="86"/>
      <c r="R44" s="86"/>
      <c r="S44" s="87"/>
    </row>
    <row r="45" spans="2:19" s="78" customFormat="1" ht="18" hidden="1" customHeight="1" outlineLevel="1">
      <c r="B45" s="88" t="s">
        <v>764</v>
      </c>
      <c r="C45" s="88"/>
      <c r="D45" s="707" t="s">
        <v>1207</v>
      </c>
      <c r="E45" s="708" t="s">
        <v>1208</v>
      </c>
      <c r="F45" s="90">
        <f>SUM(F46:F47)</f>
        <v>0</v>
      </c>
      <c r="G45" s="90">
        <f>SUM(G46:G47)</f>
        <v>0</v>
      </c>
      <c r="H45" s="90">
        <f>SUM(H46:H47)</f>
        <v>-2601305</v>
      </c>
      <c r="I45" s="90">
        <f>SUM(I46:I47)</f>
        <v>-3330517.6</v>
      </c>
      <c r="J45" s="90">
        <f>SUM(J46:J47)</f>
        <v>-2342553</v>
      </c>
      <c r="K45" s="90"/>
      <c r="L45" s="680"/>
      <c r="M45" s="92"/>
      <c r="N45" s="89"/>
      <c r="O45" s="86"/>
      <c r="P45" s="86"/>
      <c r="Q45" s="86"/>
      <c r="R45" s="86"/>
      <c r="S45" s="87"/>
    </row>
    <row r="46" spans="2:19" s="78" customFormat="1" ht="18" hidden="1" customHeight="1" outlineLevel="1">
      <c r="B46" s="88"/>
      <c r="C46" s="88"/>
      <c r="D46" s="92" t="s">
        <v>1310</v>
      </c>
      <c r="E46" s="89" t="s">
        <v>1209</v>
      </c>
      <c r="F46" s="286">
        <f>-F64</f>
        <v>0</v>
      </c>
      <c r="G46" s="286">
        <f>-G64</f>
        <v>0</v>
      </c>
      <c r="H46" s="286">
        <v>-2601305</v>
      </c>
      <c r="I46" s="286">
        <v>-3330517.6</v>
      </c>
      <c r="J46" s="286">
        <v>-2342553</v>
      </c>
      <c r="K46" s="90"/>
      <c r="L46" s="319"/>
      <c r="M46" s="93"/>
      <c r="N46" s="94"/>
      <c r="O46" s="95"/>
      <c r="P46" s="95"/>
      <c r="Q46" s="95"/>
      <c r="R46" s="95"/>
      <c r="S46" s="96"/>
    </row>
    <row r="47" spans="2:19" s="78" customFormat="1" ht="18" hidden="1" customHeight="1" outlineLevel="1">
      <c r="B47" s="88" t="s">
        <v>880</v>
      </c>
      <c r="C47" s="88"/>
      <c r="D47" s="92" t="s">
        <v>1210</v>
      </c>
      <c r="E47" s="89" t="s">
        <v>1211</v>
      </c>
      <c r="F47" s="89"/>
      <c r="G47" s="89"/>
      <c r="H47" s="86"/>
      <c r="I47" s="86"/>
      <c r="J47" s="86"/>
      <c r="K47" s="90"/>
      <c r="L47" s="680"/>
      <c r="M47" s="92"/>
      <c r="N47" s="89"/>
      <c r="O47" s="86"/>
      <c r="P47" s="86"/>
      <c r="Q47" s="86"/>
      <c r="R47" s="86"/>
      <c r="S47" s="87"/>
    </row>
    <row r="48" spans="2:19" s="78" customFormat="1" ht="18" hidden="1" customHeight="1" outlineLevel="1">
      <c r="B48" s="88"/>
      <c r="C48" s="93"/>
      <c r="D48" s="92"/>
      <c r="E48" s="89"/>
      <c r="F48" s="89"/>
      <c r="G48" s="89"/>
      <c r="H48" s="86"/>
      <c r="I48" s="86"/>
      <c r="J48" s="86"/>
      <c r="K48" s="90"/>
      <c r="L48" s="680"/>
      <c r="M48" s="92"/>
      <c r="N48" s="89"/>
      <c r="O48" s="86"/>
      <c r="P48" s="86"/>
      <c r="Q48" s="86"/>
      <c r="R48" s="86"/>
      <c r="S48" s="87"/>
    </row>
    <row r="49" spans="2:24" s="78" customFormat="1" ht="18" hidden="1" customHeight="1" outlineLevel="1" thickBot="1">
      <c r="B49" s="709"/>
      <c r="C49" s="710"/>
      <c r="D49" s="711"/>
      <c r="E49" s="590"/>
      <c r="F49" s="590"/>
      <c r="G49" s="590"/>
      <c r="H49" s="712"/>
      <c r="I49" s="712"/>
      <c r="J49" s="712"/>
      <c r="K49" s="713"/>
      <c r="L49" s="714"/>
      <c r="M49" s="711"/>
      <c r="N49" s="590"/>
      <c r="O49" s="712"/>
      <c r="P49" s="712"/>
      <c r="Q49" s="712"/>
      <c r="R49" s="712"/>
      <c r="S49" s="715"/>
    </row>
    <row r="50" spans="2:24" s="78" customFormat="1" ht="17.25" hidden="1" customHeight="1" outlineLevel="1" thickBot="1">
      <c r="B50" s="716"/>
      <c r="C50" s="716"/>
      <c r="D50" s="716" t="s">
        <v>1212</v>
      </c>
      <c r="E50" s="717" t="s">
        <v>1213</v>
      </c>
      <c r="F50" s="718">
        <f>F43+F45+F47+F42</f>
        <v>0</v>
      </c>
      <c r="G50" s="718">
        <f>G43+G45+G47+G42</f>
        <v>0</v>
      </c>
      <c r="H50" s="718">
        <f>H43+H45+H47+H42</f>
        <v>-2601305</v>
      </c>
      <c r="I50" s="718">
        <f>I43+I45+I47+I42</f>
        <v>27875695.440000005</v>
      </c>
      <c r="J50" s="718">
        <f>S36-J36+J46</f>
        <v>20567604</v>
      </c>
      <c r="K50" s="718"/>
      <c r="L50" s="719"/>
      <c r="M50" s="716" t="s">
        <v>1302</v>
      </c>
      <c r="N50" s="720"/>
      <c r="O50" s="718">
        <f>F44</f>
        <v>0</v>
      </c>
      <c r="P50" s="718">
        <f>G44</f>
        <v>0</v>
      </c>
      <c r="Q50" s="718">
        <f>H44</f>
        <v>0</v>
      </c>
      <c r="R50" s="718">
        <f>I44</f>
        <v>0</v>
      </c>
      <c r="S50" s="721"/>
    </row>
    <row r="51" spans="2:24" ht="13.5" hidden="1" outlineLevel="1" thickBot="1"/>
    <row r="52" spans="2:24" s="114" customFormat="1" hidden="1" outlineLevel="1">
      <c r="B52" s="725"/>
      <c r="C52" s="726"/>
      <c r="D52" s="727" t="s">
        <v>1200</v>
      </c>
      <c r="E52" s="728" t="s">
        <v>122</v>
      </c>
      <c r="F52" s="729">
        <f>O42</f>
        <v>-41825652.766011998</v>
      </c>
      <c r="G52" s="729">
        <f>P42</f>
        <v>-28812979.633486006</v>
      </c>
      <c r="H52" s="729">
        <f>H42</f>
        <v>0</v>
      </c>
      <c r="I52" s="729">
        <f>I42</f>
        <v>31206213.040000007</v>
      </c>
      <c r="J52" s="729">
        <f>J42</f>
        <v>22910157</v>
      </c>
      <c r="K52" s="730"/>
      <c r="L52" s="731"/>
      <c r="N52" s="114">
        <f>J47-H50</f>
        <v>2601305</v>
      </c>
      <c r="X52" s="732"/>
    </row>
    <row r="53" spans="2:24" s="114" customFormat="1" hidden="1" outlineLevel="1">
      <c r="B53" s="733"/>
      <c r="C53" s="734"/>
      <c r="D53" s="209" t="s">
        <v>123</v>
      </c>
      <c r="E53" s="210" t="s">
        <v>124</v>
      </c>
      <c r="F53" s="211" t="str">
        <f>M42</f>
        <v>HUMBJE</v>
      </c>
      <c r="G53" s="211">
        <f>N42</f>
        <v>0</v>
      </c>
      <c r="H53" s="211">
        <f>Q42</f>
        <v>0</v>
      </c>
      <c r="I53" s="211">
        <f>S42</f>
        <v>0</v>
      </c>
      <c r="J53" s="212"/>
      <c r="K53" s="730"/>
      <c r="L53" s="731"/>
      <c r="X53" s="732"/>
    </row>
    <row r="54" spans="2:24" s="114" customFormat="1" hidden="1" outlineLevel="1">
      <c r="B54" s="214"/>
      <c r="C54" s="735"/>
      <c r="D54" s="209" t="s">
        <v>125</v>
      </c>
      <c r="E54" s="213" t="s">
        <v>126</v>
      </c>
      <c r="F54" s="345">
        <f>F21</f>
        <v>2310780.79</v>
      </c>
      <c r="G54" s="345">
        <f>G21</f>
        <v>6870962.540000001</v>
      </c>
      <c r="H54" s="345"/>
      <c r="I54" s="345"/>
      <c r="J54" s="345">
        <v>450000</v>
      </c>
      <c r="K54" s="730"/>
      <c r="L54" s="731"/>
      <c r="N54" s="114">
        <f>+J47*5</f>
        <v>0</v>
      </c>
      <c r="X54" s="732"/>
    </row>
    <row r="55" spans="2:24" s="114" customFormat="1" hidden="1" outlineLevel="1">
      <c r="B55" s="214"/>
      <c r="C55" s="215"/>
      <c r="D55" s="216" t="s">
        <v>1451</v>
      </c>
      <c r="E55" s="213" t="s">
        <v>128</v>
      </c>
      <c r="F55" s="345">
        <v>0</v>
      </c>
      <c r="G55" s="345">
        <v>0</v>
      </c>
      <c r="H55" s="345">
        <v>0</v>
      </c>
      <c r="I55" s="345"/>
      <c r="J55" s="345">
        <v>65375</v>
      </c>
      <c r="K55" s="730"/>
      <c r="L55" s="731"/>
      <c r="X55" s="732"/>
    </row>
    <row r="56" spans="2:24" s="114" customFormat="1" hidden="1" outlineLevel="1">
      <c r="B56" s="214"/>
      <c r="C56" s="215"/>
      <c r="D56" s="216" t="s">
        <v>129</v>
      </c>
      <c r="E56" s="213"/>
      <c r="F56" s="345"/>
      <c r="G56" s="345"/>
      <c r="H56" s="345"/>
      <c r="I56" s="345"/>
      <c r="J56" s="345">
        <v>0</v>
      </c>
      <c r="K56" s="730"/>
      <c r="L56" s="731"/>
      <c r="X56" s="732"/>
    </row>
    <row r="57" spans="2:24" s="114" customFormat="1" hidden="1" outlineLevel="1">
      <c r="B57" s="736"/>
      <c r="C57" s="737"/>
      <c r="D57" s="209" t="s">
        <v>130</v>
      </c>
      <c r="E57" s="738" t="s">
        <v>131</v>
      </c>
      <c r="F57" s="345"/>
      <c r="G57" s="345"/>
      <c r="H57" s="345"/>
      <c r="I57" s="345"/>
      <c r="J57" s="345"/>
      <c r="K57" s="730"/>
      <c r="L57" s="731"/>
      <c r="X57" s="732"/>
    </row>
    <row r="58" spans="2:24" s="114" customFormat="1" hidden="1" outlineLevel="1">
      <c r="B58" s="739"/>
      <c r="C58" s="740"/>
      <c r="D58" s="741" t="s">
        <v>1398</v>
      </c>
      <c r="E58" s="742"/>
      <c r="F58" s="345"/>
      <c r="G58" s="345"/>
      <c r="H58" s="345"/>
      <c r="I58" s="345"/>
      <c r="J58" s="345">
        <v>0</v>
      </c>
      <c r="K58" s="730"/>
      <c r="L58" s="731"/>
      <c r="X58" s="732"/>
    </row>
    <row r="59" spans="2:24" s="114" customFormat="1" hidden="1" outlineLevel="1">
      <c r="B59" s="739"/>
      <c r="C59" s="740"/>
      <c r="D59" s="741"/>
      <c r="E59" s="742" t="s">
        <v>132</v>
      </c>
      <c r="F59" s="742"/>
      <c r="G59" s="742"/>
      <c r="H59" s="742"/>
      <c r="I59" s="742"/>
      <c r="J59" s="742"/>
      <c r="K59" s="730"/>
      <c r="L59" s="731"/>
      <c r="X59" s="732"/>
    </row>
    <row r="60" spans="2:24" s="114" customFormat="1" hidden="1" outlineLevel="1">
      <c r="B60" s="743"/>
      <c r="C60" s="744"/>
      <c r="D60" s="741" t="s">
        <v>133</v>
      </c>
      <c r="E60" s="745"/>
      <c r="F60" s="746">
        <f>SUM(F53:F59)</f>
        <v>2310780.79</v>
      </c>
      <c r="G60" s="746">
        <f>SUM(G53:G59)</f>
        <v>6870962.540000001</v>
      </c>
      <c r="H60" s="746">
        <f>SUM(H53:H59)</f>
        <v>0</v>
      </c>
      <c r="I60" s="746">
        <f>SUM(I53:I59)</f>
        <v>0</v>
      </c>
      <c r="J60" s="746">
        <f>SUM(J53:J59)</f>
        <v>515375</v>
      </c>
      <c r="K60" s="730"/>
      <c r="L60" s="731"/>
      <c r="X60" s="732"/>
    </row>
    <row r="61" spans="2:24" s="114" customFormat="1" hidden="1" outlineLevel="1">
      <c r="B61" s="747"/>
      <c r="C61" s="748"/>
      <c r="D61" s="749" t="s">
        <v>134</v>
      </c>
      <c r="E61" s="750" t="s">
        <v>135</v>
      </c>
      <c r="F61" s="751">
        <f>SUM(F52:F59)</f>
        <v>-39514871.976011999</v>
      </c>
      <c r="G61" s="751">
        <f>SUM(G52:G59)</f>
        <v>-21942017.093486004</v>
      </c>
      <c r="H61" s="751">
        <f>SUM(H52:H59)</f>
        <v>0</v>
      </c>
      <c r="I61" s="751">
        <f>SUM(I52:I59)</f>
        <v>31206213.040000007</v>
      </c>
      <c r="J61" s="751">
        <f>SUM(J52:J59)</f>
        <v>23425532</v>
      </c>
      <c r="K61" s="730"/>
      <c r="L61" s="731"/>
      <c r="X61" s="732"/>
    </row>
    <row r="62" spans="2:24" s="114" customFormat="1" hidden="1" outlineLevel="1">
      <c r="B62" s="733"/>
      <c r="C62" s="734"/>
      <c r="D62" s="752"/>
      <c r="E62" s="210"/>
      <c r="F62" s="210"/>
      <c r="G62" s="210"/>
      <c r="H62" s="210"/>
      <c r="I62" s="210"/>
      <c r="J62" s="212"/>
      <c r="K62" s="730"/>
      <c r="L62" s="731"/>
      <c r="X62" s="732"/>
    </row>
    <row r="63" spans="2:24" s="114" customFormat="1" hidden="1" outlineLevel="1">
      <c r="B63" s="753"/>
      <c r="C63" s="754"/>
      <c r="D63" s="741"/>
      <c r="E63" s="755"/>
      <c r="F63" s="755">
        <v>0.1</v>
      </c>
      <c r="G63" s="755">
        <v>0.1</v>
      </c>
      <c r="H63" s="755">
        <v>0.1</v>
      </c>
      <c r="I63" s="755">
        <v>0.1</v>
      </c>
      <c r="J63" s="755">
        <v>0.1</v>
      </c>
      <c r="K63" s="730"/>
      <c r="L63" s="731"/>
      <c r="X63" s="732"/>
    </row>
    <row r="64" spans="2:24" s="114" customFormat="1" ht="13.5" hidden="1" outlineLevel="1" thickBot="1">
      <c r="B64" s="756"/>
      <c r="C64" s="757"/>
      <c r="D64" s="758" t="s">
        <v>136</v>
      </c>
      <c r="E64" s="759"/>
      <c r="F64" s="760"/>
      <c r="G64" s="760"/>
      <c r="H64" s="760">
        <f>H61*H63</f>
        <v>0</v>
      </c>
      <c r="I64" s="760">
        <f>I61*I63</f>
        <v>3120621.3040000009</v>
      </c>
      <c r="J64" s="760">
        <f>J61*J63</f>
        <v>2342553.2000000002</v>
      </c>
      <c r="K64" s="730"/>
      <c r="L64" s="731"/>
      <c r="X64" s="732"/>
    </row>
    <row r="65" spans="4:22" hidden="1" outlineLevel="1">
      <c r="F65" s="761">
        <f>F42+F23-O26+F26</f>
        <v>5632852</v>
      </c>
      <c r="G65" s="761">
        <f>G42+G23-P26+G26</f>
        <v>1837369</v>
      </c>
      <c r="H65" s="761">
        <f>H42+H23-Q26+H26</f>
        <v>0</v>
      </c>
      <c r="I65" s="761">
        <f>I42+I23-S26+I26</f>
        <v>34962617.040000007</v>
      </c>
      <c r="J65" s="761">
        <f>J42+J23-S26+J26</f>
        <v>24514189.5</v>
      </c>
    </row>
    <row r="66" spans="4:22" hidden="1" outlineLevel="1"/>
    <row r="67" spans="4:22" hidden="1" outlineLevel="1">
      <c r="J67" s="762">
        <f>Q28-H28</f>
        <v>0</v>
      </c>
      <c r="M67" s="762">
        <f>Q30-H30</f>
        <v>0</v>
      </c>
    </row>
    <row r="68" spans="4:22" hidden="1" outlineLevel="1"/>
    <row r="69" spans="4:22" ht="13.5" hidden="1" customHeight="1" outlineLevel="1">
      <c r="D69" s="763" t="s">
        <v>1214</v>
      </c>
      <c r="E69" s="764" t="s">
        <v>1215</v>
      </c>
      <c r="F69" s="765" t="s">
        <v>1044</v>
      </c>
      <c r="G69" s="765" t="s">
        <v>1044</v>
      </c>
      <c r="H69" s="765" t="s">
        <v>1043</v>
      </c>
      <c r="I69" s="765" t="s">
        <v>1216</v>
      </c>
      <c r="J69" s="722" t="s">
        <v>1217</v>
      </c>
      <c r="M69" s="1185" t="s">
        <v>404</v>
      </c>
      <c r="O69" s="1185" t="s">
        <v>402</v>
      </c>
      <c r="P69" s="1185" t="s">
        <v>403</v>
      </c>
      <c r="Q69" s="1185" t="s">
        <v>405</v>
      </c>
    </row>
    <row r="70" spans="4:22" ht="18" hidden="1" customHeight="1" outlineLevel="1">
      <c r="D70" s="114" t="s">
        <v>1218</v>
      </c>
      <c r="E70" s="766" t="s">
        <v>1219</v>
      </c>
      <c r="F70" s="767">
        <f>M70-O70</f>
        <v>-39846548.466012001</v>
      </c>
      <c r="G70" s="767">
        <f>Q70-P70</f>
        <v>-28069823.003486004</v>
      </c>
      <c r="H70" s="767">
        <f>M70-J70</f>
        <v>29487625.153988</v>
      </c>
      <c r="I70" s="767">
        <f t="shared" ref="H70:I72" si="0">N70-K70</f>
        <v>0</v>
      </c>
      <c r="J70" s="762">
        <f>H28-H19-H40</f>
        <v>0</v>
      </c>
      <c r="M70" s="762">
        <f>O28-O17</f>
        <v>29487625.153988</v>
      </c>
      <c r="O70" s="762">
        <f>F28-F19-F40</f>
        <v>69334173.620000005</v>
      </c>
      <c r="P70" s="762">
        <f>G28-G19-G40</f>
        <v>40891769.660000004</v>
      </c>
      <c r="Q70" s="762">
        <f>P28-P17</f>
        <v>12821946.656514</v>
      </c>
      <c r="R70" s="732"/>
    </row>
    <row r="71" spans="4:22" ht="15" hidden="1" customHeight="1" outlineLevel="1">
      <c r="D71" s="114" t="s">
        <v>1220</v>
      </c>
      <c r="E71" s="766" t="s">
        <v>1221</v>
      </c>
      <c r="F71" s="767">
        <f>O71-M71</f>
        <v>0</v>
      </c>
      <c r="G71" s="767">
        <f>L71-I71</f>
        <v>0</v>
      </c>
      <c r="H71" s="767">
        <f t="shared" si="0"/>
        <v>0</v>
      </c>
      <c r="I71" s="767">
        <f t="shared" si="0"/>
        <v>0</v>
      </c>
      <c r="R71" s="732"/>
      <c r="V71" s="762"/>
    </row>
    <row r="72" spans="4:22" ht="22.5" hidden="1" customHeight="1" outlineLevel="1">
      <c r="D72" s="114" t="s">
        <v>1222</v>
      </c>
      <c r="E72" s="768" t="s">
        <v>1223</v>
      </c>
      <c r="F72" s="767">
        <f>M72-O72</f>
        <v>-1979104.3</v>
      </c>
      <c r="G72" s="767">
        <f>Q72-P72</f>
        <v>-853156.62999999989</v>
      </c>
      <c r="H72" s="767">
        <f>M72-J72</f>
        <v>1519.36</v>
      </c>
      <c r="I72" s="767">
        <f t="shared" si="0"/>
        <v>0</v>
      </c>
      <c r="J72" s="762">
        <f>H30</f>
        <v>0</v>
      </c>
      <c r="M72" s="762">
        <f>O30</f>
        <v>1519.36</v>
      </c>
      <c r="O72" s="762">
        <f>F30</f>
        <v>1980623.6600000001</v>
      </c>
      <c r="P72" s="762">
        <f>G30</f>
        <v>853484.91999999993</v>
      </c>
      <c r="Q72" s="762">
        <f>P30</f>
        <v>328.29</v>
      </c>
      <c r="R72" s="732"/>
    </row>
    <row r="73" spans="4:22" ht="20.25" hidden="1" customHeight="1" outlineLevel="1">
      <c r="D73" s="114" t="s">
        <v>1225</v>
      </c>
      <c r="E73" s="768" t="s">
        <v>1226</v>
      </c>
      <c r="F73" s="767">
        <f t="shared" ref="F73:I74" si="1">-(K73-H73)</f>
        <v>0</v>
      </c>
      <c r="G73" s="767">
        <f>-(L73-I73)</f>
        <v>0</v>
      </c>
      <c r="H73" s="767">
        <f>-(M73-J73)</f>
        <v>0</v>
      </c>
      <c r="I73" s="767">
        <f t="shared" si="1"/>
        <v>0</v>
      </c>
      <c r="J73" s="762">
        <f>H23</f>
        <v>0</v>
      </c>
      <c r="O73" s="762">
        <f>F23</f>
        <v>5632852</v>
      </c>
      <c r="P73" s="762">
        <f>G23</f>
        <v>1837369</v>
      </c>
      <c r="R73" s="732"/>
    </row>
    <row r="74" spans="4:22" hidden="1" outlineLevel="1">
      <c r="D74" s="114" t="s">
        <v>1227</v>
      </c>
      <c r="E74" s="768"/>
      <c r="F74" s="767">
        <f t="shared" si="1"/>
        <v>0</v>
      </c>
      <c r="G74" s="767">
        <f t="shared" si="1"/>
        <v>0</v>
      </c>
      <c r="H74" s="767">
        <f t="shared" si="1"/>
        <v>0</v>
      </c>
      <c r="I74" s="767">
        <f t="shared" si="1"/>
        <v>0</v>
      </c>
      <c r="J74" s="762">
        <f>H26</f>
        <v>0</v>
      </c>
      <c r="M74" s="762">
        <f>O26</f>
        <v>0</v>
      </c>
      <c r="O74" s="762">
        <f>F26</f>
        <v>0</v>
      </c>
      <c r="P74" s="762">
        <f>G26</f>
        <v>0</v>
      </c>
      <c r="Q74" s="762">
        <f>P26</f>
        <v>0</v>
      </c>
      <c r="R74" s="732"/>
    </row>
    <row r="75" spans="4:22" ht="15" hidden="1" customHeight="1" outlineLevel="1">
      <c r="D75" s="114" t="s">
        <v>1228</v>
      </c>
      <c r="E75" s="768" t="s">
        <v>1229</v>
      </c>
      <c r="F75" s="767">
        <f>K75-H75</f>
        <v>0</v>
      </c>
      <c r="G75" s="767">
        <f>L75-I75</f>
        <v>0</v>
      </c>
      <c r="H75" s="767">
        <f>M75-J75</f>
        <v>0</v>
      </c>
      <c r="I75" s="767">
        <f>N75-K75</f>
        <v>0</v>
      </c>
      <c r="J75" s="762">
        <f>H19</f>
        <v>0</v>
      </c>
      <c r="M75" s="762">
        <f>O18</f>
        <v>0</v>
      </c>
      <c r="O75" s="762">
        <f>F19</f>
        <v>0</v>
      </c>
      <c r="P75" s="762">
        <f>G19</f>
        <v>0</v>
      </c>
      <c r="Q75" s="762">
        <f>P18</f>
        <v>0</v>
      </c>
      <c r="R75" s="732"/>
    </row>
    <row r="76" spans="4:22" ht="25.5" hidden="1" customHeight="1" outlineLevel="1" thickBot="1">
      <c r="D76" s="763" t="s">
        <v>1230</v>
      </c>
      <c r="E76" s="766" t="s">
        <v>1231</v>
      </c>
      <c r="F76" s="769">
        <f>SUM(F70:F75)</f>
        <v>-41825652.766011998</v>
      </c>
      <c r="G76" s="769">
        <f>SUM(G70:G75)</f>
        <v>-28922979.633486003</v>
      </c>
      <c r="H76" s="769">
        <f>SUM(H70:H75)</f>
        <v>29489144.513987999</v>
      </c>
      <c r="I76" s="769">
        <f>SUM(I70:I75)</f>
        <v>0</v>
      </c>
      <c r="J76" s="770">
        <f>SUM(J70:J75)</f>
        <v>0</v>
      </c>
      <c r="M76" s="770">
        <f>SUM(M70:M75)</f>
        <v>29489144.513987999</v>
      </c>
      <c r="O76" s="770">
        <f>SUM(O70:O75)</f>
        <v>76947649.280000001</v>
      </c>
      <c r="P76" s="770">
        <f>SUM(P70:P75)</f>
        <v>43582623.580000006</v>
      </c>
      <c r="Q76" s="770">
        <f>SUM(Q70:Q75)</f>
        <v>12822274.946513999</v>
      </c>
      <c r="R76" s="769"/>
    </row>
    <row r="77" spans="4:22" hidden="1" outlineLevel="1"/>
    <row r="78" spans="4:22" hidden="1" outlineLevel="1">
      <c r="J78" s="762"/>
    </row>
    <row r="79" spans="4:22" hidden="1" outlineLevel="1"/>
    <row r="80" spans="4:22" hidden="1" outlineLevel="1">
      <c r="F80" s="771">
        <f>F76-F65</f>
        <v>-47458504.766011998</v>
      </c>
      <c r="G80" s="771">
        <f>G76-G65</f>
        <v>-30760348.633486003</v>
      </c>
      <c r="H80" s="771">
        <f>H76-H65</f>
        <v>29489144.513987999</v>
      </c>
      <c r="I80" s="771">
        <f>I76-I65</f>
        <v>-34962617.040000007</v>
      </c>
    </row>
    <row r="81" spans="2:16" ht="13.5" hidden="1" outlineLevel="1" thickBot="1">
      <c r="F81" s="772">
        <f>F80/2</f>
        <v>-23729252.383005999</v>
      </c>
      <c r="G81" s="772">
        <f>G80/2</f>
        <v>-15380174.316743001</v>
      </c>
      <c r="H81" s="772">
        <f>H80/2</f>
        <v>14744572.256994</v>
      </c>
      <c r="I81" s="772">
        <f>I80/2</f>
        <v>-17481308.520000003</v>
      </c>
    </row>
    <row r="82" spans="2:16" collapsed="1"/>
    <row r="84" spans="2:16" ht="15">
      <c r="B84" s="1712" t="s">
        <v>1428</v>
      </c>
      <c r="C84" s="1712"/>
      <c r="D84" s="1712"/>
      <c r="E84" s="1712"/>
      <c r="F84" s="1712"/>
      <c r="G84" s="1712"/>
      <c r="H84" s="1712"/>
      <c r="I84" s="1712"/>
      <c r="J84" s="1712"/>
    </row>
    <row r="85" spans="2:16" ht="15">
      <c r="B85" s="1712" t="s">
        <v>1429</v>
      </c>
      <c r="C85" s="1712"/>
      <c r="D85" s="1712"/>
      <c r="E85" s="1712"/>
      <c r="F85" s="1712"/>
      <c r="G85" s="1712"/>
      <c r="H85" s="1712"/>
      <c r="I85" s="1712"/>
      <c r="J85" s="1712"/>
    </row>
    <row r="86" spans="2:16" ht="13.5" thickBot="1">
      <c r="B86" s="773"/>
      <c r="C86" s="774"/>
      <c r="D86" s="775"/>
      <c r="E86" s="775"/>
      <c r="F86" s="775"/>
      <c r="G86" s="775"/>
      <c r="H86" s="775"/>
      <c r="I86" s="775"/>
      <c r="J86" s="775"/>
    </row>
    <row r="87" spans="2:16" ht="12.75" customHeight="1" thickBot="1">
      <c r="B87" s="1713" t="s">
        <v>748</v>
      </c>
      <c r="C87" s="1207"/>
      <c r="D87" s="1717" t="s">
        <v>1270</v>
      </c>
      <c r="E87" s="1715" t="s">
        <v>1540</v>
      </c>
      <c r="F87" s="1718" t="s">
        <v>750</v>
      </c>
      <c r="G87" s="1719"/>
      <c r="H87" s="1222"/>
      <c r="I87" s="785"/>
      <c r="J87" s="786"/>
      <c r="K87" s="776"/>
    </row>
    <row r="88" spans="2:16" ht="13.5" thickBot="1">
      <c r="B88" s="1714"/>
      <c r="C88" s="1221"/>
      <c r="D88" s="1716"/>
      <c r="E88" s="1716"/>
      <c r="F88" s="1228" t="s">
        <v>344</v>
      </c>
      <c r="G88" s="1228" t="s">
        <v>269</v>
      </c>
      <c r="H88" s="1223" t="s">
        <v>270</v>
      </c>
      <c r="I88" s="1186" t="s">
        <v>492</v>
      </c>
      <c r="J88" s="602" t="s">
        <v>1541</v>
      </c>
      <c r="K88" s="724"/>
      <c r="N88" s="777"/>
      <c r="O88" s="777"/>
      <c r="P88" s="777"/>
    </row>
    <row r="89" spans="2:16" ht="27.95" customHeight="1">
      <c r="B89" s="1216">
        <v>1</v>
      </c>
      <c r="C89" s="1217" t="s">
        <v>1704</v>
      </c>
      <c r="D89" s="1218" t="s">
        <v>1371</v>
      </c>
      <c r="E89" s="1219">
        <v>16</v>
      </c>
      <c r="F89" s="1220">
        <f>O10</f>
        <v>29487625.153988</v>
      </c>
      <c r="G89" s="1220">
        <f>P10</f>
        <v>12821946.656514</v>
      </c>
      <c r="H89" s="1224">
        <v>541520</v>
      </c>
      <c r="I89" s="1187">
        <v>202743647</v>
      </c>
      <c r="J89" s="532">
        <f>+S7</f>
        <v>116695609</v>
      </c>
      <c r="K89" s="476"/>
      <c r="L89" s="778"/>
      <c r="N89" s="777"/>
      <c r="O89" s="777"/>
      <c r="P89" s="777"/>
    </row>
    <row r="90" spans="2:16" ht="27.95" customHeight="1">
      <c r="B90" s="1208">
        <v>2</v>
      </c>
      <c r="C90" s="1209" t="s">
        <v>1651</v>
      </c>
      <c r="D90" s="1195" t="s">
        <v>1372</v>
      </c>
      <c r="E90" s="1202" t="s">
        <v>1402</v>
      </c>
      <c r="F90" s="1191">
        <f>+O9</f>
        <v>0</v>
      </c>
      <c r="G90" s="1191">
        <f>+P9</f>
        <v>0</v>
      </c>
      <c r="H90" s="1225">
        <f>+Q9</f>
        <v>0</v>
      </c>
      <c r="I90" s="1187">
        <v>0</v>
      </c>
      <c r="J90" s="532">
        <f>+S9</f>
        <v>1168300</v>
      </c>
      <c r="K90" s="475"/>
      <c r="L90" s="779"/>
      <c r="N90" s="777"/>
      <c r="O90" s="777"/>
      <c r="P90" s="777"/>
    </row>
    <row r="91" spans="2:16" ht="27.95" customHeight="1">
      <c r="B91" s="1208">
        <v>3</v>
      </c>
      <c r="C91" s="1209" t="s">
        <v>1652</v>
      </c>
      <c r="D91" s="1198" t="s">
        <v>1735</v>
      </c>
      <c r="E91" s="1203"/>
      <c r="F91" s="1191">
        <v>0</v>
      </c>
      <c r="G91" s="1191">
        <v>0</v>
      </c>
      <c r="H91" s="1225"/>
      <c r="I91" s="1187">
        <f>+I4-S14</f>
        <v>0</v>
      </c>
      <c r="J91" s="532">
        <f>+J4-S14</f>
        <v>0</v>
      </c>
      <c r="K91" s="475"/>
      <c r="L91" s="779"/>
      <c r="N91" s="777"/>
      <c r="O91" s="777"/>
      <c r="P91" s="777"/>
    </row>
    <row r="92" spans="2:16" ht="27.95" customHeight="1">
      <c r="B92" s="1208">
        <v>4</v>
      </c>
      <c r="C92" s="1209" t="s">
        <v>1653</v>
      </c>
      <c r="D92" s="1195" t="s">
        <v>1373</v>
      </c>
      <c r="E92" s="1203"/>
      <c r="F92" s="1191">
        <f>+O15</f>
        <v>0</v>
      </c>
      <c r="G92" s="1191">
        <f>+P15</f>
        <v>0</v>
      </c>
      <c r="H92" s="1225">
        <f>+Q15</f>
        <v>0</v>
      </c>
      <c r="I92" s="1187">
        <f>+S15</f>
        <v>0</v>
      </c>
      <c r="J92" s="532">
        <f>+S15</f>
        <v>0</v>
      </c>
      <c r="K92" s="475"/>
      <c r="L92" s="779"/>
      <c r="N92" s="777"/>
      <c r="O92" s="777"/>
      <c r="P92" s="777"/>
    </row>
    <row r="93" spans="2:16" ht="27.95" customHeight="1">
      <c r="B93" s="1208">
        <v>5</v>
      </c>
      <c r="C93" s="1209" t="s">
        <v>1654</v>
      </c>
      <c r="D93" s="1195" t="s">
        <v>1374</v>
      </c>
      <c r="E93" s="1201">
        <v>17</v>
      </c>
      <c r="F93" s="1191">
        <f>-F6-F9-F12</f>
        <v>-30603535.829999998</v>
      </c>
      <c r="G93" s="1191">
        <f>-G6-G9-G12</f>
        <v>-19943522.130000003</v>
      </c>
      <c r="H93" s="1225">
        <f>-(2412+555016+563814+9300+732057)</f>
        <v>-1862599</v>
      </c>
      <c r="I93" s="1187">
        <v>-86396255</v>
      </c>
      <c r="J93" s="532">
        <f>-J6-J9-J12</f>
        <v>-16296791</v>
      </c>
      <c r="K93" s="476"/>
      <c r="L93" s="778"/>
      <c r="N93" s="777"/>
      <c r="O93" s="777"/>
      <c r="P93" s="777"/>
    </row>
    <row r="94" spans="2:16" ht="27.95" customHeight="1">
      <c r="B94" s="1208">
        <v>6</v>
      </c>
      <c r="C94" s="1209" t="s">
        <v>1655</v>
      </c>
      <c r="D94" s="1195" t="s">
        <v>1387</v>
      </c>
      <c r="E94" s="1201" t="s">
        <v>1393</v>
      </c>
      <c r="F94" s="1191">
        <f>-F18-F17</f>
        <v>-2335900.79</v>
      </c>
      <c r="G94" s="1191">
        <f>-G18-G17</f>
        <v>-6924187.5300000012</v>
      </c>
      <c r="H94" s="1225">
        <f>-H18-H17</f>
        <v>0</v>
      </c>
      <c r="I94" s="1187">
        <v>0</v>
      </c>
      <c r="J94" s="532">
        <f>-J18-J17</f>
        <v>-91375</v>
      </c>
      <c r="K94" s="475"/>
      <c r="L94" s="778"/>
      <c r="N94" s="777"/>
      <c r="O94" s="777"/>
      <c r="P94" s="777"/>
    </row>
    <row r="95" spans="2:16" ht="27.95" customHeight="1">
      <c r="B95" s="1208">
        <v>7</v>
      </c>
      <c r="C95" s="1209" t="s">
        <v>1656</v>
      </c>
      <c r="D95" s="1194" t="s">
        <v>1388</v>
      </c>
      <c r="E95" s="1201">
        <v>18</v>
      </c>
      <c r="F95" s="1191">
        <f>SUM(F96:F98)</f>
        <v>-28677317</v>
      </c>
      <c r="G95" s="1191">
        <f>SUM(G96:G98)</f>
        <v>-11353114</v>
      </c>
      <c r="H95" s="1225">
        <f>SUM(H96:H98)</f>
        <v>-633853</v>
      </c>
      <c r="I95" s="1187">
        <v>0</v>
      </c>
      <c r="J95" s="532">
        <f>SUM(J96:J98)</f>
        <v>-78747794</v>
      </c>
      <c r="K95" s="475"/>
      <c r="L95" s="778"/>
      <c r="N95" s="777"/>
      <c r="O95" s="777"/>
      <c r="P95" s="777"/>
    </row>
    <row r="96" spans="2:16" ht="27.95" customHeight="1">
      <c r="B96" s="1208" t="s">
        <v>1320</v>
      </c>
      <c r="C96" s="1210" t="s">
        <v>1657</v>
      </c>
      <c r="D96" s="1196" t="s">
        <v>1586</v>
      </c>
      <c r="E96" s="1203"/>
      <c r="F96" s="1192">
        <f>-F14</f>
        <v>-20290215</v>
      </c>
      <c r="G96" s="1192">
        <f>-G14</f>
        <v>-7984265</v>
      </c>
      <c r="H96" s="1226">
        <v>-564826</v>
      </c>
      <c r="I96" s="1188">
        <v>-36615640</v>
      </c>
      <c r="J96" s="531">
        <f>-J14</f>
        <v>-62784342</v>
      </c>
      <c r="K96" s="475"/>
      <c r="L96" s="779"/>
      <c r="N96" s="777"/>
      <c r="O96" s="777"/>
      <c r="P96" s="777"/>
    </row>
    <row r="97" spans="2:16" ht="27.95" customHeight="1">
      <c r="B97" s="1211" t="s">
        <v>1321</v>
      </c>
      <c r="C97" s="1210" t="s">
        <v>1658</v>
      </c>
      <c r="D97" s="1196" t="s">
        <v>1587</v>
      </c>
      <c r="E97" s="1204"/>
      <c r="F97" s="1192">
        <f>-F16</f>
        <v>-3374813</v>
      </c>
      <c r="G97" s="1192">
        <f>-G16</f>
        <v>-1330859</v>
      </c>
      <c r="H97" s="1226">
        <v>-69027</v>
      </c>
      <c r="I97" s="1188">
        <v>-7491125</v>
      </c>
      <c r="J97" s="531">
        <f>-J16</f>
        <v>-12254695</v>
      </c>
      <c r="K97" s="475"/>
      <c r="L97" s="779"/>
      <c r="M97" s="780"/>
      <c r="N97" s="777"/>
      <c r="O97" s="777"/>
      <c r="P97" s="777"/>
    </row>
    <row r="98" spans="2:16" ht="27.95" customHeight="1">
      <c r="B98" s="1208" t="s">
        <v>1323</v>
      </c>
      <c r="C98" s="1210" t="s">
        <v>1659</v>
      </c>
      <c r="D98" s="1197" t="s">
        <v>1454</v>
      </c>
      <c r="E98" s="1203"/>
      <c r="F98" s="1192">
        <f>-F15</f>
        <v>-5012289</v>
      </c>
      <c r="G98" s="1192">
        <f>-G15</f>
        <v>-2037990</v>
      </c>
      <c r="H98" s="1226">
        <f>-H15</f>
        <v>0</v>
      </c>
      <c r="I98" s="1188">
        <v>-33993096</v>
      </c>
      <c r="J98" s="531">
        <f>-J15</f>
        <v>-3708757</v>
      </c>
      <c r="K98" s="475"/>
      <c r="L98" s="779"/>
      <c r="N98" s="777"/>
      <c r="O98" s="777"/>
      <c r="P98" s="777"/>
    </row>
    <row r="99" spans="2:16" ht="27.95" customHeight="1">
      <c r="B99" s="1208">
        <v>8</v>
      </c>
      <c r="C99" s="1209" t="s">
        <v>1660</v>
      </c>
      <c r="D99" s="1195" t="s">
        <v>1588</v>
      </c>
      <c r="E99" s="1201" t="s">
        <v>640</v>
      </c>
      <c r="F99" s="1191">
        <f>-F22</f>
        <v>-7717420</v>
      </c>
      <c r="G99" s="1191">
        <f>-G22</f>
        <v>-2670946</v>
      </c>
      <c r="H99" s="1225">
        <f>-(379878+61653)</f>
        <v>-441531</v>
      </c>
      <c r="I99" s="1187">
        <v>-17674675</v>
      </c>
      <c r="J99" s="532">
        <f>-$J$22</f>
        <v>-1631357.5</v>
      </c>
      <c r="K99" s="475"/>
      <c r="L99" s="778"/>
      <c r="N99" s="777"/>
      <c r="O99" s="777"/>
      <c r="P99" s="777"/>
    </row>
    <row r="100" spans="2:16" ht="27.95" customHeight="1">
      <c r="B100" s="1208"/>
      <c r="C100" s="1209"/>
      <c r="D100" s="1198" t="s">
        <v>1420</v>
      </c>
      <c r="E100" s="1201"/>
      <c r="F100" s="1191"/>
      <c r="G100" s="1191"/>
      <c r="H100" s="1225"/>
      <c r="I100" s="1187">
        <v>-2577729</v>
      </c>
      <c r="J100" s="532"/>
      <c r="K100" s="475"/>
      <c r="L100" s="778"/>
      <c r="N100" s="777"/>
      <c r="O100" s="777"/>
      <c r="P100" s="777"/>
    </row>
    <row r="101" spans="2:16" ht="27.95" customHeight="1">
      <c r="B101" s="1208">
        <v>9</v>
      </c>
      <c r="C101" s="1209"/>
      <c r="D101" s="1195" t="s">
        <v>1455</v>
      </c>
      <c r="E101" s="1203"/>
      <c r="F101" s="1191">
        <f>SUM(F99,F95,F94,F93,F89)</f>
        <v>-39846548.466012001</v>
      </c>
      <c r="G101" s="1191">
        <f>SUM(G99,G95,G94,G93,G89)</f>
        <v>-28069823.003486004</v>
      </c>
      <c r="H101" s="1225">
        <f>SUM(H99,H95,H94,H93,H89)</f>
        <v>-2396463</v>
      </c>
      <c r="I101" s="1187">
        <f>I89+(I93+I96+I97+I98+I99+I100)</f>
        <v>17995127</v>
      </c>
      <c r="J101" s="532">
        <f>SUM(J99,J95,J94,J93,J89)</f>
        <v>19928291.5</v>
      </c>
      <c r="K101" s="475"/>
      <c r="L101" s="779"/>
      <c r="N101" s="777"/>
      <c r="O101" s="777"/>
      <c r="P101" s="777"/>
    </row>
    <row r="102" spans="2:16" ht="27.95" customHeight="1">
      <c r="B102" s="1208">
        <v>10</v>
      </c>
      <c r="C102" s="1209" t="s">
        <v>1661</v>
      </c>
      <c r="D102" s="1197" t="s">
        <v>1421</v>
      </c>
      <c r="E102" s="1203"/>
      <c r="F102" s="1192">
        <v>0</v>
      </c>
      <c r="G102" s="1192">
        <v>0</v>
      </c>
      <c r="H102" s="1226">
        <v>0</v>
      </c>
      <c r="I102" s="1188">
        <v>0</v>
      </c>
      <c r="J102" s="531">
        <v>0</v>
      </c>
      <c r="K102" s="475"/>
      <c r="L102" s="779"/>
      <c r="N102" s="777"/>
      <c r="O102" s="777"/>
      <c r="P102" s="777"/>
    </row>
    <row r="103" spans="2:16" ht="27.95" customHeight="1">
      <c r="B103" s="1208">
        <v>11</v>
      </c>
      <c r="C103" s="1209" t="s">
        <v>1662</v>
      </c>
      <c r="D103" s="1197" t="s">
        <v>1422</v>
      </c>
      <c r="E103" s="1203"/>
      <c r="F103" s="1192"/>
      <c r="G103" s="1192"/>
      <c r="H103" s="1226"/>
      <c r="I103" s="1188">
        <v>0</v>
      </c>
      <c r="J103" s="534">
        <v>0</v>
      </c>
      <c r="K103" s="475"/>
      <c r="L103" s="779"/>
      <c r="N103" s="777"/>
      <c r="O103" s="777"/>
      <c r="P103" s="777"/>
    </row>
    <row r="104" spans="2:16" ht="27.95" customHeight="1">
      <c r="B104" s="1208">
        <v>12</v>
      </c>
      <c r="C104" s="1209" t="s">
        <v>1663</v>
      </c>
      <c r="D104" s="1195" t="s">
        <v>1423</v>
      </c>
      <c r="E104" s="1201">
        <v>19</v>
      </c>
      <c r="F104" s="1191">
        <f>SUM(F105:F108)</f>
        <v>-1979104.3</v>
      </c>
      <c r="G104" s="1191">
        <f>SUM(G105:G108)</f>
        <v>-743156.62999999989</v>
      </c>
      <c r="H104" s="1225">
        <f>SUM(H105:H108)</f>
        <v>-146842.87</v>
      </c>
      <c r="I104" s="1187">
        <f>SUM(I105:I108)</f>
        <v>662352</v>
      </c>
      <c r="J104" s="532">
        <f>SUM(J105:J108)</f>
        <v>1813565.5</v>
      </c>
      <c r="K104" s="475"/>
      <c r="L104" s="778"/>
      <c r="N104" s="777"/>
      <c r="O104" s="777"/>
      <c r="P104" s="777"/>
    </row>
    <row r="105" spans="2:16" ht="27.95" customHeight="1">
      <c r="B105" s="1208" t="s">
        <v>1389</v>
      </c>
      <c r="C105" s="1209" t="s">
        <v>1664</v>
      </c>
      <c r="D105" s="1197" t="s">
        <v>966</v>
      </c>
      <c r="E105" s="1201"/>
      <c r="F105" s="1192">
        <f>O17</f>
        <v>0</v>
      </c>
      <c r="G105" s="1192">
        <f>P17</f>
        <v>110000</v>
      </c>
      <c r="H105" s="1226">
        <f>Q17</f>
        <v>0</v>
      </c>
      <c r="I105" s="1188"/>
      <c r="J105" s="531"/>
      <c r="K105" s="475"/>
      <c r="L105" s="779"/>
      <c r="N105" s="777"/>
      <c r="O105" s="777"/>
      <c r="P105" s="777"/>
    </row>
    <row r="106" spans="2:16" ht="27.95" customHeight="1">
      <c r="B106" s="1208" t="s">
        <v>1390</v>
      </c>
      <c r="C106" s="1209" t="s">
        <v>1665</v>
      </c>
      <c r="D106" s="1197" t="s">
        <v>1424</v>
      </c>
      <c r="E106" s="1203"/>
      <c r="F106" s="1192">
        <f>+O31-F31</f>
        <v>-1798177.7</v>
      </c>
      <c r="G106" s="1192">
        <f>+P31-G31</f>
        <v>-680039.54999999993</v>
      </c>
      <c r="H106" s="1226">
        <v>-145634</v>
      </c>
      <c r="I106" s="1188">
        <f>+R31-I31</f>
        <v>0</v>
      </c>
      <c r="J106" s="531">
        <f>+S31-J31</f>
        <v>0</v>
      </c>
      <c r="K106" s="475"/>
      <c r="L106" s="779"/>
      <c r="N106" s="777"/>
      <c r="O106" s="777"/>
      <c r="P106" s="777"/>
    </row>
    <row r="107" spans="2:16" ht="27.95" customHeight="1">
      <c r="B107" s="1208" t="s">
        <v>1391</v>
      </c>
      <c r="C107" s="1209" t="s">
        <v>1666</v>
      </c>
      <c r="D107" s="1197" t="s">
        <v>1425</v>
      </c>
      <c r="E107" s="1203"/>
      <c r="F107" s="1192">
        <f>+O33-F33</f>
        <v>-180926.6</v>
      </c>
      <c r="G107" s="1192">
        <f>+P33-G33</f>
        <v>-173117.08</v>
      </c>
      <c r="H107" s="1226">
        <v>-1208.8699999999999</v>
      </c>
      <c r="I107" s="1188">
        <v>0</v>
      </c>
      <c r="J107" s="531">
        <f>+S33-J33</f>
        <v>1813565.5</v>
      </c>
      <c r="K107" s="475"/>
      <c r="L107" s="778"/>
      <c r="N107" s="777"/>
      <c r="O107" s="777"/>
      <c r="P107" s="777"/>
    </row>
    <row r="108" spans="2:16" ht="27.95" customHeight="1">
      <c r="B108" s="1208" t="s">
        <v>1392</v>
      </c>
      <c r="C108" s="1209" t="s">
        <v>1667</v>
      </c>
      <c r="D108" s="1197" t="s">
        <v>1400</v>
      </c>
      <c r="E108" s="1203"/>
      <c r="F108" s="1192">
        <f>+O35-F35+O34</f>
        <v>0</v>
      </c>
      <c r="G108" s="1192">
        <f>+P35-G35+P34</f>
        <v>0</v>
      </c>
      <c r="H108" s="1226">
        <f>+Q35-H35+Q34</f>
        <v>0</v>
      </c>
      <c r="I108" s="1188">
        <v>662352</v>
      </c>
      <c r="J108" s="531">
        <f>+S35-J35</f>
        <v>0</v>
      </c>
      <c r="K108" s="475"/>
      <c r="L108" s="779"/>
      <c r="N108" s="777"/>
      <c r="O108" s="777"/>
      <c r="P108" s="777"/>
    </row>
    <row r="109" spans="2:16" ht="27.95" customHeight="1">
      <c r="B109" s="1208">
        <v>13</v>
      </c>
      <c r="C109" s="1209"/>
      <c r="D109" s="1195" t="s">
        <v>1453</v>
      </c>
      <c r="E109" s="1203"/>
      <c r="F109" s="1191">
        <f>+F104+F99+F95+F94+F93+F92+F91+F90+F89</f>
        <v>-41825652.766011983</v>
      </c>
      <c r="G109" s="1191">
        <f>+G104+G99+G95+G94+G93+G92+G91+G90+G89</f>
        <v>-28812979.633486006</v>
      </c>
      <c r="H109" s="1225">
        <f>+H104+H99+H95+H94+H93+H92+H91+H90+H89</f>
        <v>-2543305.87</v>
      </c>
      <c r="I109" s="1187">
        <f>I101+I104</f>
        <v>18657479</v>
      </c>
      <c r="J109" s="532">
        <f>+J104+J99+J95+J94+J93+J92+J91+J90+J89</f>
        <v>22910157</v>
      </c>
      <c r="K109" s="475"/>
      <c r="L109" s="779"/>
      <c r="N109" s="777"/>
      <c r="O109" s="777"/>
      <c r="P109" s="777"/>
    </row>
    <row r="110" spans="2:16" ht="27.95" customHeight="1">
      <c r="B110" s="1208"/>
      <c r="C110" s="1209"/>
      <c r="D110" s="1199"/>
      <c r="E110" s="1203"/>
      <c r="F110" s="1192"/>
      <c r="G110" s="1192"/>
      <c r="H110" s="1226"/>
      <c r="I110" s="1188"/>
      <c r="J110" s="531"/>
      <c r="K110" s="475"/>
      <c r="L110" s="779"/>
      <c r="N110" s="777"/>
      <c r="O110" s="777"/>
      <c r="P110" s="777"/>
    </row>
    <row r="111" spans="2:16" ht="27.95" customHeight="1">
      <c r="B111" s="1212">
        <v>14</v>
      </c>
      <c r="C111" s="1209"/>
      <c r="D111" s="1195" t="s">
        <v>1426</v>
      </c>
      <c r="E111" s="1203"/>
      <c r="F111" s="1191">
        <f>+F109</f>
        <v>-41825652.766011983</v>
      </c>
      <c r="G111" s="1191">
        <f>+G109</f>
        <v>-28812979.633486006</v>
      </c>
      <c r="H111" s="1225">
        <f>+H109</f>
        <v>-2543305.87</v>
      </c>
      <c r="I111" s="1187">
        <f>+I109</f>
        <v>18657479</v>
      </c>
      <c r="J111" s="532">
        <f>+J109</f>
        <v>22910157</v>
      </c>
      <c r="K111" s="475"/>
      <c r="L111" s="779"/>
      <c r="M111" s="762"/>
      <c r="N111" s="777"/>
      <c r="O111" s="777"/>
      <c r="P111" s="777"/>
    </row>
    <row r="112" spans="2:16" ht="27.95" customHeight="1">
      <c r="B112" s="1212">
        <v>15</v>
      </c>
      <c r="C112" s="1209"/>
      <c r="D112" s="1197" t="s">
        <v>1431</v>
      </c>
      <c r="E112" s="1201">
        <v>20</v>
      </c>
      <c r="F112" s="1192">
        <f>$G$64</f>
        <v>0</v>
      </c>
      <c r="G112" s="1192">
        <f>$G$64</f>
        <v>0</v>
      </c>
      <c r="H112" s="1226">
        <f>$H$64</f>
        <v>0</v>
      </c>
      <c r="I112" s="1188">
        <v>1865748</v>
      </c>
      <c r="J112" s="531">
        <f>$J$64</f>
        <v>2342553.2000000002</v>
      </c>
      <c r="K112" s="475"/>
      <c r="L112" s="778"/>
      <c r="N112" s="777"/>
      <c r="O112" s="777"/>
      <c r="P112" s="777"/>
    </row>
    <row r="113" spans="2:16" ht="27.95" customHeight="1">
      <c r="B113" s="1213">
        <v>16</v>
      </c>
      <c r="C113" s="1209"/>
      <c r="D113" s="1195" t="s">
        <v>1432</v>
      </c>
      <c r="E113" s="1205"/>
      <c r="F113" s="1191">
        <f>+F111-F112</f>
        <v>-41825652.766011983</v>
      </c>
      <c r="G113" s="1191">
        <f>+G111-G112</f>
        <v>-28812979.633486006</v>
      </c>
      <c r="H113" s="1225">
        <f>+H111-H112</f>
        <v>-2543305.87</v>
      </c>
      <c r="I113" s="1187">
        <f>+I111-I112</f>
        <v>16791731</v>
      </c>
      <c r="J113" s="532">
        <f>+J111-J112</f>
        <v>20567603.800000001</v>
      </c>
      <c r="K113" s="475"/>
      <c r="L113" s="778"/>
      <c r="N113" s="777"/>
      <c r="O113" s="777"/>
      <c r="P113" s="777"/>
    </row>
    <row r="114" spans="2:16" ht="27.95" customHeight="1">
      <c r="B114" s="1211"/>
      <c r="C114" s="1209"/>
      <c r="D114" s="1197" t="s">
        <v>1433</v>
      </c>
      <c r="E114" s="1205"/>
      <c r="F114" s="1192"/>
      <c r="G114" s="1192"/>
      <c r="H114" s="1226"/>
      <c r="I114" s="1188"/>
      <c r="J114" s="534"/>
      <c r="K114" s="475"/>
      <c r="L114" s="779"/>
      <c r="N114" s="777"/>
      <c r="O114" s="777"/>
      <c r="P114" s="777"/>
    </row>
    <row r="115" spans="2:16" ht="27.95" customHeight="1">
      <c r="B115" s="1211"/>
      <c r="C115" s="1209"/>
      <c r="D115" s="1197" t="s">
        <v>1434</v>
      </c>
      <c r="E115" s="1205"/>
      <c r="F115" s="1192"/>
      <c r="G115" s="1192"/>
      <c r="H115" s="1226"/>
      <c r="I115" s="1188"/>
      <c r="J115" s="534"/>
      <c r="K115" s="475"/>
      <c r="L115" s="779"/>
      <c r="N115" s="777"/>
      <c r="O115" s="777"/>
      <c r="P115" s="777"/>
    </row>
    <row r="116" spans="2:16" ht="27.95" customHeight="1">
      <c r="B116" s="1211"/>
      <c r="C116" s="1209"/>
      <c r="D116" s="1195"/>
      <c r="E116" s="1205"/>
      <c r="F116" s="1192"/>
      <c r="G116" s="1192"/>
      <c r="H116" s="1226"/>
      <c r="I116" s="1188"/>
      <c r="J116" s="534"/>
      <c r="K116" s="475"/>
      <c r="N116" s="777"/>
      <c r="O116" s="777"/>
      <c r="P116" s="777"/>
    </row>
    <row r="117" spans="2:16" ht="27.95" customHeight="1" thickBot="1">
      <c r="B117" s="1214"/>
      <c r="C117" s="1215"/>
      <c r="D117" s="1200"/>
      <c r="E117" s="1206"/>
      <c r="F117" s="1193"/>
      <c r="G117" s="1193"/>
      <c r="H117" s="1227"/>
      <c r="I117" s="1189"/>
      <c r="J117" s="781"/>
      <c r="K117" s="475"/>
      <c r="N117" s="777"/>
      <c r="O117" s="777"/>
      <c r="P117" s="777"/>
    </row>
    <row r="118" spans="2:16">
      <c r="K118" s="724"/>
      <c r="N118" s="777"/>
      <c r="O118" s="777"/>
      <c r="P118" s="777"/>
    </row>
    <row r="119" spans="2:16">
      <c r="F119" s="1229"/>
      <c r="J119" s="762"/>
    </row>
    <row r="120" spans="2:16">
      <c r="F120" s="1230"/>
      <c r="H120" s="782">
        <f>H50-H113</f>
        <v>-57999.129999999888</v>
      </c>
      <c r="I120" s="762"/>
      <c r="J120" s="762"/>
    </row>
    <row r="121" spans="2:16">
      <c r="D121" s="783" t="s">
        <v>1394</v>
      </c>
      <c r="H121" s="784">
        <f>B_Sheet13!U101-'P&amp;L13'!H113</f>
        <v>0.87000000011175871</v>
      </c>
      <c r="I121" s="784">
        <f>+[2]B_Sheet10!S106-I113</f>
        <v>0</v>
      </c>
      <c r="J121" s="784">
        <f>+[2]B_Sheet10!T106-J113</f>
        <v>0.19999999925494194</v>
      </c>
    </row>
    <row r="122" spans="2:16">
      <c r="H122" s="780"/>
      <c r="I122" s="780"/>
      <c r="J122" s="762"/>
    </row>
    <row r="123" spans="2:16">
      <c r="H123" s="780"/>
    </row>
  </sheetData>
  <mergeCells count="12">
    <mergeCell ref="B2:B3"/>
    <mergeCell ref="Q2:S2"/>
    <mergeCell ref="M2:M3"/>
    <mergeCell ref="D2:D3"/>
    <mergeCell ref="H2:J2"/>
    <mergeCell ref="K2:L3"/>
    <mergeCell ref="B84:J84"/>
    <mergeCell ref="B85:J85"/>
    <mergeCell ref="B87:B88"/>
    <mergeCell ref="E87:E88"/>
    <mergeCell ref="D87:D88"/>
    <mergeCell ref="F87:G87"/>
  </mergeCells>
  <phoneticPr fontId="0" type="noConversion"/>
  <printOptions horizontalCentered="1"/>
  <pageMargins left="0.31496062992125984" right="0.31496062992125984" top="0.78740157480314965" bottom="0.82677165354330717" header="0.51181102362204722" footer="0.51181102362204722"/>
  <pageSetup paperSize="9" scale="75" fitToWidth="2" orientation="portrait" r:id="rId1"/>
  <headerFooter alignWithMargins="0"/>
  <rowBreaks count="2" manualBreakCount="2">
    <brk id="51" max="16" man="1"/>
    <brk id="81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>
    <tabColor rgb="FFFFCCFF"/>
  </sheetPr>
  <dimension ref="A1:AH113"/>
  <sheetViews>
    <sheetView showGridLines="0" defaultGridColor="0" view="pageBreakPreview" colorId="12" zoomScale="75" zoomScaleSheetLayoutView="75" workbookViewId="0">
      <selection activeCell="AN72" sqref="AN72"/>
    </sheetView>
  </sheetViews>
  <sheetFormatPr defaultRowHeight="12.75"/>
  <cols>
    <col min="1" max="1" width="3.7109375" style="222" customWidth="1"/>
    <col min="2" max="2" width="4.140625" style="222" customWidth="1"/>
    <col min="3" max="3" width="45.28515625" style="222" customWidth="1"/>
    <col min="4" max="4" width="2.5703125" style="62" customWidth="1"/>
    <col min="5" max="5" width="15.7109375" style="222" customWidth="1"/>
    <col min="6" max="6" width="10.28515625" style="222" customWidth="1"/>
    <col min="7" max="7" width="11.28515625" style="222" customWidth="1"/>
    <col min="8" max="8" width="12.42578125" style="222" customWidth="1"/>
    <col min="9" max="9" width="14.42578125" style="222" customWidth="1"/>
    <col min="10" max="10" width="16.5703125" style="222" bestFit="1" customWidth="1"/>
    <col min="11" max="11" width="16.28515625" style="222" bestFit="1" customWidth="1"/>
    <col min="12" max="12" width="2.5703125" style="222" customWidth="1"/>
    <col min="13" max="13" width="3" style="222" customWidth="1"/>
    <col min="14" max="14" width="11.140625" style="251" hidden="1" customWidth="1"/>
    <col min="15" max="15" width="14" style="222" hidden="1" customWidth="1"/>
    <col min="16" max="16" width="2.5703125" style="222" hidden="1" customWidth="1"/>
    <col min="17" max="17" width="13.42578125" style="222" hidden="1" customWidth="1"/>
    <col min="18" max="18" width="2.5703125" style="222" hidden="1" customWidth="1"/>
    <col min="19" max="19" width="63" style="222" hidden="1" customWidth="1"/>
    <col min="20" max="20" width="1.42578125" style="222" hidden="1" customWidth="1"/>
    <col min="21" max="26" width="17.140625" style="222" hidden="1" customWidth="1"/>
    <col min="27" max="27" width="17.140625" style="459" hidden="1" customWidth="1"/>
    <col min="28" max="29" width="17.140625" style="222" hidden="1" customWidth="1"/>
    <col min="30" max="30" width="1.140625" style="222" hidden="1" customWidth="1"/>
    <col min="31" max="31" width="0" style="222" hidden="1" customWidth="1"/>
    <col min="32" max="32" width="1.5703125" style="222" hidden="1" customWidth="1"/>
    <col min="33" max="33" width="0" style="222" hidden="1" customWidth="1"/>
    <col min="34" max="34" width="1.42578125" style="222" hidden="1" customWidth="1"/>
    <col min="35" max="35" width="0" style="222" hidden="1" customWidth="1"/>
    <col min="36" max="16384" width="9.140625" style="222"/>
  </cols>
  <sheetData>
    <row r="1" spans="1:29">
      <c r="A1" s="221"/>
      <c r="N1" s="222"/>
    </row>
    <row r="2" spans="1:29" ht="16.5" customHeight="1">
      <c r="B2" s="62"/>
      <c r="C2" s="1741" t="s">
        <v>1430</v>
      </c>
      <c r="E2" s="1742" t="s">
        <v>1547</v>
      </c>
      <c r="F2" s="1742"/>
      <c r="G2" s="1742"/>
      <c r="H2" s="1742"/>
      <c r="I2" s="1742"/>
      <c r="J2" s="1742"/>
      <c r="K2" s="1742"/>
      <c r="S2" s="1730" t="s">
        <v>1430</v>
      </c>
      <c r="T2" s="459"/>
      <c r="U2" s="470" t="s">
        <v>1547</v>
      </c>
      <c r="V2" s="470"/>
      <c r="W2" s="470"/>
      <c r="X2" s="470"/>
      <c r="Y2" s="459"/>
      <c r="Z2" s="459"/>
      <c r="AB2" s="459"/>
      <c r="AC2" s="459"/>
    </row>
    <row r="3" spans="1:29">
      <c r="B3" s="62"/>
      <c r="C3" s="1741"/>
      <c r="E3" s="458" t="s">
        <v>1232</v>
      </c>
      <c r="F3" s="458" t="s">
        <v>1549</v>
      </c>
      <c r="G3" s="458" t="s">
        <v>1563</v>
      </c>
      <c r="H3" s="458" t="s">
        <v>1233</v>
      </c>
      <c r="I3" s="458" t="s">
        <v>1555</v>
      </c>
      <c r="J3" s="458" t="s">
        <v>1559</v>
      </c>
      <c r="K3" s="1731" t="s">
        <v>1319</v>
      </c>
      <c r="S3" s="1730"/>
      <c r="T3" s="459"/>
      <c r="U3" s="459" t="s">
        <v>1232</v>
      </c>
      <c r="V3" s="459" t="s">
        <v>1549</v>
      </c>
      <c r="W3" s="459" t="s">
        <v>1563</v>
      </c>
      <c r="X3" s="459" t="s">
        <v>1233</v>
      </c>
      <c r="Y3" s="459" t="s">
        <v>1555</v>
      </c>
      <c r="Z3" s="459" t="s">
        <v>1559</v>
      </c>
      <c r="AA3" s="459" t="s">
        <v>1319</v>
      </c>
      <c r="AB3" s="459" t="s">
        <v>1560</v>
      </c>
      <c r="AC3" s="459" t="s">
        <v>1319</v>
      </c>
    </row>
    <row r="4" spans="1:29">
      <c r="B4" s="62"/>
      <c r="C4" s="1741"/>
      <c r="E4" s="458" t="s">
        <v>1548</v>
      </c>
      <c r="F4" s="458" t="s">
        <v>1550</v>
      </c>
      <c r="G4" s="458" t="s">
        <v>1551</v>
      </c>
      <c r="H4" s="458" t="s">
        <v>1552</v>
      </c>
      <c r="I4" s="458" t="s">
        <v>1556</v>
      </c>
      <c r="J4" s="458" t="s">
        <v>1580</v>
      </c>
      <c r="K4" s="1731"/>
      <c r="S4" s="1730"/>
      <c r="T4" s="459"/>
      <c r="U4" s="459" t="s">
        <v>1548</v>
      </c>
      <c r="V4" s="459" t="s">
        <v>1550</v>
      </c>
      <c r="W4" s="459" t="s">
        <v>1551</v>
      </c>
      <c r="X4" s="459" t="s">
        <v>1552</v>
      </c>
      <c r="Y4" s="459" t="s">
        <v>1556</v>
      </c>
      <c r="Z4" s="459" t="s">
        <v>1580</v>
      </c>
      <c r="AB4" s="459" t="s">
        <v>1561</v>
      </c>
      <c r="AC4" s="459"/>
    </row>
    <row r="5" spans="1:29">
      <c r="B5" s="62"/>
      <c r="C5" s="1741"/>
      <c r="E5" s="458"/>
      <c r="F5" s="458"/>
      <c r="G5" s="458"/>
      <c r="H5" s="458" t="s">
        <v>1553</v>
      </c>
      <c r="I5" s="458" t="s">
        <v>1557</v>
      </c>
      <c r="J5" s="458"/>
      <c r="K5" s="1731"/>
      <c r="S5" s="1730"/>
      <c r="T5" s="459"/>
      <c r="U5" s="459"/>
      <c r="V5" s="459"/>
      <c r="W5" s="459"/>
      <c r="X5" s="459" t="s">
        <v>1553</v>
      </c>
      <c r="Y5" s="459" t="s">
        <v>1557</v>
      </c>
      <c r="Z5" s="459"/>
      <c r="AB5" s="459" t="s">
        <v>1562</v>
      </c>
      <c r="AC5" s="459"/>
    </row>
    <row r="6" spans="1:29" ht="18.75" customHeight="1">
      <c r="B6" s="62"/>
      <c r="C6" s="1741"/>
      <c r="E6" s="458"/>
      <c r="F6" s="458"/>
      <c r="G6" s="458"/>
      <c r="H6" s="458" t="s">
        <v>1554</v>
      </c>
      <c r="I6" s="458" t="s">
        <v>1558</v>
      </c>
      <c r="J6" s="458"/>
      <c r="K6" s="1731"/>
      <c r="S6" s="470"/>
      <c r="T6" s="470"/>
      <c r="U6" s="470"/>
      <c r="V6" s="470"/>
      <c r="W6" s="470"/>
      <c r="X6" s="470" t="s">
        <v>1554</v>
      </c>
      <c r="Y6" s="470" t="s">
        <v>1558</v>
      </c>
      <c r="Z6" s="470"/>
      <c r="AA6" s="470"/>
      <c r="AB6" s="470"/>
      <c r="AC6" s="470"/>
    </row>
    <row r="7" spans="1:29" hidden="1">
      <c r="B7" s="62"/>
      <c r="C7" s="62"/>
      <c r="E7" s="62"/>
      <c r="F7" s="62"/>
      <c r="G7" s="62"/>
      <c r="H7" s="62"/>
      <c r="I7" s="62"/>
      <c r="J7" s="62"/>
      <c r="K7" s="524"/>
    </row>
    <row r="8" spans="1:29" hidden="1">
      <c r="B8" s="62"/>
      <c r="C8" s="525" t="s">
        <v>1570</v>
      </c>
      <c r="E8" s="526">
        <v>100000</v>
      </c>
      <c r="F8" s="524">
        <v>0</v>
      </c>
      <c r="G8" s="524">
        <v>0</v>
      </c>
      <c r="H8" s="526">
        <v>10000</v>
      </c>
      <c r="I8" s="524">
        <v>0</v>
      </c>
      <c r="J8" s="526">
        <v>37487159</v>
      </c>
      <c r="K8" s="526">
        <v>37597159</v>
      </c>
      <c r="S8" s="459" t="s">
        <v>1570</v>
      </c>
      <c r="T8" s="459"/>
      <c r="U8" s="472">
        <v>100000</v>
      </c>
      <c r="V8" s="472">
        <v>0</v>
      </c>
      <c r="W8" s="472">
        <v>0</v>
      </c>
      <c r="X8" s="472">
        <v>10000</v>
      </c>
      <c r="Y8" s="472">
        <v>0</v>
      </c>
      <c r="Z8" s="472">
        <v>37487159</v>
      </c>
      <c r="AA8" s="472">
        <f>SUM(U8:Z8)</f>
        <v>37597159</v>
      </c>
    </row>
    <row r="9" spans="1:29" hidden="1">
      <c r="B9" s="62"/>
      <c r="C9" s="527" t="s">
        <v>1564</v>
      </c>
      <c r="E9" s="62"/>
      <c r="F9" s="62"/>
      <c r="G9" s="62"/>
      <c r="H9" s="62"/>
      <c r="I9" s="62"/>
      <c r="J9" s="62"/>
      <c r="K9" s="526">
        <f>SUM(E9:J9)</f>
        <v>0</v>
      </c>
      <c r="S9" s="222" t="s">
        <v>1564</v>
      </c>
      <c r="U9" s="61"/>
      <c r="V9" s="61"/>
      <c r="W9" s="61"/>
      <c r="X9" s="61"/>
      <c r="Y9" s="61"/>
      <c r="Z9" s="61"/>
      <c r="AA9" s="473">
        <f t="shared" ref="AA9:AA18" si="0">SUM(U9:Z9)</f>
        <v>0</v>
      </c>
    </row>
    <row r="10" spans="1:29" hidden="1">
      <c r="B10" s="62"/>
      <c r="C10" s="527"/>
      <c r="E10" s="62"/>
      <c r="F10" s="62"/>
      <c r="G10" s="62"/>
      <c r="H10" s="62"/>
      <c r="I10" s="62"/>
      <c r="J10" s="62"/>
      <c r="K10" s="526">
        <f>SUM(E10:J10)</f>
        <v>0</v>
      </c>
      <c r="U10" s="61"/>
      <c r="V10" s="61"/>
      <c r="W10" s="61"/>
      <c r="X10" s="61"/>
      <c r="Y10" s="61"/>
      <c r="Z10" s="61"/>
      <c r="AA10" s="473">
        <f t="shared" si="0"/>
        <v>0</v>
      </c>
    </row>
    <row r="11" spans="1:29" hidden="1">
      <c r="B11" s="62" t="s">
        <v>752</v>
      </c>
      <c r="C11" s="525" t="s">
        <v>1565</v>
      </c>
      <c r="E11" s="526">
        <f t="shared" ref="E11:J11" si="1">+E8+E9+E10</f>
        <v>100000</v>
      </c>
      <c r="F11" s="526">
        <f t="shared" si="1"/>
        <v>0</v>
      </c>
      <c r="G11" s="526">
        <f t="shared" si="1"/>
        <v>0</v>
      </c>
      <c r="H11" s="526">
        <f t="shared" si="1"/>
        <v>10000</v>
      </c>
      <c r="I11" s="526">
        <f t="shared" si="1"/>
        <v>0</v>
      </c>
      <c r="J11" s="526">
        <f t="shared" si="1"/>
        <v>37487159</v>
      </c>
      <c r="K11" s="526">
        <f>SUM(K8:K10)</f>
        <v>37597159</v>
      </c>
      <c r="R11" s="222" t="s">
        <v>752</v>
      </c>
      <c r="S11" s="222" t="s">
        <v>1565</v>
      </c>
      <c r="U11" s="61">
        <v>100000</v>
      </c>
      <c r="V11" s="61">
        <v>0</v>
      </c>
      <c r="W11" s="61">
        <v>0</v>
      </c>
      <c r="X11" s="61">
        <v>10000</v>
      </c>
      <c r="Y11" s="61">
        <v>0</v>
      </c>
      <c r="Z11" s="61">
        <v>37487159</v>
      </c>
      <c r="AA11" s="473">
        <f t="shared" si="0"/>
        <v>37597159</v>
      </c>
    </row>
    <row r="12" spans="1:29" ht="25.5" hidden="1">
      <c r="B12" s="62" t="s">
        <v>1573</v>
      </c>
      <c r="C12" s="527" t="s">
        <v>0</v>
      </c>
      <c r="E12" s="62"/>
      <c r="F12" s="62"/>
      <c r="G12" s="62"/>
      <c r="H12" s="62"/>
      <c r="I12" s="62"/>
      <c r="J12" s="224"/>
      <c r="K12" s="526">
        <f t="shared" ref="K12:K17" si="2">SUM(E12:J12)</f>
        <v>0</v>
      </c>
      <c r="R12" s="222" t="s">
        <v>1573</v>
      </c>
      <c r="S12" s="222" t="s">
        <v>0</v>
      </c>
      <c r="U12" s="61"/>
      <c r="V12" s="61"/>
      <c r="W12" s="61"/>
      <c r="X12" s="61"/>
      <c r="Y12" s="61"/>
      <c r="Z12" s="61"/>
      <c r="AA12" s="473">
        <f t="shared" si="0"/>
        <v>0</v>
      </c>
    </row>
    <row r="13" spans="1:29" ht="25.5" hidden="1">
      <c r="B13" s="62" t="s">
        <v>1574</v>
      </c>
      <c r="C13" s="527" t="s">
        <v>5</v>
      </c>
      <c r="E13" s="62"/>
      <c r="F13" s="62"/>
      <c r="G13" s="62"/>
      <c r="H13" s="62"/>
      <c r="I13" s="62"/>
      <c r="J13" s="62"/>
      <c r="K13" s="526">
        <f t="shared" si="2"/>
        <v>0</v>
      </c>
      <c r="R13" s="222" t="s">
        <v>1574</v>
      </c>
      <c r="S13" s="222" t="s">
        <v>5</v>
      </c>
      <c r="U13" s="61"/>
      <c r="V13" s="61"/>
      <c r="W13" s="61"/>
      <c r="X13" s="61"/>
      <c r="Y13" s="61"/>
      <c r="Z13" s="61"/>
      <c r="AA13" s="473">
        <f t="shared" si="0"/>
        <v>0</v>
      </c>
    </row>
    <row r="14" spans="1:29" hidden="1">
      <c r="B14" s="62" t="s">
        <v>1575</v>
      </c>
      <c r="C14" s="527" t="s">
        <v>1571</v>
      </c>
      <c r="E14" s="62"/>
      <c r="F14" s="62"/>
      <c r="G14" s="62"/>
      <c r="H14" s="62"/>
      <c r="I14" s="62"/>
      <c r="J14" s="77"/>
      <c r="K14" s="526">
        <f t="shared" si="2"/>
        <v>0</v>
      </c>
      <c r="R14" s="222" t="s">
        <v>1575</v>
      </c>
      <c r="S14" s="222" t="s">
        <v>1571</v>
      </c>
      <c r="U14" s="61"/>
      <c r="V14" s="61"/>
      <c r="W14" s="61"/>
      <c r="X14" s="61"/>
      <c r="Y14" s="61"/>
      <c r="Z14" s="61">
        <v>20567604</v>
      </c>
      <c r="AA14" s="473">
        <f t="shared" si="0"/>
        <v>20567604</v>
      </c>
    </row>
    <row r="15" spans="1:29" hidden="1">
      <c r="B15" s="62" t="s">
        <v>1576</v>
      </c>
      <c r="C15" s="527" t="s">
        <v>1546</v>
      </c>
      <c r="E15" s="62"/>
      <c r="F15" s="62"/>
      <c r="G15" s="62"/>
      <c r="H15" s="62"/>
      <c r="I15" s="62"/>
      <c r="J15" s="62"/>
      <c r="K15" s="526">
        <f t="shared" si="2"/>
        <v>0</v>
      </c>
      <c r="R15" s="222" t="s">
        <v>1576</v>
      </c>
      <c r="S15" s="222" t="s">
        <v>1546</v>
      </c>
      <c r="U15" s="61"/>
      <c r="V15" s="61"/>
      <c r="W15" s="61"/>
      <c r="X15" s="61"/>
      <c r="Y15" s="61"/>
      <c r="Z15" s="61"/>
      <c r="AA15" s="473">
        <f t="shared" si="0"/>
        <v>0</v>
      </c>
    </row>
    <row r="16" spans="1:29" hidden="1">
      <c r="B16" s="62" t="s">
        <v>1577</v>
      </c>
      <c r="C16" s="527" t="s">
        <v>2</v>
      </c>
      <c r="E16" s="62"/>
      <c r="F16" s="62"/>
      <c r="G16" s="62"/>
      <c r="H16" s="62"/>
      <c r="I16" s="62"/>
      <c r="J16" s="528"/>
      <c r="K16" s="526">
        <f t="shared" si="2"/>
        <v>0</v>
      </c>
      <c r="R16" s="222" t="s">
        <v>1577</v>
      </c>
      <c r="S16" s="222" t="s">
        <v>2</v>
      </c>
      <c r="U16" s="61"/>
      <c r="V16" s="61"/>
      <c r="W16" s="61"/>
      <c r="X16" s="61">
        <f>+Z11</f>
        <v>37487159</v>
      </c>
      <c r="Y16" s="61"/>
      <c r="Z16" s="61">
        <f>-X16</f>
        <v>-37487159</v>
      </c>
      <c r="AA16" s="473">
        <f t="shared" si="0"/>
        <v>0</v>
      </c>
    </row>
    <row r="17" spans="1:29" hidden="1">
      <c r="B17" s="62" t="s">
        <v>1578</v>
      </c>
      <c r="C17" s="527" t="s">
        <v>1566</v>
      </c>
      <c r="E17" s="62"/>
      <c r="F17" s="62"/>
      <c r="G17" s="62"/>
      <c r="H17" s="62"/>
      <c r="I17" s="62"/>
      <c r="J17" s="62"/>
      <c r="K17" s="526">
        <f t="shared" si="2"/>
        <v>0</v>
      </c>
      <c r="R17" s="222" t="s">
        <v>1578</v>
      </c>
      <c r="S17" s="222" t="s">
        <v>1566</v>
      </c>
      <c r="U17" s="61"/>
      <c r="V17" s="61"/>
      <c r="W17" s="61"/>
      <c r="X17" s="61"/>
      <c r="Y17" s="61"/>
      <c r="Z17" s="61"/>
      <c r="AA17" s="473">
        <f t="shared" si="0"/>
        <v>0</v>
      </c>
    </row>
    <row r="18" spans="1:29" hidden="1">
      <c r="B18" s="62" t="s">
        <v>1579</v>
      </c>
      <c r="C18" s="527" t="s">
        <v>1569</v>
      </c>
      <c r="E18" s="62"/>
      <c r="F18" s="62"/>
      <c r="G18" s="62"/>
      <c r="H18" s="62"/>
      <c r="I18" s="62"/>
      <c r="J18" s="62"/>
      <c r="K18" s="526"/>
      <c r="R18" s="63" t="s">
        <v>1579</v>
      </c>
      <c r="S18" s="63" t="s">
        <v>1569</v>
      </c>
      <c r="T18" s="63"/>
      <c r="U18" s="471"/>
      <c r="V18" s="471"/>
      <c r="W18" s="471"/>
      <c r="X18" s="471"/>
      <c r="Y18" s="471"/>
      <c r="Z18" s="471"/>
      <c r="AA18" s="474">
        <f t="shared" si="0"/>
        <v>0</v>
      </c>
      <c r="AB18" s="63"/>
      <c r="AC18" s="63"/>
    </row>
    <row r="19" spans="1:29" hidden="1">
      <c r="B19" s="62" t="s">
        <v>757</v>
      </c>
      <c r="C19" s="525" t="s">
        <v>1572</v>
      </c>
      <c r="E19" s="526" t="e">
        <f>B_Sheet13!#REF!</f>
        <v>#REF!</v>
      </c>
      <c r="F19" s="526">
        <f>SUM(F11:F18)</f>
        <v>0</v>
      </c>
      <c r="G19" s="526">
        <f>SUM(G11:G18)</f>
        <v>0</v>
      </c>
      <c r="H19" s="526">
        <v>0</v>
      </c>
      <c r="I19" s="526">
        <f>SUM(I11:I18)</f>
        <v>0</v>
      </c>
      <c r="J19" s="526" t="e">
        <f>B_Sheet13!#REF!</f>
        <v>#REF!</v>
      </c>
      <c r="K19" s="526" t="e">
        <f>SUM(E19:J19)</f>
        <v>#REF!</v>
      </c>
      <c r="R19" s="459" t="s">
        <v>757</v>
      </c>
      <c r="S19" s="459" t="s">
        <v>1572</v>
      </c>
      <c r="T19" s="459"/>
      <c r="U19" s="472">
        <f t="shared" ref="U19:Z19" si="3">SUM(U11:U18)</f>
        <v>100000</v>
      </c>
      <c r="V19" s="472">
        <f t="shared" si="3"/>
        <v>0</v>
      </c>
      <c r="W19" s="472">
        <f t="shared" si="3"/>
        <v>0</v>
      </c>
      <c r="X19" s="472">
        <f t="shared" si="3"/>
        <v>37497159</v>
      </c>
      <c r="Y19" s="472">
        <f t="shared" si="3"/>
        <v>0</v>
      </c>
      <c r="Z19" s="472">
        <f t="shared" si="3"/>
        <v>20567604</v>
      </c>
      <c r="AA19" s="472">
        <f>SUM(U19:Z19)</f>
        <v>58164763</v>
      </c>
      <c r="AB19" s="459">
        <v>0</v>
      </c>
      <c r="AC19" s="459">
        <v>0</v>
      </c>
    </row>
    <row r="20" spans="1:29" ht="25.5" hidden="1">
      <c r="B20" s="62" t="s">
        <v>1573</v>
      </c>
      <c r="C20" s="527" t="s">
        <v>0</v>
      </c>
      <c r="E20" s="62"/>
      <c r="F20" s="62"/>
      <c r="G20" s="62"/>
      <c r="H20" s="62"/>
      <c r="I20" s="62"/>
      <c r="J20" s="62"/>
      <c r="K20" s="526">
        <f t="shared" ref="K20:K26" si="4">SUM(E20:J20)</f>
        <v>0</v>
      </c>
      <c r="R20" s="222" t="s">
        <v>1573</v>
      </c>
      <c r="S20" s="222" t="s">
        <v>0</v>
      </c>
      <c r="U20" s="61"/>
      <c r="V20" s="61"/>
      <c r="W20" s="61"/>
      <c r="X20" s="61"/>
      <c r="Y20" s="61"/>
      <c r="Z20" s="61"/>
      <c r="AA20" s="473">
        <f t="shared" ref="AA20:AA26" si="5">SUM(U20:Z20)</f>
        <v>0</v>
      </c>
    </row>
    <row r="21" spans="1:29" ht="25.5" hidden="1">
      <c r="B21" s="62" t="s">
        <v>1574</v>
      </c>
      <c r="C21" s="527" t="s">
        <v>488</v>
      </c>
      <c r="E21" s="62"/>
      <c r="F21" s="62"/>
      <c r="G21" s="62"/>
      <c r="H21" s="62"/>
      <c r="I21" s="62"/>
      <c r="J21" s="62"/>
      <c r="K21" s="526">
        <f t="shared" si="4"/>
        <v>0</v>
      </c>
      <c r="R21" s="222" t="s">
        <v>1574</v>
      </c>
      <c r="S21" s="222" t="s">
        <v>488</v>
      </c>
      <c r="U21" s="61"/>
      <c r="V21" s="61"/>
      <c r="W21" s="61"/>
      <c r="X21" s="61"/>
      <c r="Y21" s="61"/>
      <c r="Z21" s="61"/>
      <c r="AA21" s="473">
        <f t="shared" si="5"/>
        <v>0</v>
      </c>
    </row>
    <row r="22" spans="1:29" hidden="1">
      <c r="B22" s="62" t="s">
        <v>1575</v>
      </c>
      <c r="C22" s="527" t="s">
        <v>1571</v>
      </c>
      <c r="E22" s="62"/>
      <c r="F22" s="62"/>
      <c r="G22" s="62"/>
      <c r="H22" s="62"/>
      <c r="I22" s="62"/>
      <c r="J22" s="224"/>
      <c r="K22" s="526">
        <f t="shared" si="4"/>
        <v>0</v>
      </c>
      <c r="R22" s="222" t="s">
        <v>1575</v>
      </c>
      <c r="S22" s="222" t="s">
        <v>1571</v>
      </c>
      <c r="U22" s="61"/>
      <c r="V22" s="61"/>
      <c r="W22" s="61"/>
      <c r="X22" s="61"/>
      <c r="Y22" s="61"/>
      <c r="Z22" s="61">
        <v>27875695.440000005</v>
      </c>
      <c r="AA22" s="473">
        <f t="shared" si="5"/>
        <v>27875695.440000005</v>
      </c>
    </row>
    <row r="23" spans="1:29" hidden="1">
      <c r="B23" s="62" t="s">
        <v>1576</v>
      </c>
      <c r="C23" s="527" t="s">
        <v>1546</v>
      </c>
      <c r="E23" s="62"/>
      <c r="F23" s="62"/>
      <c r="G23" s="62"/>
      <c r="H23" s="62"/>
      <c r="I23" s="62"/>
      <c r="J23" s="77"/>
      <c r="K23" s="526">
        <f t="shared" si="4"/>
        <v>0</v>
      </c>
      <c r="R23" s="222" t="s">
        <v>1576</v>
      </c>
      <c r="S23" s="222" t="s">
        <v>1546</v>
      </c>
      <c r="U23" s="61"/>
      <c r="V23" s="61"/>
      <c r="W23" s="61"/>
      <c r="X23" s="61"/>
      <c r="Y23" s="61"/>
      <c r="Z23" s="61">
        <v>-20000000</v>
      </c>
      <c r="AA23" s="473">
        <f t="shared" si="5"/>
        <v>-20000000</v>
      </c>
    </row>
    <row r="24" spans="1:29" hidden="1">
      <c r="B24" s="62" t="s">
        <v>1577</v>
      </c>
      <c r="C24" s="527" t="s">
        <v>2</v>
      </c>
      <c r="E24" s="62"/>
      <c r="F24" s="62"/>
      <c r="G24" s="62"/>
      <c r="H24" s="62"/>
      <c r="I24" s="62"/>
      <c r="J24" s="62"/>
      <c r="K24" s="526">
        <f t="shared" si="4"/>
        <v>0</v>
      </c>
      <c r="R24" s="222" t="s">
        <v>1577</v>
      </c>
      <c r="S24" s="222" t="s">
        <v>2</v>
      </c>
      <c r="U24" s="61"/>
      <c r="V24" s="61"/>
      <c r="W24" s="61"/>
      <c r="X24" s="61">
        <f>557604+10000</f>
        <v>567604</v>
      </c>
      <c r="Y24" s="61"/>
      <c r="Z24" s="61">
        <f>-X24</f>
        <v>-567604</v>
      </c>
      <c r="AA24" s="473">
        <f>SUM(U24:Z24)</f>
        <v>0</v>
      </c>
    </row>
    <row r="25" spans="1:29" hidden="1">
      <c r="B25" s="62" t="s">
        <v>1578</v>
      </c>
      <c r="C25" s="527" t="s">
        <v>1566</v>
      </c>
      <c r="E25" s="62"/>
      <c r="F25" s="62"/>
      <c r="G25" s="62"/>
      <c r="H25" s="62"/>
      <c r="I25" s="62"/>
      <c r="J25" s="62"/>
      <c r="K25" s="526">
        <f t="shared" si="4"/>
        <v>0</v>
      </c>
      <c r="R25" s="222" t="s">
        <v>1578</v>
      </c>
      <c r="S25" s="222" t="s">
        <v>1566</v>
      </c>
      <c r="U25" s="61"/>
      <c r="V25" s="61"/>
      <c r="W25" s="61"/>
      <c r="X25" s="61"/>
      <c r="Y25" s="61"/>
      <c r="Z25" s="61"/>
      <c r="AA25" s="473">
        <f t="shared" si="5"/>
        <v>0</v>
      </c>
    </row>
    <row r="26" spans="1:29" hidden="1">
      <c r="B26" s="62" t="s">
        <v>1579</v>
      </c>
      <c r="C26" s="527" t="s">
        <v>1569</v>
      </c>
      <c r="E26" s="67"/>
      <c r="F26" s="67"/>
      <c r="G26" s="62"/>
      <c r="H26" s="62"/>
      <c r="I26" s="62"/>
      <c r="J26" s="62"/>
      <c r="K26" s="526">
        <f t="shared" si="4"/>
        <v>0</v>
      </c>
      <c r="R26" s="63" t="s">
        <v>1579</v>
      </c>
      <c r="S26" s="63" t="s">
        <v>1569</v>
      </c>
      <c r="T26" s="63"/>
      <c r="U26" s="471"/>
      <c r="V26" s="471"/>
      <c r="W26" s="471"/>
      <c r="X26" s="471"/>
      <c r="Y26" s="471"/>
      <c r="Z26" s="471"/>
      <c r="AA26" s="474">
        <f t="shared" si="5"/>
        <v>0</v>
      </c>
      <c r="AB26" s="63"/>
      <c r="AC26" s="63"/>
    </row>
    <row r="27" spans="1:29" hidden="1">
      <c r="B27" s="62" t="s">
        <v>752</v>
      </c>
      <c r="C27" s="525" t="s">
        <v>888</v>
      </c>
      <c r="D27" s="458"/>
      <c r="E27" s="526">
        <v>100000</v>
      </c>
      <c r="F27" s="526">
        <v>0</v>
      </c>
      <c r="G27" s="526">
        <v>0</v>
      </c>
      <c r="H27" s="526">
        <v>0</v>
      </c>
      <c r="I27" s="526">
        <f>SUM(I19:I26)</f>
        <v>0</v>
      </c>
      <c r="J27" s="526">
        <v>0</v>
      </c>
      <c r="K27" s="526"/>
      <c r="R27" s="459" t="s">
        <v>1162</v>
      </c>
      <c r="S27" s="459" t="s">
        <v>888</v>
      </c>
      <c r="T27" s="459"/>
      <c r="U27" s="472">
        <f t="shared" ref="U27:Z27" si="6">SUM(U19:U26)</f>
        <v>100000</v>
      </c>
      <c r="V27" s="472">
        <f t="shared" si="6"/>
        <v>0</v>
      </c>
      <c r="W27" s="472">
        <f t="shared" si="6"/>
        <v>0</v>
      </c>
      <c r="X27" s="472">
        <f t="shared" si="6"/>
        <v>38064763</v>
      </c>
      <c r="Y27" s="472">
        <f t="shared" si="6"/>
        <v>0</v>
      </c>
      <c r="Z27" s="472">
        <f t="shared" si="6"/>
        <v>27875695.440000005</v>
      </c>
      <c r="AA27" s="472">
        <f t="shared" ref="AA27:AA35" si="7">SUM(U27:Z27)</f>
        <v>66040458.440000005</v>
      </c>
      <c r="AB27" s="459">
        <v>0</v>
      </c>
      <c r="AC27" s="459">
        <v>0</v>
      </c>
    </row>
    <row r="28" spans="1:29" ht="25.5" hidden="1">
      <c r="A28" s="221"/>
      <c r="B28" s="62" t="s">
        <v>1573</v>
      </c>
      <c r="C28" s="527" t="s">
        <v>0</v>
      </c>
      <c r="E28" s="62"/>
      <c r="F28" s="62"/>
      <c r="G28" s="62"/>
      <c r="H28" s="62"/>
      <c r="I28" s="62"/>
      <c r="J28" s="62"/>
      <c r="K28" s="526">
        <f t="shared" ref="K28:K34" si="8">SUM(E28:J28)</f>
        <v>0</v>
      </c>
      <c r="N28" s="222"/>
      <c r="R28" s="222" t="s">
        <v>1573</v>
      </c>
      <c r="S28" s="222" t="s">
        <v>0</v>
      </c>
      <c r="U28" s="61"/>
      <c r="V28" s="61"/>
      <c r="W28" s="61"/>
      <c r="X28" s="61"/>
      <c r="Y28" s="61"/>
      <c r="Z28" s="61"/>
      <c r="AA28" s="473">
        <f t="shared" si="7"/>
        <v>0</v>
      </c>
    </row>
    <row r="29" spans="1:29" ht="25.5" hidden="1">
      <c r="A29" s="221"/>
      <c r="B29" s="62" t="s">
        <v>1574</v>
      </c>
      <c r="C29" s="527" t="s">
        <v>488</v>
      </c>
      <c r="E29" s="62"/>
      <c r="F29" s="62"/>
      <c r="G29" s="62"/>
      <c r="H29" s="62"/>
      <c r="I29" s="62"/>
      <c r="J29" s="62"/>
      <c r="K29" s="526">
        <f t="shared" si="8"/>
        <v>0</v>
      </c>
      <c r="N29" s="222"/>
      <c r="R29" s="222" t="s">
        <v>1574</v>
      </c>
      <c r="S29" s="222" t="s">
        <v>488</v>
      </c>
      <c r="U29" s="61"/>
      <c r="V29" s="61"/>
      <c r="W29" s="61"/>
      <c r="X29" s="61"/>
      <c r="Y29" s="61"/>
      <c r="Z29" s="61"/>
      <c r="AA29" s="473">
        <f t="shared" si="7"/>
        <v>0</v>
      </c>
    </row>
    <row r="30" spans="1:29" hidden="1">
      <c r="A30" s="239"/>
      <c r="B30" s="62" t="s">
        <v>1575</v>
      </c>
      <c r="C30" s="527" t="s">
        <v>1571</v>
      </c>
      <c r="E30" s="62"/>
      <c r="F30" s="62"/>
      <c r="G30" s="62"/>
      <c r="H30" s="62"/>
      <c r="I30" s="62"/>
      <c r="J30" s="224">
        <f>B_Sheet13!U101</f>
        <v>-2543305</v>
      </c>
      <c r="K30" s="526">
        <f t="shared" si="8"/>
        <v>-2543305</v>
      </c>
      <c r="N30" s="222"/>
      <c r="R30" s="222" t="s">
        <v>1575</v>
      </c>
      <c r="S30" s="222" t="s">
        <v>1571</v>
      </c>
      <c r="U30" s="61"/>
      <c r="V30" s="61"/>
      <c r="W30" s="61"/>
      <c r="X30" s="61"/>
      <c r="Y30" s="61"/>
      <c r="Z30" s="61">
        <f>[2]B_Sheet10!R106</f>
        <v>22531868.150000036</v>
      </c>
      <c r="AA30" s="473">
        <f t="shared" si="7"/>
        <v>22531868.150000036</v>
      </c>
    </row>
    <row r="31" spans="1:29" hidden="1">
      <c r="B31" s="62" t="s">
        <v>1576</v>
      </c>
      <c r="C31" s="527" t="s">
        <v>1546</v>
      </c>
      <c r="E31" s="62"/>
      <c r="F31" s="62"/>
      <c r="G31" s="62"/>
      <c r="H31" s="62"/>
      <c r="I31" s="62"/>
      <c r="J31" s="77"/>
      <c r="K31" s="526">
        <f t="shared" si="8"/>
        <v>0</v>
      </c>
      <c r="N31" s="222"/>
      <c r="O31" s="251"/>
      <c r="R31" s="222" t="s">
        <v>1576</v>
      </c>
      <c r="S31" s="222" t="s">
        <v>1546</v>
      </c>
      <c r="U31" s="61"/>
      <c r="V31" s="61"/>
      <c r="W31" s="61"/>
      <c r="X31" s="61"/>
      <c r="Y31" s="61"/>
      <c r="Z31" s="61">
        <v>-20000000</v>
      </c>
      <c r="AA31" s="473">
        <f t="shared" si="7"/>
        <v>-20000000</v>
      </c>
    </row>
    <row r="32" spans="1:29" hidden="1">
      <c r="B32" s="62" t="s">
        <v>1577</v>
      </c>
      <c r="C32" s="527" t="s">
        <v>2</v>
      </c>
      <c r="E32" s="62"/>
      <c r="F32" s="62"/>
      <c r="G32" s="62"/>
      <c r="H32" s="62"/>
      <c r="I32" s="62"/>
      <c r="J32" s="62"/>
      <c r="K32" s="526">
        <f t="shared" si="8"/>
        <v>0</v>
      </c>
      <c r="N32" s="222"/>
      <c r="O32" s="251"/>
      <c r="R32" s="222" t="s">
        <v>1577</v>
      </c>
      <c r="S32" s="222" t="s">
        <v>2</v>
      </c>
      <c r="U32" s="61"/>
      <c r="V32" s="61"/>
      <c r="W32" s="61"/>
      <c r="X32" s="61"/>
      <c r="Y32" s="61"/>
      <c r="Z32" s="61">
        <f>-X32</f>
        <v>0</v>
      </c>
      <c r="AA32" s="473">
        <f t="shared" si="7"/>
        <v>0</v>
      </c>
    </row>
    <row r="33" spans="2:29" hidden="1">
      <c r="B33" s="62" t="s">
        <v>1578</v>
      </c>
      <c r="C33" s="527" t="s">
        <v>1566</v>
      </c>
      <c r="E33" s="62"/>
      <c r="F33" s="62"/>
      <c r="G33" s="62"/>
      <c r="H33" s="62"/>
      <c r="I33" s="62"/>
      <c r="J33" s="62"/>
      <c r="K33" s="526">
        <f t="shared" si="8"/>
        <v>0</v>
      </c>
      <c r="N33" s="222"/>
      <c r="O33" s="251"/>
      <c r="R33" s="222" t="s">
        <v>1578</v>
      </c>
      <c r="S33" s="222" t="s">
        <v>1566</v>
      </c>
      <c r="U33" s="61"/>
      <c r="V33" s="61"/>
      <c r="W33" s="61"/>
      <c r="X33" s="61"/>
      <c r="Y33" s="61"/>
      <c r="Z33" s="61"/>
      <c r="AA33" s="473">
        <f t="shared" si="7"/>
        <v>0</v>
      </c>
    </row>
    <row r="34" spans="2:29" hidden="1">
      <c r="B34" s="62" t="s">
        <v>1579</v>
      </c>
      <c r="C34" s="527" t="s">
        <v>1569</v>
      </c>
      <c r="E34" s="67"/>
      <c r="F34" s="67"/>
      <c r="G34" s="62"/>
      <c r="H34" s="62"/>
      <c r="I34" s="62"/>
      <c r="J34" s="62"/>
      <c r="K34" s="526">
        <f t="shared" si="8"/>
        <v>0</v>
      </c>
      <c r="N34" s="222"/>
      <c r="O34" s="251"/>
      <c r="R34" s="63" t="s">
        <v>1579</v>
      </c>
      <c r="S34" s="63" t="s">
        <v>1569</v>
      </c>
      <c r="T34" s="63"/>
      <c r="U34" s="471"/>
      <c r="V34" s="471"/>
      <c r="W34" s="471"/>
      <c r="X34" s="471"/>
      <c r="Y34" s="471"/>
      <c r="Z34" s="471"/>
      <c r="AA34" s="474">
        <f t="shared" si="7"/>
        <v>0</v>
      </c>
      <c r="AB34" s="63"/>
      <c r="AC34" s="63"/>
    </row>
    <row r="35" spans="2:29" hidden="1">
      <c r="B35" s="62" t="s">
        <v>757</v>
      </c>
      <c r="C35" s="525" t="s">
        <v>1418</v>
      </c>
      <c r="D35" s="458"/>
      <c r="E35" s="526"/>
      <c r="F35" s="526">
        <f>SUM(F27:F34)</f>
        <v>0</v>
      </c>
      <c r="G35" s="526">
        <f>SUM(G27:G34)</f>
        <v>0</v>
      </c>
      <c r="H35" s="526">
        <f>SUM(H27:H34)</f>
        <v>0</v>
      </c>
      <c r="I35" s="526">
        <f>SUM(I27:I34)</f>
        <v>0</v>
      </c>
      <c r="J35" s="526"/>
      <c r="K35" s="526"/>
      <c r="N35" s="994"/>
      <c r="R35" s="459" t="s">
        <v>1162</v>
      </c>
      <c r="S35" s="459" t="s">
        <v>1418</v>
      </c>
      <c r="T35" s="459"/>
      <c r="U35" s="472">
        <f t="shared" ref="U35:Z35" si="9">SUM(U27:U34)</f>
        <v>100000</v>
      </c>
      <c r="V35" s="472">
        <f t="shared" si="9"/>
        <v>0</v>
      </c>
      <c r="W35" s="472">
        <f t="shared" si="9"/>
        <v>0</v>
      </c>
      <c r="X35" s="472">
        <f t="shared" si="9"/>
        <v>38064763</v>
      </c>
      <c r="Y35" s="472">
        <f t="shared" si="9"/>
        <v>0</v>
      </c>
      <c r="Z35" s="472">
        <f t="shared" si="9"/>
        <v>30407563.590000041</v>
      </c>
      <c r="AA35" s="472">
        <f t="shared" si="7"/>
        <v>68572326.590000033</v>
      </c>
      <c r="AB35" s="459">
        <v>0</v>
      </c>
      <c r="AC35" s="459">
        <v>0</v>
      </c>
    </row>
    <row r="36" spans="2:29" ht="25.5" hidden="1">
      <c r="B36" s="62" t="s">
        <v>1573</v>
      </c>
      <c r="C36" s="527" t="s">
        <v>0</v>
      </c>
      <c r="E36" s="62"/>
      <c r="F36" s="62"/>
      <c r="G36" s="62"/>
      <c r="H36" s="62"/>
      <c r="I36" s="62"/>
      <c r="J36" s="62"/>
      <c r="K36" s="526">
        <f t="shared" ref="K36:K42" si="10">SUM(E36:J36)</f>
        <v>0</v>
      </c>
    </row>
    <row r="37" spans="2:29" ht="25.5" hidden="1">
      <c r="B37" s="62" t="s">
        <v>1574</v>
      </c>
      <c r="C37" s="527" t="s">
        <v>488</v>
      </c>
      <c r="E37" s="62"/>
      <c r="F37" s="62"/>
      <c r="G37" s="62"/>
      <c r="H37" s="62"/>
      <c r="I37" s="62"/>
      <c r="J37" s="62"/>
      <c r="K37" s="526">
        <f t="shared" si="10"/>
        <v>0</v>
      </c>
    </row>
    <row r="38" spans="2:29" hidden="1">
      <c r="B38" s="62" t="s">
        <v>1575</v>
      </c>
      <c r="C38" s="527" t="s">
        <v>1571</v>
      </c>
      <c r="E38" s="62"/>
      <c r="F38" s="62"/>
      <c r="G38" s="62"/>
      <c r="H38" s="62"/>
      <c r="I38" s="224"/>
      <c r="J38" s="224"/>
      <c r="K38" s="526">
        <f t="shared" si="10"/>
        <v>0</v>
      </c>
    </row>
    <row r="39" spans="2:29" hidden="1">
      <c r="B39" s="62" t="s">
        <v>1576</v>
      </c>
      <c r="C39" s="527" t="s">
        <v>1546</v>
      </c>
      <c r="E39" s="62"/>
      <c r="F39" s="62"/>
      <c r="G39" s="62"/>
      <c r="H39" s="62"/>
      <c r="I39" s="62"/>
      <c r="J39" s="77"/>
      <c r="K39" s="526">
        <f t="shared" si="10"/>
        <v>0</v>
      </c>
    </row>
    <row r="40" spans="2:29" hidden="1">
      <c r="B40" s="62" t="s">
        <v>1577</v>
      </c>
      <c r="C40" s="527" t="s">
        <v>2</v>
      </c>
      <c r="E40" s="62"/>
      <c r="F40" s="62"/>
      <c r="G40" s="62"/>
      <c r="H40" s="62"/>
      <c r="I40" s="62"/>
      <c r="J40" s="62"/>
      <c r="K40" s="526">
        <f t="shared" si="10"/>
        <v>0</v>
      </c>
    </row>
    <row r="41" spans="2:29" hidden="1">
      <c r="B41" s="62" t="s">
        <v>1578</v>
      </c>
      <c r="C41" s="527" t="s">
        <v>1566</v>
      </c>
      <c r="E41" s="62"/>
      <c r="F41" s="62"/>
      <c r="G41" s="62"/>
      <c r="H41" s="62"/>
      <c r="I41" s="62"/>
      <c r="J41" s="62"/>
      <c r="K41" s="526">
        <f t="shared" si="10"/>
        <v>0</v>
      </c>
      <c r="Z41" s="477" t="s">
        <v>889</v>
      </c>
      <c r="AA41" s="478">
        <f>[2]B_Sheet10!R107-'Equity 13'!AA35</f>
        <v>18841641.560000002</v>
      </c>
    </row>
    <row r="42" spans="2:29" hidden="1">
      <c r="B42" s="62" t="s">
        <v>1579</v>
      </c>
      <c r="C42" s="527" t="s">
        <v>1569</v>
      </c>
      <c r="E42" s="67"/>
      <c r="F42" s="67"/>
      <c r="G42" s="62"/>
      <c r="H42" s="62"/>
      <c r="I42" s="62"/>
      <c r="J42" s="62"/>
      <c r="K42" s="526">
        <f t="shared" si="10"/>
        <v>0</v>
      </c>
    </row>
    <row r="43" spans="2:29">
      <c r="B43" s="222" t="s">
        <v>1162</v>
      </c>
      <c r="C43" s="525" t="s">
        <v>876</v>
      </c>
      <c r="D43" s="458"/>
      <c r="E43" s="1652">
        <f t="shared" ref="E43:J43" si="11">SUM(E35:E42)</f>
        <v>0</v>
      </c>
      <c r="F43" s="1652">
        <f t="shared" si="11"/>
        <v>0</v>
      </c>
      <c r="G43" s="1652">
        <f t="shared" si="11"/>
        <v>0</v>
      </c>
      <c r="H43" s="1652">
        <f t="shared" si="11"/>
        <v>0</v>
      </c>
      <c r="I43" s="1652">
        <f t="shared" si="11"/>
        <v>0</v>
      </c>
      <c r="J43" s="1652">
        <f t="shared" si="11"/>
        <v>0</v>
      </c>
      <c r="K43" s="1652">
        <f>SUM(K35:K42)</f>
        <v>0</v>
      </c>
      <c r="N43" s="994"/>
    </row>
    <row r="44" spans="2:29" ht="25.5">
      <c r="B44" s="62" t="s">
        <v>1573</v>
      </c>
      <c r="C44" s="527" t="s">
        <v>0</v>
      </c>
      <c r="E44" s="67"/>
      <c r="F44" s="67"/>
      <c r="G44" s="67"/>
      <c r="H44" s="67"/>
      <c r="I44" s="67"/>
      <c r="J44" s="67"/>
      <c r="K44" s="1651">
        <f t="shared" ref="K44:K50" si="12">SUM(E44:J44)</f>
        <v>0</v>
      </c>
    </row>
    <row r="45" spans="2:29" ht="25.5">
      <c r="B45" s="62" t="s">
        <v>1574</v>
      </c>
      <c r="C45" s="527" t="s">
        <v>488</v>
      </c>
      <c r="E45" s="67"/>
      <c r="F45" s="67"/>
      <c r="G45" s="67"/>
      <c r="H45" s="67"/>
      <c r="I45" s="67"/>
      <c r="J45" s="67"/>
      <c r="K45" s="1651">
        <f t="shared" si="12"/>
        <v>0</v>
      </c>
    </row>
    <row r="46" spans="2:29">
      <c r="B46" s="62" t="s">
        <v>1575</v>
      </c>
      <c r="C46" s="527" t="s">
        <v>1571</v>
      </c>
      <c r="E46" s="67"/>
      <c r="F46" s="67"/>
      <c r="G46" s="67"/>
      <c r="H46" s="67"/>
      <c r="I46" s="429"/>
      <c r="J46" s="429">
        <f>B_Sheet13!T16+B_Sheet13!T15</f>
        <v>-31356284.503485989</v>
      </c>
      <c r="K46" s="1651">
        <f t="shared" si="12"/>
        <v>-31356284.503485989</v>
      </c>
    </row>
    <row r="47" spans="2:29">
      <c r="B47" s="62" t="s">
        <v>1576</v>
      </c>
      <c r="C47" s="527" t="s">
        <v>1546</v>
      </c>
      <c r="E47" s="67"/>
      <c r="F47" s="67"/>
      <c r="G47" s="67"/>
      <c r="H47" s="67"/>
      <c r="I47" s="67"/>
      <c r="J47" s="58"/>
      <c r="K47" s="1651">
        <f t="shared" si="12"/>
        <v>0</v>
      </c>
    </row>
    <row r="48" spans="2:29">
      <c r="B48" s="62" t="s">
        <v>1577</v>
      </c>
      <c r="C48" s="527" t="s">
        <v>2</v>
      </c>
      <c r="E48" s="67"/>
      <c r="F48" s="67"/>
      <c r="G48" s="67"/>
      <c r="H48" s="67"/>
      <c r="I48" s="67"/>
      <c r="J48" s="67"/>
      <c r="K48" s="1651">
        <f t="shared" si="12"/>
        <v>0</v>
      </c>
    </row>
    <row r="49" spans="2:27">
      <c r="B49" s="62" t="s">
        <v>1578</v>
      </c>
      <c r="C49" s="527" t="s">
        <v>1566</v>
      </c>
      <c r="E49" s="58">
        <f>B_Sheet13!T8</f>
        <v>100000</v>
      </c>
      <c r="F49" s="67"/>
      <c r="G49" s="67"/>
      <c r="H49" s="67"/>
      <c r="I49" s="67"/>
      <c r="J49" s="67"/>
      <c r="K49" s="1651">
        <f t="shared" si="12"/>
        <v>100000</v>
      </c>
      <c r="AA49" s="222"/>
    </row>
    <row r="50" spans="2:27">
      <c r="B50" s="62" t="s">
        <v>1579</v>
      </c>
      <c r="C50" s="527" t="s">
        <v>1569</v>
      </c>
      <c r="E50" s="67"/>
      <c r="F50" s="67"/>
      <c r="G50" s="67"/>
      <c r="H50" s="67"/>
      <c r="I50" s="67"/>
      <c r="J50" s="67"/>
      <c r="K50" s="1651">
        <f t="shared" si="12"/>
        <v>0</v>
      </c>
    </row>
    <row r="51" spans="2:27">
      <c r="B51" s="222" t="s">
        <v>1162</v>
      </c>
      <c r="C51" s="525" t="s">
        <v>294</v>
      </c>
      <c r="D51" s="458"/>
      <c r="E51" s="1652">
        <f t="shared" ref="E51:J51" si="13">SUM(E43:E50)</f>
        <v>100000</v>
      </c>
      <c r="F51" s="1652">
        <f t="shared" si="13"/>
        <v>0</v>
      </c>
      <c r="G51" s="1652">
        <f t="shared" si="13"/>
        <v>0</v>
      </c>
      <c r="H51" s="1652">
        <f t="shared" si="13"/>
        <v>0</v>
      </c>
      <c r="I51" s="1652">
        <f t="shared" si="13"/>
        <v>0</v>
      </c>
      <c r="J51" s="1652">
        <f t="shared" si="13"/>
        <v>-31356284.503485989</v>
      </c>
      <c r="K51" s="1652">
        <f>SUM(K43:K50)</f>
        <v>-31256284.503485989</v>
      </c>
      <c r="N51" s="994">
        <f>K51-B_Sheet13!T102</f>
        <v>0</v>
      </c>
    </row>
    <row r="52" spans="2:27" ht="25.5">
      <c r="B52" s="62" t="s">
        <v>1573</v>
      </c>
      <c r="C52" s="527" t="s">
        <v>0</v>
      </c>
      <c r="E52" s="67"/>
      <c r="F52" s="67"/>
      <c r="G52" s="67"/>
      <c r="H52" s="67"/>
      <c r="I52" s="67"/>
      <c r="J52" s="67"/>
      <c r="K52" s="1651">
        <f t="shared" ref="K52:K58" si="14">SUM(E52:J52)</f>
        <v>0</v>
      </c>
    </row>
    <row r="53" spans="2:27" ht="25.5">
      <c r="B53" s="62" t="s">
        <v>1574</v>
      </c>
      <c r="C53" s="527" t="s">
        <v>488</v>
      </c>
      <c r="E53" s="67"/>
      <c r="F53" s="67"/>
      <c r="G53" s="67"/>
      <c r="H53" s="67"/>
      <c r="I53" s="67"/>
      <c r="J53" s="67"/>
      <c r="K53" s="1651">
        <f t="shared" si="14"/>
        <v>0</v>
      </c>
    </row>
    <row r="54" spans="2:27">
      <c r="B54" s="62" t="s">
        <v>1575</v>
      </c>
      <c r="C54" s="527" t="s">
        <v>1571</v>
      </c>
      <c r="E54" s="67"/>
      <c r="F54" s="67"/>
      <c r="G54" s="67"/>
      <c r="H54" s="67"/>
      <c r="I54" s="429"/>
      <c r="J54" s="429">
        <f>B_Sheet13!S16</f>
        <v>-41825652.766011998</v>
      </c>
      <c r="K54" s="1651">
        <f t="shared" si="14"/>
        <v>-41825652.766011998</v>
      </c>
    </row>
    <row r="55" spans="2:27">
      <c r="B55" s="62" t="s">
        <v>1576</v>
      </c>
      <c r="C55" s="527" t="s">
        <v>1546</v>
      </c>
      <c r="E55" s="67"/>
      <c r="F55" s="67"/>
      <c r="G55" s="67"/>
      <c r="H55" s="67"/>
      <c r="I55" s="67"/>
      <c r="J55" s="58"/>
      <c r="K55" s="1651">
        <f t="shared" si="14"/>
        <v>0</v>
      </c>
    </row>
    <row r="56" spans="2:27">
      <c r="B56" s="62" t="s">
        <v>1577</v>
      </c>
      <c r="C56" s="527" t="s">
        <v>2</v>
      </c>
      <c r="E56" s="67"/>
      <c r="F56" s="67"/>
      <c r="G56" s="67"/>
      <c r="H56" s="67"/>
      <c r="I56" s="67"/>
      <c r="J56" s="67"/>
      <c r="K56" s="1651">
        <f t="shared" si="14"/>
        <v>0</v>
      </c>
    </row>
    <row r="57" spans="2:27">
      <c r="B57" s="62" t="s">
        <v>1578</v>
      </c>
      <c r="C57" s="527" t="s">
        <v>1566</v>
      </c>
      <c r="E57" s="58"/>
      <c r="F57" s="67"/>
      <c r="G57" s="67"/>
      <c r="H57" s="67"/>
      <c r="I57" s="67"/>
      <c r="J57" s="67"/>
      <c r="K57" s="1651">
        <f t="shared" si="14"/>
        <v>0</v>
      </c>
    </row>
    <row r="58" spans="2:27">
      <c r="B58" s="62" t="s">
        <v>1579</v>
      </c>
      <c r="C58" s="527" t="s">
        <v>1569</v>
      </c>
      <c r="E58" s="67"/>
      <c r="F58" s="67"/>
      <c r="G58" s="67"/>
      <c r="H58" s="67"/>
      <c r="I58" s="67"/>
      <c r="J58" s="67"/>
      <c r="K58" s="1651">
        <f t="shared" si="14"/>
        <v>0</v>
      </c>
    </row>
    <row r="59" spans="2:27">
      <c r="B59" s="222" t="s">
        <v>1162</v>
      </c>
      <c r="C59" s="525" t="s">
        <v>1707</v>
      </c>
      <c r="D59" s="458"/>
      <c r="E59" s="1652">
        <f t="shared" ref="E59:K59" si="15">SUM(E51:E58)</f>
        <v>100000</v>
      </c>
      <c r="F59" s="1652">
        <f t="shared" si="15"/>
        <v>0</v>
      </c>
      <c r="G59" s="1652">
        <f t="shared" si="15"/>
        <v>0</v>
      </c>
      <c r="H59" s="1652">
        <f t="shared" si="15"/>
        <v>0</v>
      </c>
      <c r="I59" s="1652">
        <f t="shared" si="15"/>
        <v>0</v>
      </c>
      <c r="J59" s="1652">
        <f t="shared" si="15"/>
        <v>-73181937.269497991</v>
      </c>
      <c r="K59" s="1652">
        <f t="shared" si="15"/>
        <v>-73081937.269497991</v>
      </c>
    </row>
    <row r="82" spans="2:15" hidden="1"/>
    <row r="83" spans="2:15" hidden="1"/>
    <row r="84" spans="2:15" ht="13.5" hidden="1" thickBot="1">
      <c r="E84" s="67"/>
      <c r="F84" s="67"/>
      <c r="G84" s="253"/>
      <c r="H84" s="67"/>
      <c r="I84" s="67"/>
      <c r="J84" s="67"/>
      <c r="K84" s="67"/>
      <c r="N84" s="222"/>
      <c r="O84" s="251"/>
    </row>
    <row r="85" spans="2:15" s="459" customFormat="1" ht="16.5" hidden="1" customHeight="1">
      <c r="B85" s="457"/>
      <c r="C85" s="1732" t="s">
        <v>1430</v>
      </c>
      <c r="D85" s="458"/>
      <c r="E85" s="1735" t="s">
        <v>1547</v>
      </c>
      <c r="F85" s="1736"/>
      <c r="G85" s="1736"/>
      <c r="H85" s="1736"/>
      <c r="I85" s="1736"/>
      <c r="J85" s="1736"/>
      <c r="K85" s="1737"/>
      <c r="N85" s="460"/>
    </row>
    <row r="86" spans="2:15" s="459" customFormat="1" hidden="1">
      <c r="B86" s="461"/>
      <c r="C86" s="1733"/>
      <c r="D86" s="458"/>
      <c r="E86" s="438" t="s">
        <v>1232</v>
      </c>
      <c r="F86" s="439" t="s">
        <v>1549</v>
      </c>
      <c r="G86" s="439" t="s">
        <v>1563</v>
      </c>
      <c r="H86" s="439" t="s">
        <v>1233</v>
      </c>
      <c r="I86" s="439" t="s">
        <v>1555</v>
      </c>
      <c r="J86" s="439" t="s">
        <v>1559</v>
      </c>
      <c r="K86" s="1738" t="s">
        <v>1319</v>
      </c>
      <c r="N86" s="460"/>
    </row>
    <row r="87" spans="2:15" s="459" customFormat="1" hidden="1">
      <c r="B87" s="461"/>
      <c r="C87" s="1733"/>
      <c r="D87" s="458"/>
      <c r="E87" s="440" t="s">
        <v>1548</v>
      </c>
      <c r="F87" s="441" t="s">
        <v>1550</v>
      </c>
      <c r="G87" s="441" t="s">
        <v>1551</v>
      </c>
      <c r="H87" s="441" t="s">
        <v>1552</v>
      </c>
      <c r="I87" s="441" t="s">
        <v>1556</v>
      </c>
      <c r="J87" s="441" t="s">
        <v>1580</v>
      </c>
      <c r="K87" s="1739"/>
      <c r="N87" s="460"/>
    </row>
    <row r="88" spans="2:15" s="459" customFormat="1" hidden="1">
      <c r="B88" s="461"/>
      <c r="C88" s="1733"/>
      <c r="D88" s="458"/>
      <c r="E88" s="440"/>
      <c r="F88" s="441"/>
      <c r="G88" s="441"/>
      <c r="H88" s="441" t="s">
        <v>1553</v>
      </c>
      <c r="I88" s="441" t="s">
        <v>1557</v>
      </c>
      <c r="J88" s="441"/>
      <c r="K88" s="1739"/>
      <c r="N88" s="460"/>
    </row>
    <row r="89" spans="2:15" s="459" customFormat="1" ht="13.5" hidden="1" thickBot="1">
      <c r="B89" s="462"/>
      <c r="C89" s="1734"/>
      <c r="D89" s="458"/>
      <c r="E89" s="442"/>
      <c r="F89" s="443"/>
      <c r="G89" s="443"/>
      <c r="H89" s="443" t="s">
        <v>1554</v>
      </c>
      <c r="I89" s="443" t="s">
        <v>1558</v>
      </c>
      <c r="J89" s="443"/>
      <c r="K89" s="1740"/>
      <c r="N89" s="460"/>
    </row>
    <row r="90" spans="2:15" ht="22.5" hidden="1" customHeight="1">
      <c r="B90" s="205"/>
      <c r="C90" s="205"/>
      <c r="E90" s="255"/>
      <c r="F90" s="256"/>
      <c r="G90" s="256"/>
      <c r="H90" s="256"/>
      <c r="I90" s="256"/>
      <c r="J90" s="256"/>
      <c r="K90" s="513"/>
    </row>
    <row r="91" spans="2:15" ht="23.1" hidden="1" customHeight="1">
      <c r="B91" s="257"/>
      <c r="C91" s="436" t="s">
        <v>1567</v>
      </c>
      <c r="E91" s="444">
        <v>100000</v>
      </c>
      <c r="F91" s="445">
        <v>0</v>
      </c>
      <c r="G91" s="445">
        <v>0</v>
      </c>
      <c r="H91" s="445">
        <v>10000</v>
      </c>
      <c r="I91" s="445">
        <v>0</v>
      </c>
      <c r="J91" s="445">
        <v>0</v>
      </c>
      <c r="K91" s="514">
        <v>110000</v>
      </c>
    </row>
    <row r="92" spans="2:15" ht="22.5" hidden="1" customHeight="1">
      <c r="B92" s="203"/>
      <c r="C92" s="369" t="s">
        <v>1564</v>
      </c>
      <c r="E92" s="446"/>
      <c r="F92" s="447"/>
      <c r="G92" s="447"/>
      <c r="H92" s="447"/>
      <c r="I92" s="447"/>
      <c r="J92" s="447"/>
      <c r="K92" s="515">
        <f>SUM(E92:J92)</f>
        <v>0</v>
      </c>
    </row>
    <row r="93" spans="2:15" ht="22.5" hidden="1" customHeight="1">
      <c r="B93" s="204"/>
      <c r="C93" s="370"/>
      <c r="E93" s="448"/>
      <c r="F93" s="449"/>
      <c r="G93" s="449"/>
      <c r="H93" s="449"/>
      <c r="I93" s="449"/>
      <c r="J93" s="449"/>
      <c r="K93" s="516">
        <f>SUM(E93:J93)</f>
        <v>0</v>
      </c>
    </row>
    <row r="94" spans="2:15" ht="23.1" hidden="1" customHeight="1">
      <c r="B94" s="257" t="s">
        <v>752</v>
      </c>
      <c r="C94" s="436" t="s">
        <v>1565</v>
      </c>
      <c r="E94" s="444">
        <v>100000</v>
      </c>
      <c r="F94" s="445">
        <v>0</v>
      </c>
      <c r="G94" s="445">
        <v>0</v>
      </c>
      <c r="H94" s="445">
        <v>10000</v>
      </c>
      <c r="I94" s="445">
        <v>0</v>
      </c>
      <c r="J94" s="445">
        <v>0</v>
      </c>
      <c r="K94" s="514">
        <v>110000</v>
      </c>
    </row>
    <row r="95" spans="2:15" ht="25.5" hidden="1">
      <c r="B95" s="258" t="s">
        <v>1573</v>
      </c>
      <c r="C95" s="371" t="s">
        <v>0</v>
      </c>
      <c r="E95" s="450"/>
      <c r="F95" s="451"/>
      <c r="G95" s="451"/>
      <c r="H95" s="451"/>
      <c r="I95" s="451"/>
      <c r="J95" s="451">
        <v>14018033</v>
      </c>
      <c r="K95" s="517">
        <f t="shared" ref="K95:K101" si="16">SUM(E95:J95)</f>
        <v>14018033</v>
      </c>
    </row>
    <row r="96" spans="2:15" ht="25.5" hidden="1">
      <c r="B96" s="204" t="s">
        <v>1574</v>
      </c>
      <c r="C96" s="370" t="s">
        <v>5</v>
      </c>
      <c r="E96" s="448"/>
      <c r="F96" s="449"/>
      <c r="G96" s="449"/>
      <c r="H96" s="449"/>
      <c r="I96" s="449"/>
      <c r="J96" s="449"/>
      <c r="K96" s="516">
        <f t="shared" si="16"/>
        <v>0</v>
      </c>
    </row>
    <row r="97" spans="2:11" ht="23.1" hidden="1" customHeight="1">
      <c r="B97" s="206" t="s">
        <v>1575</v>
      </c>
      <c r="C97" s="372" t="s">
        <v>1571</v>
      </c>
      <c r="E97" s="452"/>
      <c r="F97" s="453"/>
      <c r="G97" s="453"/>
      <c r="H97" s="453"/>
      <c r="I97" s="453"/>
      <c r="J97" s="453">
        <v>23469126</v>
      </c>
      <c r="K97" s="518">
        <f t="shared" si="16"/>
        <v>23469126</v>
      </c>
    </row>
    <row r="98" spans="2:11" ht="23.1" hidden="1" customHeight="1">
      <c r="B98" s="206" t="s">
        <v>1576</v>
      </c>
      <c r="C98" s="372" t="s">
        <v>1546</v>
      </c>
      <c r="E98" s="452"/>
      <c r="F98" s="453"/>
      <c r="G98" s="453"/>
      <c r="H98" s="453"/>
      <c r="I98" s="453"/>
      <c r="J98" s="453"/>
      <c r="K98" s="518">
        <f t="shared" si="16"/>
        <v>0</v>
      </c>
    </row>
    <row r="99" spans="2:11" ht="23.1" hidden="1" customHeight="1">
      <c r="B99" s="204" t="s">
        <v>1577</v>
      </c>
      <c r="C99" s="370" t="s">
        <v>2</v>
      </c>
      <c r="E99" s="448"/>
      <c r="F99" s="449"/>
      <c r="G99" s="449"/>
      <c r="H99" s="449"/>
      <c r="I99" s="449"/>
      <c r="J99" s="449"/>
      <c r="K99" s="516">
        <f t="shared" si="16"/>
        <v>0</v>
      </c>
    </row>
    <row r="100" spans="2:11" ht="23.1" hidden="1" customHeight="1">
      <c r="B100" s="206" t="s">
        <v>1578</v>
      </c>
      <c r="C100" s="372" t="s">
        <v>1566</v>
      </c>
      <c r="E100" s="452"/>
      <c r="F100" s="453"/>
      <c r="G100" s="453"/>
      <c r="H100" s="453"/>
      <c r="I100" s="453"/>
      <c r="J100" s="453"/>
      <c r="K100" s="518">
        <f t="shared" si="16"/>
        <v>0</v>
      </c>
    </row>
    <row r="101" spans="2:11" ht="23.1" hidden="1" customHeight="1">
      <c r="B101" s="204" t="s">
        <v>1579</v>
      </c>
      <c r="C101" s="371" t="s">
        <v>1569</v>
      </c>
      <c r="E101" s="450"/>
      <c r="F101" s="451"/>
      <c r="G101" s="451"/>
      <c r="H101" s="451"/>
      <c r="I101" s="451"/>
      <c r="J101" s="451"/>
      <c r="K101" s="517">
        <f t="shared" si="16"/>
        <v>0</v>
      </c>
    </row>
    <row r="102" spans="2:11" ht="23.1" hidden="1" customHeight="1">
      <c r="B102" s="257" t="s">
        <v>757</v>
      </c>
      <c r="C102" s="436" t="s">
        <v>1570</v>
      </c>
      <c r="E102" s="444">
        <v>100000</v>
      </c>
      <c r="F102" s="445">
        <v>0</v>
      </c>
      <c r="G102" s="445">
        <v>0</v>
      </c>
      <c r="H102" s="445">
        <v>10000</v>
      </c>
      <c r="I102" s="445">
        <v>0</v>
      </c>
      <c r="J102" s="445">
        <v>37487159</v>
      </c>
      <c r="K102" s="514">
        <v>37597159</v>
      </c>
    </row>
    <row r="103" spans="2:11" ht="25.5" hidden="1">
      <c r="B103" s="258" t="s">
        <v>1573</v>
      </c>
      <c r="C103" s="371" t="s">
        <v>0</v>
      </c>
      <c r="E103" s="454"/>
      <c r="F103" s="455"/>
      <c r="G103" s="455"/>
      <c r="H103" s="455"/>
      <c r="I103" s="455"/>
      <c r="J103" s="455"/>
      <c r="K103" s="519">
        <f t="shared" ref="K103:K109" si="17">SUM(E103:J103)</f>
        <v>0</v>
      </c>
    </row>
    <row r="104" spans="2:11" ht="25.5" hidden="1">
      <c r="B104" s="204" t="s">
        <v>1574</v>
      </c>
      <c r="C104" s="370" t="s">
        <v>488</v>
      </c>
      <c r="E104" s="452"/>
      <c r="F104" s="453"/>
      <c r="G104" s="453"/>
      <c r="H104" s="453"/>
      <c r="I104" s="453"/>
      <c r="J104" s="453"/>
      <c r="K104" s="518">
        <f t="shared" si="17"/>
        <v>0</v>
      </c>
    </row>
    <row r="105" spans="2:11" ht="23.1" hidden="1" customHeight="1">
      <c r="B105" s="206" t="s">
        <v>1575</v>
      </c>
      <c r="C105" s="372" t="s">
        <v>1571</v>
      </c>
      <c r="E105" s="452"/>
      <c r="F105" s="453"/>
      <c r="G105" s="453"/>
      <c r="H105" s="453"/>
      <c r="I105" s="453"/>
      <c r="J105" s="453">
        <f>+[3]B_Sheet09!R106</f>
        <v>20567604</v>
      </c>
      <c r="K105" s="518">
        <f>SUM(E105:J105)</f>
        <v>20567604</v>
      </c>
    </row>
    <row r="106" spans="2:11" ht="23.1" hidden="1" customHeight="1">
      <c r="B106" s="206" t="s">
        <v>1576</v>
      </c>
      <c r="C106" s="372" t="s">
        <v>1546</v>
      </c>
      <c r="E106" s="452"/>
      <c r="F106" s="453"/>
      <c r="G106" s="453"/>
      <c r="H106" s="453"/>
      <c r="I106" s="453"/>
      <c r="J106" s="453"/>
      <c r="K106" s="518">
        <f t="shared" si="17"/>
        <v>0</v>
      </c>
    </row>
    <row r="107" spans="2:11" ht="23.1" hidden="1" customHeight="1">
      <c r="B107" s="204" t="s">
        <v>1577</v>
      </c>
      <c r="C107" s="370" t="s">
        <v>2</v>
      </c>
      <c r="E107" s="452"/>
      <c r="F107" s="453"/>
      <c r="G107" s="453"/>
      <c r="H107" s="453"/>
      <c r="I107" s="453"/>
      <c r="J107" s="453"/>
      <c r="K107" s="518">
        <f t="shared" si="17"/>
        <v>0</v>
      </c>
    </row>
    <row r="108" spans="2:11" ht="23.1" hidden="1" customHeight="1">
      <c r="B108" s="206" t="s">
        <v>1578</v>
      </c>
      <c r="C108" s="372" t="s">
        <v>1566</v>
      </c>
      <c r="E108" s="452"/>
      <c r="F108" s="453"/>
      <c r="G108" s="453"/>
      <c r="H108" s="453"/>
      <c r="I108" s="453"/>
      <c r="J108" s="453"/>
      <c r="K108" s="518">
        <f t="shared" si="17"/>
        <v>0</v>
      </c>
    </row>
    <row r="109" spans="2:11" ht="23.1" hidden="1" customHeight="1">
      <c r="B109" s="204" t="s">
        <v>1579</v>
      </c>
      <c r="C109" s="371" t="s">
        <v>1569</v>
      </c>
      <c r="E109" s="456"/>
      <c r="F109" s="76"/>
      <c r="G109" s="453"/>
      <c r="H109" s="453"/>
      <c r="I109" s="453"/>
      <c r="J109" s="453"/>
      <c r="K109" s="518">
        <f t="shared" si="17"/>
        <v>0</v>
      </c>
    </row>
    <row r="110" spans="2:11" ht="23.1" hidden="1" customHeight="1" thickBot="1">
      <c r="B110" s="259" t="s">
        <v>1162</v>
      </c>
      <c r="C110" s="437" t="s">
        <v>1572</v>
      </c>
      <c r="D110" s="458"/>
      <c r="E110" s="520">
        <f>SUM(E102:E109)</f>
        <v>100000</v>
      </c>
      <c r="F110" s="521">
        <f t="shared" ref="F110:K110" si="18">SUM(F102:F109)</f>
        <v>0</v>
      </c>
      <c r="G110" s="521">
        <f t="shared" si="18"/>
        <v>0</v>
      </c>
      <c r="H110" s="521">
        <f t="shared" si="18"/>
        <v>10000</v>
      </c>
      <c r="I110" s="521">
        <f t="shared" si="18"/>
        <v>0</v>
      </c>
      <c r="J110" s="521">
        <f t="shared" si="18"/>
        <v>58054763</v>
      </c>
      <c r="K110" s="521">
        <f t="shared" si="18"/>
        <v>58164763</v>
      </c>
    </row>
    <row r="111" spans="2:11" hidden="1"/>
    <row r="112" spans="2:11" hidden="1"/>
    <row r="113" spans="10:11">
      <c r="J113" s="463"/>
      <c r="K113" s="463"/>
    </row>
  </sheetData>
  <mergeCells count="7">
    <mergeCell ref="S2:S5"/>
    <mergeCell ref="K3:K6"/>
    <mergeCell ref="C85:C89"/>
    <mergeCell ref="E85:K85"/>
    <mergeCell ref="K86:K89"/>
    <mergeCell ref="C2:C6"/>
    <mergeCell ref="E2:K2"/>
  </mergeCells>
  <phoneticPr fontId="88" type="noConversion"/>
  <pageMargins left="0.19685039370078741" right="0.23622047244094491" top="0.86614173228346458" bottom="0.98425196850393704" header="0.51181102362204722" footer="0.51181102362204722"/>
  <pageSetup scale="85" orientation="landscape" r:id="rId1"/>
  <headerFooter alignWithMargins="0"/>
  <rowBreaks count="1" manualBreakCount="1">
    <brk id="5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3">
    <tabColor rgb="FFFFCCFF"/>
  </sheetPr>
  <dimension ref="B1:N88"/>
  <sheetViews>
    <sheetView showGridLines="0" topLeftCell="A46" workbookViewId="0">
      <selection activeCell="F79" sqref="F79"/>
    </sheetView>
  </sheetViews>
  <sheetFormatPr defaultRowHeight="12.75" outlineLevelRow="1" outlineLevelCol="1"/>
  <cols>
    <col min="1" max="1" width="1.7109375" style="59" customWidth="1"/>
    <col min="2" max="2" width="3.42578125" style="59" customWidth="1"/>
    <col min="3" max="3" width="49.140625" style="59" customWidth="1"/>
    <col min="4" max="4" width="9.7109375" style="263" customWidth="1"/>
    <col min="5" max="5" width="3.28515625" style="1012" customWidth="1"/>
    <col min="6" max="6" width="13.42578125" style="1012" customWidth="1"/>
    <col min="7" max="7" width="13.85546875" style="1012" customWidth="1"/>
    <col min="8" max="8" width="2.5703125" style="60" customWidth="1"/>
    <col min="9" max="9" width="9.85546875" style="263" hidden="1" customWidth="1"/>
    <col min="10" max="10" width="2.140625" style="59" hidden="1" customWidth="1" outlineLevel="1"/>
    <col min="11" max="11" width="13.85546875" style="59" hidden="1" customWidth="1" outlineLevel="1"/>
    <col min="12" max="12" width="2.7109375" style="59" hidden="1" customWidth="1"/>
    <col min="13" max="13" width="3.140625" style="59" customWidth="1"/>
    <col min="14" max="14" width="13.85546875" style="59" bestFit="1" customWidth="1"/>
    <col min="15" max="16384" width="9.140625" style="59"/>
  </cols>
  <sheetData>
    <row r="1" spans="3:12" s="60" customFormat="1">
      <c r="D1" s="1012"/>
      <c r="E1" s="1012"/>
      <c r="F1" s="1012"/>
      <c r="G1" s="1012"/>
      <c r="I1" s="1012"/>
    </row>
    <row r="2" spans="3:12" s="60" customFormat="1">
      <c r="C2" s="483" t="s">
        <v>73</v>
      </c>
      <c r="D2" s="1012"/>
      <c r="E2" s="1012"/>
      <c r="F2" s="1012"/>
      <c r="G2" s="1012"/>
      <c r="I2" s="1012"/>
    </row>
    <row r="3" spans="3:12" s="60" customFormat="1">
      <c r="C3" s="483" t="s">
        <v>1705</v>
      </c>
      <c r="D3" s="484"/>
      <c r="E3" s="485"/>
      <c r="F3" s="485"/>
      <c r="G3" s="485"/>
      <c r="H3" s="485"/>
      <c r="I3" s="485"/>
      <c r="J3" s="485"/>
      <c r="K3" s="485"/>
    </row>
    <row r="4" spans="3:12" s="60" customFormat="1">
      <c r="C4" s="483"/>
      <c r="D4" s="484"/>
      <c r="E4" s="485"/>
      <c r="F4" s="485"/>
      <c r="G4" s="485"/>
      <c r="H4" s="485"/>
      <c r="I4" s="485"/>
      <c r="J4" s="485"/>
      <c r="K4" s="485"/>
    </row>
    <row r="5" spans="3:12" s="60" customFormat="1">
      <c r="D5" s="484"/>
      <c r="E5" s="485"/>
      <c r="F5" s="485"/>
      <c r="G5" s="485"/>
      <c r="H5" s="485"/>
      <c r="I5" s="485"/>
      <c r="J5" s="485"/>
      <c r="K5" s="485"/>
    </row>
    <row r="6" spans="3:12" s="60" customFormat="1">
      <c r="C6" s="486"/>
      <c r="D6" s="484"/>
      <c r="E6" s="1013"/>
      <c r="F6" s="1013" t="s">
        <v>74</v>
      </c>
      <c r="G6" s="1013" t="s">
        <v>74</v>
      </c>
      <c r="H6" s="487"/>
      <c r="I6" s="1013" t="s">
        <v>74</v>
      </c>
      <c r="J6" s="487"/>
      <c r="K6" s="487" t="s">
        <v>74</v>
      </c>
    </row>
    <row r="7" spans="3:12" s="60" customFormat="1">
      <c r="C7" s="488"/>
      <c r="D7" s="488" t="s">
        <v>1540</v>
      </c>
      <c r="E7" s="489"/>
      <c r="F7" s="490" t="s">
        <v>406</v>
      </c>
      <c r="G7" s="490" t="s">
        <v>295</v>
      </c>
      <c r="H7" s="489"/>
      <c r="I7" s="490" t="s">
        <v>1401</v>
      </c>
      <c r="J7" s="489"/>
      <c r="K7" s="490" t="s">
        <v>890</v>
      </c>
    </row>
    <row r="8" spans="3:12" s="60" customFormat="1">
      <c r="C8" s="491" t="s">
        <v>75</v>
      </c>
      <c r="D8" s="488"/>
      <c r="E8" s="489"/>
      <c r="F8" s="489"/>
      <c r="G8" s="489"/>
      <c r="H8" s="489"/>
      <c r="I8" s="489"/>
      <c r="J8" s="489"/>
      <c r="K8" s="489"/>
      <c r="L8" s="419"/>
    </row>
    <row r="9" spans="3:12" s="60" customFormat="1">
      <c r="C9" s="488"/>
      <c r="D9" s="488"/>
      <c r="E9" s="489"/>
      <c r="F9" s="489"/>
      <c r="G9" s="489"/>
      <c r="H9" s="489"/>
      <c r="I9" s="489"/>
      <c r="J9" s="489"/>
      <c r="K9" s="489"/>
      <c r="L9" s="419"/>
    </row>
    <row r="10" spans="3:12">
      <c r="C10" s="491" t="s">
        <v>1419</v>
      </c>
      <c r="D10" s="488"/>
      <c r="E10" s="489"/>
      <c r="F10" s="494">
        <f>'P&amp;L13'!F113</f>
        <v>-41825652.766011983</v>
      </c>
      <c r="G10" s="494">
        <f>'P&amp;L13'!G113</f>
        <v>-28812979.633486006</v>
      </c>
      <c r="H10" s="489"/>
      <c r="I10" s="489"/>
      <c r="J10" s="489"/>
      <c r="K10" s="489"/>
      <c r="L10" s="421"/>
    </row>
    <row r="11" spans="3:12">
      <c r="C11" s="492" t="s">
        <v>76</v>
      </c>
      <c r="D11" s="493"/>
      <c r="E11" s="494"/>
      <c r="F11" s="494"/>
      <c r="G11" s="494"/>
      <c r="H11" s="494"/>
      <c r="I11" s="494"/>
      <c r="J11" s="494"/>
      <c r="K11" s="494"/>
      <c r="L11" s="421"/>
    </row>
    <row r="12" spans="3:12">
      <c r="C12" s="492" t="s">
        <v>77</v>
      </c>
      <c r="D12" s="493"/>
      <c r="E12" s="494"/>
      <c r="F12" s="494">
        <f>'P&amp;L13'!F46</f>
        <v>0</v>
      </c>
      <c r="G12" s="494">
        <f>'P&amp;L13'!G46</f>
        <v>0</v>
      </c>
      <c r="H12" s="494"/>
      <c r="I12" s="494"/>
      <c r="J12" s="494"/>
      <c r="K12" s="494"/>
      <c r="L12" s="421"/>
    </row>
    <row r="13" spans="3:12">
      <c r="C13" s="492" t="s">
        <v>78</v>
      </c>
      <c r="D13" s="493"/>
      <c r="E13" s="494"/>
      <c r="F13" s="494"/>
      <c r="G13" s="494"/>
      <c r="H13" s="494"/>
      <c r="I13" s="494"/>
      <c r="J13" s="494"/>
      <c r="K13" s="494"/>
      <c r="L13" s="421"/>
    </row>
    <row r="14" spans="3:12">
      <c r="C14" s="492" t="s">
        <v>79</v>
      </c>
      <c r="D14" s="493"/>
      <c r="E14" s="494"/>
      <c r="F14" s="494"/>
      <c r="G14" s="494"/>
      <c r="H14" s="494"/>
      <c r="I14" s="494"/>
      <c r="J14" s="494"/>
      <c r="K14" s="494"/>
      <c r="L14" s="421"/>
    </row>
    <row r="15" spans="3:12">
      <c r="C15" s="1743" t="s">
        <v>80</v>
      </c>
      <c r="D15" s="493"/>
      <c r="E15" s="494"/>
      <c r="F15" s="494"/>
      <c r="G15" s="494"/>
      <c r="H15" s="494"/>
      <c r="I15" s="494"/>
      <c r="J15" s="494"/>
      <c r="K15" s="494"/>
      <c r="L15" s="421"/>
    </row>
    <row r="16" spans="3:12">
      <c r="C16" s="1743"/>
      <c r="D16" s="493"/>
      <c r="E16" s="494"/>
      <c r="F16" s="494"/>
      <c r="G16" s="494"/>
      <c r="H16" s="494"/>
      <c r="I16" s="494"/>
      <c r="J16" s="494"/>
      <c r="K16" s="494"/>
      <c r="L16" s="421"/>
    </row>
    <row r="17" spans="3:12">
      <c r="C17" s="492" t="s">
        <v>81</v>
      </c>
      <c r="D17" s="493"/>
      <c r="E17" s="494"/>
      <c r="F17" s="494"/>
      <c r="G17" s="494"/>
      <c r="H17" s="494"/>
      <c r="I17" s="494"/>
      <c r="J17" s="494"/>
      <c r="K17" s="494"/>
      <c r="L17" s="421"/>
    </row>
    <row r="18" spans="3:12">
      <c r="C18" s="492" t="s">
        <v>82</v>
      </c>
      <c r="D18" s="493"/>
      <c r="E18" s="494"/>
      <c r="F18" s="494"/>
      <c r="G18" s="494"/>
      <c r="H18" s="494"/>
      <c r="I18" s="494"/>
      <c r="J18" s="494"/>
      <c r="K18" s="494"/>
      <c r="L18" s="421"/>
    </row>
    <row r="19" spans="3:12">
      <c r="C19" s="492" t="s">
        <v>83</v>
      </c>
      <c r="D19" s="493"/>
      <c r="E19" s="494"/>
      <c r="F19" s="494"/>
      <c r="G19" s="494"/>
      <c r="H19" s="494"/>
      <c r="I19" s="494"/>
      <c r="J19" s="494"/>
      <c r="K19" s="494"/>
      <c r="L19" s="421"/>
    </row>
    <row r="20" spans="3:12">
      <c r="C20" s="492" t="s">
        <v>84</v>
      </c>
      <c r="D20" s="493"/>
      <c r="E20" s="494"/>
      <c r="F20" s="494"/>
      <c r="G20" s="494"/>
      <c r="H20" s="494"/>
      <c r="I20" s="494"/>
      <c r="J20" s="494"/>
      <c r="K20" s="494"/>
      <c r="L20" s="421"/>
    </row>
    <row r="21" spans="3:12">
      <c r="C21" s="1743" t="s">
        <v>85</v>
      </c>
      <c r="D21" s="493"/>
      <c r="E21" s="494"/>
      <c r="F21" s="494"/>
      <c r="G21" s="494"/>
      <c r="H21" s="494"/>
      <c r="I21" s="494"/>
      <c r="J21" s="494"/>
      <c r="K21" s="494"/>
      <c r="L21" s="421"/>
    </row>
    <row r="22" spans="3:12">
      <c r="C22" s="1743"/>
      <c r="D22" s="493"/>
      <c r="E22" s="494"/>
      <c r="F22" s="494"/>
      <c r="G22" s="494"/>
      <c r="H22" s="494"/>
      <c r="I22" s="494"/>
      <c r="J22" s="494"/>
      <c r="K22" s="494"/>
      <c r="L22" s="421"/>
    </row>
    <row r="23" spans="3:12">
      <c r="C23" s="492" t="s">
        <v>86</v>
      </c>
      <c r="D23" s="493"/>
      <c r="E23" s="494"/>
      <c r="F23" s="494"/>
      <c r="G23" s="494"/>
      <c r="H23" s="494"/>
      <c r="I23" s="494"/>
      <c r="J23" s="494"/>
      <c r="K23" s="494"/>
      <c r="L23" s="421"/>
    </row>
    <row r="24" spans="3:12">
      <c r="C24" s="492" t="s">
        <v>87</v>
      </c>
      <c r="D24" s="493"/>
      <c r="E24" s="494"/>
      <c r="F24" s="967"/>
      <c r="G24" s="967"/>
      <c r="H24" s="494"/>
      <c r="I24" s="494"/>
      <c r="J24" s="494"/>
      <c r="K24" s="494"/>
      <c r="L24" s="421"/>
    </row>
    <row r="25" spans="3:12">
      <c r="C25" s="491" t="s">
        <v>88</v>
      </c>
      <c r="D25" s="493"/>
      <c r="E25" s="489"/>
      <c r="F25" s="495">
        <f>SUM(F10:F24)</f>
        <v>-41825652.766011983</v>
      </c>
      <c r="G25" s="495">
        <f>SUM(G10:G24)</f>
        <v>-28812979.633486006</v>
      </c>
      <c r="H25" s="489"/>
      <c r="I25" s="495">
        <f>SUM(I10:I24)</f>
        <v>0</v>
      </c>
      <c r="J25" s="489"/>
      <c r="K25" s="495">
        <f>SUM(K10:K24)</f>
        <v>0</v>
      </c>
      <c r="L25" s="421"/>
    </row>
    <row r="26" spans="3:12">
      <c r="L26" s="421"/>
    </row>
    <row r="27" spans="3:12">
      <c r="C27" s="492" t="s">
        <v>89</v>
      </c>
      <c r="D27" s="493"/>
      <c r="E27" s="496"/>
      <c r="F27" s="496">
        <f>B_Sheet13!K65</f>
        <v>-773340.19160000049</v>
      </c>
      <c r="G27" s="496">
        <f>B_Sheet13!L65</f>
        <v>-6968030</v>
      </c>
      <c r="H27" s="496"/>
      <c r="I27" s="496"/>
      <c r="J27" s="496"/>
      <c r="K27" s="496"/>
      <c r="L27" s="421"/>
    </row>
    <row r="28" spans="3:12">
      <c r="C28" s="492" t="s">
        <v>90</v>
      </c>
      <c r="D28" s="493"/>
      <c r="E28" s="496"/>
      <c r="F28" s="496">
        <f>B_Sheet13!K27</f>
        <v>0</v>
      </c>
      <c r="G28" s="496">
        <f>B_Sheet13!L27</f>
        <v>0</v>
      </c>
      <c r="H28" s="496"/>
      <c r="I28" s="496"/>
      <c r="J28" s="496"/>
      <c r="K28" s="496"/>
      <c r="L28" s="421"/>
    </row>
    <row r="29" spans="3:12">
      <c r="C29" s="492" t="s">
        <v>91</v>
      </c>
      <c r="D29" s="493"/>
      <c r="E29" s="496"/>
      <c r="F29" s="496">
        <f>B_Sheet13!K79</f>
        <v>758307.62800000003</v>
      </c>
      <c r="G29" s="496">
        <f>B_Sheet13!L79</f>
        <v>-2890497.048</v>
      </c>
      <c r="H29" s="496"/>
      <c r="I29" s="496"/>
      <c r="J29" s="496"/>
      <c r="K29" s="496"/>
      <c r="L29" s="421"/>
    </row>
    <row r="30" spans="3:12">
      <c r="C30" s="492" t="s">
        <v>92</v>
      </c>
      <c r="D30" s="493"/>
      <c r="E30" s="496"/>
      <c r="F30" s="496">
        <f>B_Sheet13!V66</f>
        <v>13674374.606599992</v>
      </c>
      <c r="G30" s="496">
        <f>B_Sheet13!W66</f>
        <v>2948424.8534000032</v>
      </c>
      <c r="H30" s="496"/>
      <c r="I30" s="496"/>
      <c r="J30" s="496"/>
      <c r="K30" s="496"/>
      <c r="L30" s="421"/>
    </row>
    <row r="31" spans="3:12">
      <c r="C31" s="492" t="s">
        <v>197</v>
      </c>
      <c r="D31" s="493"/>
      <c r="E31" s="496"/>
      <c r="F31" s="496">
        <f>B_Sheet13!K66+B_Sheet13!K67</f>
        <v>970290.17000000016</v>
      </c>
      <c r="G31" s="496">
        <f>B_Sheet13!L66+B_Sheet13!L67</f>
        <v>-1801263.1400000001</v>
      </c>
      <c r="H31" s="496"/>
      <c r="I31" s="496"/>
      <c r="J31" s="496"/>
      <c r="K31" s="496"/>
      <c r="L31" s="421"/>
    </row>
    <row r="32" spans="3:12">
      <c r="C32" s="492" t="s">
        <v>198</v>
      </c>
      <c r="D32" s="493"/>
      <c r="E32" s="496"/>
      <c r="F32" s="496">
        <f>B_Sheet13!V67+B_Sheet13!V68+B_Sheet13!V70</f>
        <v>184429.24</v>
      </c>
      <c r="G32" s="496">
        <f>B_Sheet13!W67+B_Sheet13!W68+B_Sheet13!W70</f>
        <v>267385</v>
      </c>
      <c r="H32" s="496"/>
      <c r="I32" s="496"/>
      <c r="J32" s="496"/>
      <c r="K32" s="496"/>
      <c r="L32" s="421"/>
    </row>
    <row r="33" spans="3:12">
      <c r="C33" s="492" t="s">
        <v>93</v>
      </c>
      <c r="D33" s="493"/>
      <c r="E33" s="496"/>
      <c r="F33" s="496">
        <f>B_Sheet13!K75</f>
        <v>0</v>
      </c>
      <c r="G33" s="496">
        <f>B_Sheet13!L75</f>
        <v>1441625</v>
      </c>
      <c r="H33" s="496"/>
      <c r="I33" s="496"/>
      <c r="J33" s="496"/>
      <c r="K33" s="496"/>
      <c r="L33" s="421"/>
    </row>
    <row r="34" spans="3:12" s="498" customFormat="1">
      <c r="C34" s="492" t="s">
        <v>94</v>
      </c>
      <c r="D34" s="493"/>
      <c r="E34" s="496"/>
      <c r="F34" s="496"/>
      <c r="G34" s="496"/>
      <c r="H34" s="496"/>
      <c r="I34" s="496"/>
      <c r="J34" s="496"/>
      <c r="K34" s="496"/>
      <c r="L34" s="497"/>
    </row>
    <row r="35" spans="3:12" s="498" customFormat="1">
      <c r="C35" s="492" t="s">
        <v>95</v>
      </c>
      <c r="D35" s="493"/>
      <c r="E35" s="496"/>
      <c r="F35" s="496"/>
      <c r="G35" s="496"/>
      <c r="H35" s="496"/>
      <c r="I35" s="496"/>
      <c r="J35" s="496"/>
      <c r="K35" s="496"/>
      <c r="L35" s="497"/>
    </row>
    <row r="36" spans="3:12" s="498" customFormat="1">
      <c r="C36" s="491" t="s">
        <v>96</v>
      </c>
      <c r="D36" s="493"/>
      <c r="E36" s="499"/>
      <c r="F36" s="500">
        <f>SUM(F27:F35)</f>
        <v>14814061.452999992</v>
      </c>
      <c r="G36" s="500">
        <f>SUM(G27:G35)</f>
        <v>-7002355.3345999978</v>
      </c>
      <c r="H36" s="500"/>
      <c r="I36" s="500">
        <f>SUM(I27:I35)</f>
        <v>0</v>
      </c>
      <c r="J36" s="499"/>
      <c r="K36" s="500">
        <f>SUM(K25:K35)</f>
        <v>0</v>
      </c>
      <c r="L36" s="497"/>
    </row>
    <row r="37" spans="3:12" s="498" customFormat="1">
      <c r="C37" s="491"/>
      <c r="D37" s="493"/>
      <c r="E37" s="499"/>
      <c r="F37" s="499"/>
      <c r="G37" s="499"/>
      <c r="H37" s="499"/>
      <c r="I37" s="499"/>
      <c r="J37" s="499"/>
      <c r="K37" s="499"/>
      <c r="L37" s="497"/>
    </row>
    <row r="38" spans="3:12" s="498" customFormat="1">
      <c r="C38" s="491" t="s">
        <v>97</v>
      </c>
      <c r="D38" s="493"/>
      <c r="E38" s="496"/>
      <c r="F38" s="496"/>
      <c r="G38" s="496"/>
      <c r="H38" s="496"/>
      <c r="I38" s="496"/>
      <c r="J38" s="496"/>
      <c r="K38" s="496"/>
      <c r="L38" s="497"/>
    </row>
    <row r="39" spans="3:12" s="498" customFormat="1">
      <c r="C39" s="492" t="s">
        <v>98</v>
      </c>
      <c r="D39" s="493"/>
      <c r="E39" s="496"/>
      <c r="F39" s="496">
        <f>B_Sheet13!K84</f>
        <v>-100000</v>
      </c>
      <c r="G39" s="496"/>
      <c r="H39" s="496"/>
      <c r="I39" s="496"/>
      <c r="J39" s="496"/>
      <c r="K39" s="496"/>
      <c r="L39" s="497"/>
    </row>
    <row r="40" spans="3:12" s="498" customFormat="1">
      <c r="C40" s="492" t="s">
        <v>99</v>
      </c>
      <c r="D40" s="493"/>
      <c r="E40" s="496"/>
      <c r="F40" s="496"/>
      <c r="G40" s="496"/>
      <c r="H40" s="496"/>
      <c r="I40" s="496"/>
      <c r="J40" s="496"/>
      <c r="K40" s="496"/>
      <c r="L40" s="497"/>
    </row>
    <row r="41" spans="3:12" s="498" customFormat="1">
      <c r="C41" s="492" t="s">
        <v>100</v>
      </c>
      <c r="D41" s="493"/>
      <c r="E41" s="496"/>
      <c r="F41" s="496"/>
      <c r="G41" s="496"/>
      <c r="H41" s="496"/>
      <c r="I41" s="496"/>
      <c r="J41" s="496"/>
      <c r="K41" s="496"/>
      <c r="L41" s="497"/>
    </row>
    <row r="42" spans="3:12" s="498" customFormat="1">
      <c r="C42" s="492" t="s">
        <v>101</v>
      </c>
      <c r="D42" s="493"/>
      <c r="E42" s="496"/>
      <c r="F42" s="496"/>
      <c r="G42" s="496"/>
      <c r="H42" s="496"/>
      <c r="I42" s="496"/>
      <c r="J42" s="496"/>
      <c r="K42" s="496"/>
      <c r="L42" s="497"/>
    </row>
    <row r="43" spans="3:12" s="498" customFormat="1">
      <c r="C43" s="492" t="s">
        <v>102</v>
      </c>
      <c r="D43" s="493"/>
      <c r="E43" s="496"/>
      <c r="F43" s="496">
        <f>B_Sheet13!K94</f>
        <v>-9575683.2645999994</v>
      </c>
      <c r="G43" s="496">
        <f>B_Sheet13!L94</f>
        <v>-6383584.9154000022</v>
      </c>
      <c r="H43" s="496"/>
      <c r="I43" s="496"/>
      <c r="J43" s="496"/>
      <c r="K43" s="496"/>
      <c r="L43" s="497"/>
    </row>
    <row r="44" spans="3:12" s="498" customFormat="1">
      <c r="C44" s="492" t="s">
        <v>296</v>
      </c>
      <c r="D44" s="493"/>
      <c r="E44" s="496"/>
      <c r="F44" s="496">
        <f>B_Sheet13!K98</f>
        <v>197121</v>
      </c>
      <c r="G44" s="496">
        <f>B_Sheet13!L98</f>
        <v>-742249</v>
      </c>
      <c r="H44" s="496"/>
      <c r="I44" s="496"/>
      <c r="J44" s="496"/>
      <c r="K44" s="496"/>
      <c r="L44" s="497"/>
    </row>
    <row r="45" spans="3:12" s="498" customFormat="1">
      <c r="C45" s="492" t="s">
        <v>103</v>
      </c>
      <c r="D45" s="493"/>
      <c r="E45" s="496"/>
      <c r="F45" s="496"/>
      <c r="G45" s="496"/>
      <c r="H45" s="496"/>
      <c r="I45" s="496"/>
      <c r="J45" s="496"/>
      <c r="K45" s="496"/>
      <c r="L45" s="497"/>
    </row>
    <row r="46" spans="3:12" s="498" customFormat="1">
      <c r="C46" s="491" t="s">
        <v>104</v>
      </c>
      <c r="D46" s="493"/>
      <c r="E46" s="499"/>
      <c r="F46" s="500">
        <f>SUM(F39:F45)</f>
        <v>-9478562.2645999994</v>
      </c>
      <c r="G46" s="500">
        <f>SUM(G39:G45)</f>
        <v>-7125833.9154000022</v>
      </c>
      <c r="H46" s="499"/>
      <c r="I46" s="500">
        <f>SUM(I39:I45)</f>
        <v>0</v>
      </c>
      <c r="J46" s="499"/>
      <c r="K46" s="500">
        <f>SUM(K39:K45)</f>
        <v>0</v>
      </c>
      <c r="L46" s="497"/>
    </row>
    <row r="47" spans="3:12" s="498" customFormat="1">
      <c r="C47" s="492"/>
      <c r="D47" s="493"/>
      <c r="E47" s="496"/>
      <c r="F47" s="496"/>
      <c r="G47" s="496"/>
      <c r="H47" s="496"/>
      <c r="I47" s="496"/>
      <c r="J47" s="496"/>
      <c r="K47" s="496"/>
      <c r="L47" s="497"/>
    </row>
    <row r="48" spans="3:12" s="498" customFormat="1">
      <c r="C48" s="491" t="s">
        <v>105</v>
      </c>
      <c r="D48" s="493"/>
      <c r="E48" s="499"/>
      <c r="F48" s="499"/>
      <c r="G48" s="499"/>
      <c r="H48" s="499"/>
      <c r="I48" s="499"/>
      <c r="J48" s="499"/>
      <c r="K48" s="499"/>
      <c r="L48" s="497"/>
    </row>
    <row r="49" spans="3:12" s="498" customFormat="1">
      <c r="C49" s="492" t="s">
        <v>106</v>
      </c>
      <c r="D49" s="493"/>
      <c r="E49" s="496"/>
      <c r="F49" s="496"/>
      <c r="G49" s="496"/>
      <c r="H49" s="496"/>
      <c r="I49" s="496"/>
      <c r="J49" s="496"/>
      <c r="K49" s="496"/>
      <c r="L49" s="497"/>
    </row>
    <row r="50" spans="3:12" s="498" customFormat="1">
      <c r="C50" s="492" t="s">
        <v>107</v>
      </c>
      <c r="D50" s="493"/>
      <c r="E50" s="496"/>
      <c r="F50" s="496"/>
      <c r="G50" s="496"/>
      <c r="H50" s="496"/>
      <c r="I50" s="496"/>
      <c r="J50" s="496"/>
      <c r="K50" s="496"/>
      <c r="L50" s="497"/>
    </row>
    <row r="51" spans="3:12" s="498" customFormat="1">
      <c r="C51" s="492" t="s">
        <v>108</v>
      </c>
      <c r="D51" s="493"/>
      <c r="E51" s="496"/>
      <c r="F51" s="496"/>
      <c r="G51" s="496"/>
      <c r="H51" s="496"/>
      <c r="I51" s="496"/>
      <c r="J51" s="496"/>
      <c r="K51" s="496"/>
      <c r="L51" s="497"/>
    </row>
    <row r="52" spans="3:12" s="498" customFormat="1">
      <c r="C52" s="492" t="s">
        <v>110</v>
      </c>
      <c r="D52" s="493"/>
      <c r="E52" s="496"/>
      <c r="F52" s="496"/>
      <c r="G52" s="496"/>
      <c r="H52" s="496"/>
      <c r="I52" s="496"/>
      <c r="J52" s="496"/>
      <c r="K52" s="496"/>
      <c r="L52" s="497"/>
    </row>
    <row r="53" spans="3:12" s="498" customFormat="1">
      <c r="C53" s="492" t="s">
        <v>1690</v>
      </c>
      <c r="D53" s="493"/>
      <c r="E53" s="496"/>
      <c r="F53" s="496">
        <f>B_Sheet13!W14</f>
        <v>0</v>
      </c>
      <c r="G53" s="496">
        <f>B_Sheet13!X14</f>
        <v>0</v>
      </c>
      <c r="H53" s="496"/>
      <c r="I53" s="496"/>
      <c r="J53" s="496"/>
      <c r="K53" s="496"/>
      <c r="L53" s="497"/>
    </row>
    <row r="54" spans="3:12" s="498" customFormat="1">
      <c r="C54" s="492" t="s">
        <v>111</v>
      </c>
      <c r="D54" s="493"/>
      <c r="E54" s="496"/>
      <c r="F54" s="980"/>
      <c r="G54" s="980"/>
      <c r="H54" s="496"/>
      <c r="I54" s="496"/>
      <c r="J54" s="496"/>
      <c r="K54" s="496"/>
      <c r="L54" s="497"/>
    </row>
    <row r="55" spans="3:12" s="498" customFormat="1">
      <c r="C55" s="492" t="s">
        <v>112</v>
      </c>
      <c r="D55" s="493"/>
      <c r="E55" s="496"/>
      <c r="F55" s="496"/>
      <c r="G55" s="496"/>
      <c r="H55" s="496"/>
      <c r="I55" s="496"/>
      <c r="J55" s="496"/>
      <c r="K55" s="496"/>
      <c r="L55" s="497"/>
    </row>
    <row r="56" spans="3:12" s="498" customFormat="1">
      <c r="C56" s="492" t="s">
        <v>113</v>
      </c>
      <c r="D56" s="493"/>
      <c r="E56" s="496"/>
      <c r="F56" s="496"/>
      <c r="G56" s="496"/>
      <c r="H56" s="496"/>
      <c r="I56" s="496"/>
      <c r="J56" s="496"/>
      <c r="K56" s="496"/>
      <c r="L56" s="497"/>
    </row>
    <row r="57" spans="3:12" s="498" customFormat="1">
      <c r="C57" s="492" t="s">
        <v>114</v>
      </c>
      <c r="D57" s="493"/>
      <c r="E57" s="496"/>
      <c r="F57" s="496">
        <f>B_Sheet13!V83</f>
        <v>18272503.630000006</v>
      </c>
      <c r="G57" s="496">
        <f>B_Sheet13!W83</f>
        <v>21505231.489999998</v>
      </c>
      <c r="H57" s="496"/>
      <c r="I57" s="496"/>
      <c r="J57" s="496"/>
      <c r="K57" s="496"/>
      <c r="L57" s="497"/>
    </row>
    <row r="58" spans="3:12" s="498" customFormat="1">
      <c r="C58" s="492" t="s">
        <v>115</v>
      </c>
      <c r="D58" s="493"/>
      <c r="E58" s="496"/>
      <c r="F58" s="496">
        <f>B_Sheet13!V61</f>
        <v>18105599.769999988</v>
      </c>
      <c r="G58" s="496">
        <f>B_Sheet13!W61</f>
        <v>22097071.81000001</v>
      </c>
      <c r="H58" s="496"/>
      <c r="I58" s="496">
        <v>0</v>
      </c>
      <c r="J58" s="496"/>
      <c r="K58" s="496"/>
      <c r="L58" s="497"/>
    </row>
    <row r="59" spans="3:12" s="498" customFormat="1">
      <c r="C59" s="492" t="s">
        <v>116</v>
      </c>
      <c r="D59" s="493"/>
      <c r="E59" s="496"/>
      <c r="F59" s="496"/>
      <c r="G59" s="496"/>
      <c r="H59" s="496"/>
      <c r="I59" s="496"/>
      <c r="J59" s="496"/>
      <c r="K59" s="496"/>
      <c r="L59" s="497"/>
    </row>
    <row r="60" spans="3:12" s="498" customFormat="1">
      <c r="C60" s="491" t="s">
        <v>117</v>
      </c>
      <c r="D60" s="493"/>
      <c r="E60" s="499"/>
      <c r="F60" s="500">
        <f>SUM(F50:F59)</f>
        <v>36378103.399999991</v>
      </c>
      <c r="G60" s="500">
        <f>SUM(G50:G59)</f>
        <v>43602303.300000012</v>
      </c>
      <c r="H60" s="499"/>
      <c r="I60" s="500">
        <f>SUM(I50:I59)</f>
        <v>0</v>
      </c>
      <c r="J60" s="499"/>
      <c r="K60" s="500">
        <f>SUM(K46:K59)</f>
        <v>0</v>
      </c>
      <c r="L60" s="497"/>
    </row>
    <row r="61" spans="3:12" s="498" customFormat="1">
      <c r="C61" s="492" t="s">
        <v>118</v>
      </c>
      <c r="D61" s="493"/>
      <c r="E61" s="496"/>
      <c r="F61" s="496"/>
      <c r="G61" s="496"/>
      <c r="H61" s="496"/>
      <c r="I61" s="496"/>
      <c r="J61" s="496"/>
      <c r="K61" s="496"/>
      <c r="L61" s="497"/>
    </row>
    <row r="62" spans="3:12" s="498" customFormat="1">
      <c r="C62" s="491" t="s">
        <v>119</v>
      </c>
      <c r="D62" s="493"/>
      <c r="E62" s="499"/>
      <c r="F62" s="500">
        <f>F25+F36+F46+F60</f>
        <v>-112050.17761199921</v>
      </c>
      <c r="G62" s="500">
        <f>G25+G36+G46+G60-1</f>
        <v>661133.41651400924</v>
      </c>
      <c r="H62" s="500"/>
      <c r="I62" s="500">
        <f>I25+I36+I46+I60</f>
        <v>0</v>
      </c>
      <c r="J62" s="500">
        <f>J25+J36+J46+J60-1</f>
        <v>-1</v>
      </c>
      <c r="K62" s="500">
        <f>K25+K36+K46+K60-1</f>
        <v>-1</v>
      </c>
      <c r="L62" s="497"/>
    </row>
    <row r="63" spans="3:12" s="498" customFormat="1">
      <c r="C63" s="492" t="s">
        <v>120</v>
      </c>
      <c r="D63" s="493"/>
      <c r="E63" s="496"/>
      <c r="F63" s="485">
        <f>G67</f>
        <v>907804.80000000028</v>
      </c>
      <c r="G63" s="485">
        <f>I67</f>
        <v>246671</v>
      </c>
      <c r="H63" s="496"/>
      <c r="I63" s="496">
        <v>0</v>
      </c>
      <c r="J63" s="496"/>
      <c r="K63" s="501"/>
      <c r="L63" s="497"/>
    </row>
    <row r="64" spans="3:12" s="498" customFormat="1">
      <c r="C64" s="491" t="s">
        <v>121</v>
      </c>
      <c r="D64" s="493"/>
      <c r="E64" s="499"/>
      <c r="F64" s="972">
        <f>F63+F62</f>
        <v>795754.62238800107</v>
      </c>
      <c r="G64" s="972">
        <f>G63+G62</f>
        <v>907804.41651400924</v>
      </c>
      <c r="H64" s="499"/>
      <c r="I64" s="500">
        <f>I63+I62</f>
        <v>0</v>
      </c>
      <c r="J64" s="499"/>
      <c r="K64" s="500">
        <f>K63+K62</f>
        <v>-1</v>
      </c>
      <c r="L64" s="497"/>
    </row>
    <row r="65" spans="2:14" s="498" customFormat="1">
      <c r="C65" s="492"/>
      <c r="D65" s="493"/>
      <c r="E65" s="496"/>
      <c r="F65" s="485"/>
      <c r="G65" s="485"/>
      <c r="H65" s="496"/>
      <c r="I65" s="496"/>
      <c r="J65" s="496"/>
      <c r="K65" s="496"/>
      <c r="L65" s="497"/>
    </row>
    <row r="66" spans="2:14">
      <c r="C66" s="491"/>
      <c r="D66" s="488"/>
      <c r="E66" s="489"/>
      <c r="F66" s="973"/>
      <c r="G66" s="973"/>
      <c r="H66" s="489"/>
      <c r="I66" s="489"/>
      <c r="J66" s="489"/>
      <c r="K66" s="489"/>
      <c r="L66" s="502"/>
    </row>
    <row r="67" spans="2:14">
      <c r="C67" s="503"/>
      <c r="D67" s="493"/>
      <c r="E67" s="494"/>
      <c r="F67" s="973">
        <f>B_Sheet13!H59</f>
        <v>795754.37000000081</v>
      </c>
      <c r="G67" s="973">
        <f>B_Sheet13!I59</f>
        <v>907804.80000000028</v>
      </c>
      <c r="H67" s="494"/>
      <c r="I67" s="494">
        <f>B_Sheet13!J59</f>
        <v>246671</v>
      </c>
      <c r="J67" s="494"/>
      <c r="K67" s="494"/>
    </row>
    <row r="68" spans="2:14">
      <c r="C68" s="491"/>
      <c r="D68" s="488"/>
      <c r="E68" s="489"/>
      <c r="F68" s="489">
        <f>F64-F67</f>
        <v>0.25238800025545061</v>
      </c>
      <c r="G68" s="489"/>
      <c r="H68" s="489"/>
      <c r="I68" s="489"/>
      <c r="J68" s="489"/>
      <c r="K68" s="489"/>
      <c r="L68" s="504"/>
      <c r="M68" s="504"/>
    </row>
    <row r="69" spans="2:14" hidden="1" outlineLevel="1">
      <c r="B69" s="1000"/>
      <c r="C69" s="1001"/>
      <c r="D69" s="996"/>
      <c r="E69" s="997"/>
      <c r="F69" s="997"/>
      <c r="G69" s="997"/>
      <c r="H69" s="1003"/>
      <c r="I69" s="997"/>
      <c r="J69" s="997"/>
      <c r="K69" s="997"/>
      <c r="L69" s="1000"/>
      <c r="M69" s="1000"/>
      <c r="N69" s="1000"/>
    </row>
    <row r="70" spans="2:14" hidden="1" outlineLevel="1">
      <c r="B70" s="1000"/>
      <c r="C70" s="1001"/>
      <c r="D70" s="996"/>
      <c r="E70" s="997"/>
      <c r="F70" s="997"/>
      <c r="G70" s="997"/>
      <c r="H70" s="1003"/>
      <c r="I70" s="997"/>
      <c r="J70" s="997"/>
      <c r="K70" s="997"/>
      <c r="L70" s="1000"/>
      <c r="M70" s="1000"/>
      <c r="N70" s="1000"/>
    </row>
    <row r="71" spans="2:14" hidden="1" outlineLevel="1">
      <c r="B71" s="1000"/>
      <c r="C71" s="1001"/>
      <c r="D71" s="996"/>
      <c r="E71" s="1002"/>
      <c r="F71" s="1002"/>
      <c r="G71" s="1014">
        <f>G64-G67</f>
        <v>-0.38348599104210734</v>
      </c>
      <c r="H71" s="1004"/>
      <c r="I71" s="1014">
        <f>I64-I67</f>
        <v>-246671</v>
      </c>
      <c r="J71" s="1002"/>
      <c r="K71" s="1002">
        <f>K64-K67</f>
        <v>-1</v>
      </c>
      <c r="L71" s="1000"/>
      <c r="M71" s="1000"/>
      <c r="N71" s="1000"/>
    </row>
    <row r="72" spans="2:14" hidden="1" outlineLevel="1">
      <c r="B72" s="1000"/>
      <c r="C72" s="998"/>
      <c r="D72" s="996"/>
      <c r="E72" s="1002"/>
      <c r="F72" s="1002"/>
      <c r="G72" s="1014">
        <f>G71/2</f>
        <v>-0.19174299552105367</v>
      </c>
      <c r="H72" s="1004"/>
      <c r="I72" s="1014">
        <f>I71/2</f>
        <v>-123335.5</v>
      </c>
      <c r="J72" s="1002"/>
      <c r="K72" s="1002">
        <f>K71/2</f>
        <v>-0.5</v>
      </c>
      <c r="L72" s="1000"/>
      <c r="M72" s="1000"/>
      <c r="N72" s="1000"/>
    </row>
    <row r="73" spans="2:14" hidden="1" outlineLevel="1">
      <c r="B73" s="1000"/>
      <c r="C73" s="999"/>
      <c r="D73" s="996"/>
      <c r="E73" s="997"/>
      <c r="F73" s="997"/>
      <c r="G73" s="997"/>
      <c r="H73" s="1003"/>
      <c r="I73" s="997"/>
      <c r="J73" s="997"/>
      <c r="K73" s="997"/>
      <c r="L73" s="1000"/>
      <c r="M73" s="1000"/>
      <c r="N73" s="1000"/>
    </row>
    <row r="74" spans="2:14" hidden="1" outlineLevel="1">
      <c r="B74" s="1000"/>
      <c r="C74" s="998"/>
      <c r="D74" s="996"/>
      <c r="E74" s="997"/>
      <c r="F74" s="997"/>
      <c r="G74" s="997"/>
      <c r="H74" s="1003"/>
      <c r="I74" s="997"/>
      <c r="J74" s="997"/>
      <c r="K74" s="997"/>
      <c r="L74" s="1000"/>
      <c r="M74" s="1000"/>
      <c r="N74" s="1000"/>
    </row>
    <row r="75" spans="2:14" collapsed="1">
      <c r="C75" s="486"/>
      <c r="D75" s="493"/>
      <c r="E75" s="494"/>
      <c r="F75" s="494"/>
      <c r="G75" s="494"/>
      <c r="H75" s="494"/>
      <c r="I75" s="494"/>
      <c r="J75" s="494"/>
      <c r="K75" s="494"/>
    </row>
    <row r="76" spans="2:14">
      <c r="C76" s="486"/>
      <c r="D76" s="493"/>
      <c r="E76" s="494"/>
      <c r="F76" s="494"/>
      <c r="G76" s="494"/>
      <c r="H76" s="494"/>
      <c r="I76" s="494"/>
      <c r="J76" s="494"/>
      <c r="K76" s="494"/>
      <c r="L76" s="421"/>
    </row>
    <row r="77" spans="2:14">
      <c r="C77" s="486"/>
      <c r="D77" s="493"/>
      <c r="E77" s="494"/>
      <c r="F77" s="494"/>
      <c r="G77" s="494"/>
      <c r="H77" s="494"/>
      <c r="I77" s="494"/>
      <c r="J77" s="494"/>
      <c r="K77" s="494"/>
    </row>
    <row r="78" spans="2:14">
      <c r="C78" s="491"/>
      <c r="D78" s="493"/>
      <c r="E78" s="489"/>
      <c r="F78" s="489"/>
      <c r="G78" s="489"/>
      <c r="H78" s="489"/>
      <c r="I78" s="489"/>
      <c r="J78" s="489"/>
      <c r="K78" s="489"/>
    </row>
    <row r="79" spans="2:14">
      <c r="C79" s="491"/>
      <c r="D79" s="493"/>
      <c r="E79" s="494"/>
      <c r="F79" s="494"/>
      <c r="G79" s="494"/>
      <c r="H79" s="494"/>
      <c r="I79" s="494"/>
      <c r="J79" s="494"/>
      <c r="K79" s="494"/>
    </row>
    <row r="80" spans="2:14">
      <c r="C80" s="491"/>
      <c r="D80" s="493"/>
      <c r="E80" s="494"/>
      <c r="F80" s="494"/>
      <c r="G80" s="494"/>
      <c r="H80" s="494"/>
      <c r="I80" s="494"/>
      <c r="J80" s="494"/>
      <c r="K80" s="494"/>
    </row>
    <row r="81" spans="3:11">
      <c r="C81" s="505"/>
      <c r="D81" s="493"/>
      <c r="E81" s="494"/>
      <c r="F81" s="494"/>
      <c r="G81" s="494"/>
      <c r="H81" s="494"/>
      <c r="I81" s="494"/>
      <c r="J81" s="494"/>
      <c r="K81" s="494"/>
    </row>
    <row r="82" spans="3:11">
      <c r="C82" s="486"/>
      <c r="D82" s="493"/>
      <c r="E82" s="494"/>
      <c r="F82" s="494"/>
      <c r="G82" s="494"/>
      <c r="H82" s="494"/>
      <c r="I82" s="494"/>
      <c r="J82" s="494"/>
      <c r="K82" s="494"/>
    </row>
    <row r="83" spans="3:11">
      <c r="C83" s="486"/>
      <c r="D83" s="493"/>
      <c r="E83" s="494"/>
      <c r="F83" s="494"/>
      <c r="G83" s="494"/>
      <c r="H83" s="494"/>
      <c r="I83" s="494"/>
      <c r="J83" s="494"/>
      <c r="K83" s="494"/>
    </row>
    <row r="84" spans="3:11">
      <c r="C84" s="491"/>
      <c r="D84" s="493"/>
      <c r="E84" s="489"/>
      <c r="F84" s="489"/>
      <c r="G84" s="489"/>
      <c r="H84" s="489"/>
      <c r="I84" s="489"/>
      <c r="J84" s="489"/>
      <c r="K84" s="489"/>
    </row>
    <row r="85" spans="3:11">
      <c r="C85" s="503"/>
      <c r="D85" s="493"/>
      <c r="E85" s="494"/>
      <c r="F85" s="494"/>
      <c r="G85" s="494"/>
      <c r="H85" s="494"/>
      <c r="I85" s="494"/>
      <c r="J85" s="494"/>
      <c r="K85" s="494"/>
    </row>
    <row r="86" spans="3:11">
      <c r="C86" s="491"/>
      <c r="D86" s="488"/>
      <c r="E86" s="489"/>
      <c r="F86" s="489"/>
      <c r="G86" s="489"/>
      <c r="H86" s="489"/>
      <c r="I86" s="489"/>
      <c r="J86" s="489"/>
      <c r="K86" s="489"/>
    </row>
    <row r="87" spans="3:11">
      <c r="C87" s="492"/>
      <c r="D87" s="493"/>
      <c r="E87" s="494"/>
      <c r="F87" s="494"/>
      <c r="G87" s="494"/>
      <c r="H87" s="494"/>
      <c r="I87" s="494"/>
      <c r="J87" s="494"/>
      <c r="K87" s="494"/>
    </row>
    <row r="88" spans="3:11">
      <c r="C88" s="491"/>
      <c r="D88" s="488"/>
      <c r="E88" s="489"/>
      <c r="F88" s="489"/>
      <c r="G88" s="489"/>
      <c r="H88" s="489"/>
      <c r="I88" s="489"/>
      <c r="J88" s="489"/>
      <c r="K88" s="489"/>
    </row>
  </sheetData>
  <mergeCells count="2">
    <mergeCell ref="C15:C16"/>
    <mergeCell ref="C21:C22"/>
  </mergeCells>
  <phoneticPr fontId="88" type="noConversion"/>
  <pageMargins left="0.31496062992125984" right="0.35433070866141736" top="0.70866141732283472" bottom="0.47244094488188981" header="0.15748031496062992" footer="0.19685039370078741"/>
  <pageSetup scale="85"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CCCC"/>
  </sheetPr>
  <dimension ref="B2:N423"/>
  <sheetViews>
    <sheetView showGridLines="0" view="pageBreakPreview" topLeftCell="A198" zoomScaleSheetLayoutView="100" workbookViewId="0">
      <selection activeCell="H223" sqref="H223"/>
    </sheetView>
  </sheetViews>
  <sheetFormatPr defaultRowHeight="12.75" outlineLevelRow="1" outlineLevelCol="1"/>
  <cols>
    <col min="1" max="1" width="2.85546875" style="59" customWidth="1"/>
    <col min="2" max="2" width="4" style="59" customWidth="1"/>
    <col min="3" max="3" width="4.28515625" style="263" customWidth="1"/>
    <col min="4" max="4" width="33.140625" style="59" customWidth="1"/>
    <col min="5" max="5" width="9.5703125" style="59" customWidth="1"/>
    <col min="6" max="6" width="15.7109375" style="59" bestFit="1" customWidth="1"/>
    <col min="7" max="7" width="5.7109375" style="60" customWidth="1"/>
    <col min="8" max="8" width="13" style="59" customWidth="1"/>
    <col min="9" max="9" width="9.5703125" style="59" customWidth="1"/>
    <col min="10" max="10" width="18.7109375" style="59" hidden="1" customWidth="1"/>
    <col min="11" max="11" width="3.7109375" style="59" hidden="1" customWidth="1" outlineLevel="1"/>
    <col min="12" max="12" width="18.7109375" style="59" hidden="1" customWidth="1" outlineLevel="1"/>
    <col min="13" max="13" width="2.7109375" style="59" customWidth="1" collapsed="1"/>
    <col min="14" max="14" width="3.42578125" style="59" customWidth="1"/>
    <col min="15" max="15" width="4.5703125" style="59" customWidth="1"/>
    <col min="16" max="16384" width="9.140625" style="59"/>
  </cols>
  <sheetData>
    <row r="2" spans="2:14" ht="15.75">
      <c r="D2" s="977"/>
      <c r="E2" s="978" t="s">
        <v>1273</v>
      </c>
      <c r="F2" s="978"/>
      <c r="G2" s="1275"/>
      <c r="H2" s="978"/>
      <c r="I2" s="978"/>
      <c r="J2" s="978"/>
      <c r="K2" s="317"/>
      <c r="L2" s="317"/>
      <c r="M2" s="317"/>
      <c r="N2" s="317"/>
    </row>
    <row r="3" spans="2:14">
      <c r="B3" s="261">
        <v>4</v>
      </c>
      <c r="C3" s="262"/>
      <c r="D3" s="1750" t="s">
        <v>138</v>
      </c>
      <c r="E3" s="268"/>
      <c r="F3" s="184">
        <v>2013</v>
      </c>
      <c r="G3" s="312"/>
      <c r="H3" s="184">
        <v>2012</v>
      </c>
      <c r="I3" s="268"/>
      <c r="J3" s="184">
        <v>2011</v>
      </c>
      <c r="K3" s="1746"/>
      <c r="L3" s="184">
        <v>2009</v>
      </c>
    </row>
    <row r="4" spans="2:14">
      <c r="D4" s="1750"/>
      <c r="E4" s="268"/>
      <c r="F4" s="354" t="s">
        <v>299</v>
      </c>
      <c r="G4" s="1276"/>
      <c r="H4" s="354" t="s">
        <v>299</v>
      </c>
      <c r="I4" s="268"/>
      <c r="J4" s="185" t="s">
        <v>7</v>
      </c>
      <c r="K4" s="1746"/>
      <c r="L4" s="185" t="s">
        <v>7</v>
      </c>
    </row>
    <row r="5" spans="2:14">
      <c r="D5" s="186"/>
      <c r="E5" s="186"/>
      <c r="F5" s="186"/>
      <c r="G5" s="290"/>
      <c r="H5" s="186"/>
      <c r="I5" s="186"/>
      <c r="J5" s="186"/>
      <c r="K5" s="186"/>
      <c r="L5" s="186"/>
    </row>
    <row r="6" spans="2:14">
      <c r="D6" s="187" t="s">
        <v>1405</v>
      </c>
      <c r="E6" s="187"/>
      <c r="F6" s="811">
        <f>'AP 13'!F54</f>
        <v>484307.12000000046</v>
      </c>
      <c r="G6" s="1277"/>
      <c r="H6" s="811">
        <f>'A P MC BM 12'!F48</f>
        <v>477519.82000000024</v>
      </c>
      <c r="I6" s="187"/>
      <c r="J6" s="98">
        <v>238361.61</v>
      </c>
      <c r="K6" s="305"/>
      <c r="L6" s="98" t="e">
        <f>B_Sheet13!#REF!</f>
        <v>#REF!</v>
      </c>
    </row>
    <row r="7" spans="2:14">
      <c r="D7" s="187" t="s">
        <v>141</v>
      </c>
      <c r="E7" s="187"/>
      <c r="F7" s="811">
        <f>'AP 13'!F58</f>
        <v>311447.25000000029</v>
      </c>
      <c r="G7" s="1277"/>
      <c r="H7" s="811">
        <f>'A P MC BM 12'!F51</f>
        <v>430284.98</v>
      </c>
      <c r="I7" s="187"/>
      <c r="J7" s="306">
        <v>8309</v>
      </c>
      <c r="K7" s="305"/>
      <c r="L7" s="306"/>
    </row>
    <row r="8" spans="2:14">
      <c r="D8" s="187"/>
      <c r="E8" s="187"/>
      <c r="F8" s="187"/>
      <c r="G8" s="791"/>
      <c r="H8" s="187"/>
      <c r="I8" s="187"/>
      <c r="J8" s="287"/>
      <c r="K8" s="290"/>
      <c r="L8" s="287"/>
    </row>
    <row r="9" spans="2:14" ht="13.5" thickBot="1">
      <c r="D9" s="194"/>
      <c r="E9" s="194"/>
      <c r="F9" s="308">
        <f>SUM(F5:F7)</f>
        <v>795754.37000000081</v>
      </c>
      <c r="G9" s="508"/>
      <c r="H9" s="308">
        <f>SUM(H5:H7)</f>
        <v>907804.80000000028</v>
      </c>
      <c r="I9" s="194"/>
      <c r="J9" s="308">
        <f>SUM(J5:J7)</f>
        <v>246670.61</v>
      </c>
      <c r="K9" s="307"/>
      <c r="L9" s="308" t="e">
        <f>SUM(L5:L7)</f>
        <v>#REF!</v>
      </c>
    </row>
    <row r="10" spans="2:14" ht="13.5" thickTop="1">
      <c r="D10" s="194"/>
      <c r="E10" s="194"/>
      <c r="F10" s="194"/>
      <c r="G10" s="794"/>
      <c r="H10" s="194"/>
      <c r="I10" s="194"/>
      <c r="J10" s="304"/>
      <c r="K10" s="189"/>
      <c r="L10" s="304"/>
    </row>
    <row r="11" spans="2:14">
      <c r="D11" s="263" t="s">
        <v>1712</v>
      </c>
    </row>
    <row r="12" spans="2:14">
      <c r="D12" s="263" t="s">
        <v>1713</v>
      </c>
    </row>
    <row r="14" spans="2:14">
      <c r="B14" s="261">
        <v>5</v>
      </c>
      <c r="C14" s="262"/>
      <c r="D14" s="268" t="s">
        <v>139</v>
      </c>
      <c r="E14" s="268"/>
      <c r="F14" s="184">
        <v>2013</v>
      </c>
      <c r="G14" s="312"/>
      <c r="H14" s="184">
        <v>2012</v>
      </c>
      <c r="I14" s="268"/>
      <c r="J14" s="184">
        <v>2011</v>
      </c>
      <c r="K14" s="184"/>
      <c r="L14" s="184">
        <v>2009</v>
      </c>
    </row>
    <row r="15" spans="2:14">
      <c r="D15" s="268"/>
      <c r="E15" s="268"/>
      <c r="F15" s="354" t="s">
        <v>299</v>
      </c>
      <c r="G15" s="1276"/>
      <c r="H15" s="354" t="s">
        <v>299</v>
      </c>
      <c r="I15" s="268"/>
      <c r="J15" s="185" t="s">
        <v>7</v>
      </c>
      <c r="K15" s="184"/>
      <c r="L15" s="185" t="s">
        <v>7</v>
      </c>
    </row>
    <row r="16" spans="2:14">
      <c r="D16" s="186"/>
      <c r="E16" s="186"/>
      <c r="F16" s="186"/>
      <c r="G16" s="290"/>
      <c r="H16" s="186"/>
      <c r="I16" s="186"/>
      <c r="J16" s="186"/>
      <c r="K16" s="186"/>
      <c r="L16" s="186"/>
    </row>
    <row r="17" spans="3:13">
      <c r="D17" s="74" t="s">
        <v>498</v>
      </c>
      <c r="E17" s="186"/>
      <c r="F17" s="186"/>
      <c r="G17" s="290"/>
      <c r="H17" s="186"/>
      <c r="I17" s="186"/>
      <c r="J17" s="306"/>
      <c r="K17" s="305"/>
      <c r="L17" s="306"/>
    </row>
    <row r="18" spans="3:13">
      <c r="D18" s="292" t="s">
        <v>497</v>
      </c>
      <c r="E18" s="290"/>
      <c r="F18" s="290"/>
      <c r="G18" s="290"/>
      <c r="H18" s="290"/>
      <c r="I18" s="290"/>
      <c r="J18" s="306"/>
      <c r="K18" s="305"/>
      <c r="L18" s="306"/>
      <c r="M18" s="60"/>
    </row>
    <row r="19" spans="3:13">
      <c r="C19" s="291">
        <v>1</v>
      </c>
      <c r="D19" s="187" t="s">
        <v>1688</v>
      </c>
      <c r="E19" s="187"/>
      <c r="F19" s="187"/>
      <c r="G19" s="791"/>
      <c r="H19" s="187"/>
      <c r="I19" s="187"/>
      <c r="J19" s="469"/>
      <c r="K19" s="305"/>
      <c r="L19" s="306"/>
    </row>
    <row r="20" spans="3:13">
      <c r="C20" s="294" t="s">
        <v>1320</v>
      </c>
      <c r="D20" s="187" t="s">
        <v>273</v>
      </c>
      <c r="F20" s="61"/>
      <c r="G20" s="77"/>
      <c r="H20" s="61">
        <v>695403</v>
      </c>
      <c r="J20" s="421">
        <v>500000</v>
      </c>
      <c r="K20" s="305"/>
      <c r="L20" s="288"/>
    </row>
    <row r="21" spans="3:13">
      <c r="C21" s="294" t="s">
        <v>1321</v>
      </c>
      <c r="D21" s="187" t="s">
        <v>325</v>
      </c>
      <c r="F21" s="61">
        <v>1459362</v>
      </c>
      <c r="G21" s="77"/>
      <c r="H21" s="61">
        <v>1198486</v>
      </c>
      <c r="J21" s="421"/>
      <c r="K21" s="305"/>
      <c r="L21" s="421"/>
    </row>
    <row r="22" spans="3:13">
      <c r="C22" s="294" t="s">
        <v>1323</v>
      </c>
      <c r="D22" s="187" t="s">
        <v>326</v>
      </c>
      <c r="F22" s="61"/>
      <c r="G22" s="77"/>
      <c r="H22" s="61">
        <v>1676900</v>
      </c>
      <c r="J22" s="421"/>
      <c r="K22" s="305"/>
      <c r="L22" s="421"/>
    </row>
    <row r="23" spans="3:13">
      <c r="C23" s="294" t="s">
        <v>1324</v>
      </c>
      <c r="D23" s="187" t="s">
        <v>327</v>
      </c>
      <c r="F23" s="61"/>
      <c r="G23" s="77"/>
      <c r="H23" s="61">
        <v>105000</v>
      </c>
      <c r="J23" s="421"/>
      <c r="K23" s="305"/>
      <c r="L23" s="421"/>
    </row>
    <row r="24" spans="3:13">
      <c r="C24" s="294" t="s">
        <v>1539</v>
      </c>
      <c r="D24" s="187" t="s">
        <v>328</v>
      </c>
      <c r="F24" s="61"/>
      <c r="G24" s="77"/>
      <c r="H24" s="61">
        <v>209500</v>
      </c>
      <c r="J24" s="421"/>
      <c r="K24" s="305"/>
      <c r="L24" s="421"/>
    </row>
    <row r="25" spans="3:13">
      <c r="C25" s="294" t="s">
        <v>1271</v>
      </c>
      <c r="D25" s="187" t="s">
        <v>329</v>
      </c>
      <c r="F25" s="61">
        <v>83160</v>
      </c>
      <c r="G25" s="77"/>
      <c r="H25" s="61">
        <v>1118160</v>
      </c>
      <c r="J25" s="421"/>
      <c r="K25" s="305"/>
      <c r="L25" s="421"/>
    </row>
    <row r="26" spans="3:13">
      <c r="C26" s="294" t="s">
        <v>1272</v>
      </c>
      <c r="D26" s="187" t="s">
        <v>330</v>
      </c>
      <c r="F26" s="61">
        <v>278600</v>
      </c>
      <c r="G26" s="77"/>
      <c r="H26" s="61">
        <v>278600</v>
      </c>
      <c r="J26" s="421"/>
      <c r="K26" s="305"/>
      <c r="L26" s="421"/>
    </row>
    <row r="27" spans="3:13">
      <c r="C27" s="294" t="s">
        <v>1691</v>
      </c>
      <c r="D27" s="187" t="s">
        <v>331</v>
      </c>
      <c r="F27" s="61">
        <v>693500</v>
      </c>
      <c r="G27" s="77"/>
      <c r="H27" s="61">
        <v>697500</v>
      </c>
      <c r="J27" s="421"/>
      <c r="K27" s="305"/>
      <c r="L27" s="421"/>
    </row>
    <row r="28" spans="3:13">
      <c r="C28" s="294" t="s">
        <v>1692</v>
      </c>
      <c r="D28" s="187" t="s">
        <v>332</v>
      </c>
      <c r="F28" s="61"/>
      <c r="G28" s="77"/>
      <c r="H28" s="61">
        <v>397000</v>
      </c>
      <c r="J28" s="421"/>
      <c r="K28" s="305"/>
      <c r="L28" s="421"/>
    </row>
    <row r="29" spans="3:13">
      <c r="C29" s="506" t="s">
        <v>1406</v>
      </c>
      <c r="D29" s="187" t="s">
        <v>441</v>
      </c>
      <c r="F29" s="61">
        <v>3448792</v>
      </c>
      <c r="G29" s="77"/>
      <c r="H29" s="61"/>
      <c r="J29" s="421">
        <v>41520</v>
      </c>
      <c r="K29" s="305"/>
      <c r="L29" s="421"/>
    </row>
    <row r="30" spans="3:13">
      <c r="C30" s="506" t="s">
        <v>873</v>
      </c>
      <c r="D30" s="187" t="s">
        <v>442</v>
      </c>
      <c r="F30" s="61">
        <v>347500</v>
      </c>
      <c r="G30" s="77"/>
      <c r="H30" s="61"/>
      <c r="J30" s="421"/>
      <c r="K30" s="305"/>
      <c r="L30" s="421"/>
    </row>
    <row r="31" spans="3:13">
      <c r="C31" s="506" t="s">
        <v>874</v>
      </c>
      <c r="D31" s="187" t="s">
        <v>443</v>
      </c>
      <c r="F31" s="61">
        <v>278000</v>
      </c>
      <c r="G31" s="77"/>
      <c r="H31" s="61"/>
      <c r="J31" s="421"/>
      <c r="K31" s="305"/>
      <c r="L31" s="421"/>
    </row>
    <row r="32" spans="3:13">
      <c r="C32" s="506" t="s">
        <v>1710</v>
      </c>
      <c r="D32" s="187" t="s">
        <v>444</v>
      </c>
      <c r="F32" s="61">
        <v>70175</v>
      </c>
      <c r="G32" s="77"/>
      <c r="H32" s="61"/>
      <c r="J32" s="421"/>
      <c r="K32" s="305"/>
      <c r="L32" s="421"/>
    </row>
    <row r="33" spans="2:12">
      <c r="C33" s="506" t="s">
        <v>875</v>
      </c>
      <c r="D33" s="187" t="s">
        <v>445</v>
      </c>
      <c r="F33" s="61">
        <v>238700</v>
      </c>
      <c r="G33" s="77"/>
      <c r="H33" s="61"/>
      <c r="J33" s="421"/>
      <c r="K33" s="305"/>
      <c r="L33" s="421"/>
    </row>
    <row r="34" spans="2:12">
      <c r="C34" s="506" t="s">
        <v>1711</v>
      </c>
      <c r="D34" s="187" t="s">
        <v>446</v>
      </c>
      <c r="F34" s="61">
        <v>140000</v>
      </c>
      <c r="G34" s="77"/>
      <c r="H34" s="61"/>
      <c r="J34" s="421"/>
      <c r="K34" s="305"/>
      <c r="L34" s="421"/>
    </row>
    <row r="35" spans="2:12">
      <c r="C35" s="506" t="s">
        <v>1406</v>
      </c>
      <c r="D35" s="187" t="s">
        <v>1439</v>
      </c>
      <c r="F35" s="61">
        <v>700923</v>
      </c>
      <c r="G35" s="77"/>
      <c r="H35" s="61">
        <v>471242</v>
      </c>
      <c r="J35" s="421"/>
      <c r="K35" s="305"/>
      <c r="L35" s="421"/>
    </row>
    <row r="36" spans="2:12">
      <c r="C36" s="506"/>
      <c r="D36" s="187"/>
      <c r="F36" s="61"/>
      <c r="G36" s="77"/>
      <c r="H36" s="61"/>
      <c r="J36" s="421"/>
      <c r="K36" s="305"/>
      <c r="L36" s="421"/>
    </row>
    <row r="37" spans="2:12">
      <c r="C37" s="294">
        <v>2</v>
      </c>
      <c r="D37" s="59" t="s">
        <v>280</v>
      </c>
      <c r="E37" s="309"/>
      <c r="F37" s="811">
        <f>B_Sheet13!H36</f>
        <v>544178.18999999994</v>
      </c>
      <c r="G37" s="1277"/>
      <c r="H37" s="811">
        <f>B_Sheet13!I36</f>
        <v>661759</v>
      </c>
      <c r="I37" s="309"/>
      <c r="J37" s="421"/>
      <c r="K37" s="305"/>
      <c r="L37" s="421"/>
    </row>
    <row r="38" spans="2:12">
      <c r="C38" s="294"/>
      <c r="D38" s="187"/>
      <c r="F38" s="61"/>
      <c r="G38" s="77"/>
      <c r="H38" s="61"/>
      <c r="J38" s="421"/>
      <c r="K38" s="186"/>
      <c r="L38" s="421"/>
    </row>
    <row r="39" spans="2:12" ht="13.5" thickBot="1">
      <c r="D39" s="194"/>
      <c r="E39" s="194"/>
      <c r="F39" s="264">
        <f>SUM(F19:F38)</f>
        <v>8282890.1899999995</v>
      </c>
      <c r="G39" s="293"/>
      <c r="H39" s="264">
        <f>SUM(H19:H38)</f>
        <v>7509550</v>
      </c>
      <c r="I39" s="194"/>
      <c r="J39" s="264">
        <f>SUM(J20:J38)</f>
        <v>541520</v>
      </c>
      <c r="K39" s="196"/>
      <c r="L39" s="264">
        <f>SUM(L19:L38)</f>
        <v>0</v>
      </c>
    </row>
    <row r="40" spans="2:12" ht="13.5" thickTop="1">
      <c r="D40" s="194"/>
      <c r="E40" s="194"/>
      <c r="F40" s="194"/>
      <c r="G40" s="794"/>
      <c r="H40" s="194"/>
      <c r="I40" s="194"/>
      <c r="J40" s="293"/>
      <c r="K40" s="196"/>
      <c r="L40" s="293"/>
    </row>
    <row r="41" spans="2:12">
      <c r="D41" s="1058" t="s">
        <v>1224</v>
      </c>
      <c r="E41" s="194"/>
      <c r="F41" s="194"/>
      <c r="G41" s="794"/>
      <c r="H41" s="194"/>
      <c r="I41" s="194"/>
      <c r="J41" s="293"/>
      <c r="K41" s="196"/>
      <c r="L41" s="293"/>
    </row>
    <row r="42" spans="2:12" ht="25.5" customHeight="1">
      <c r="D42" s="1753"/>
      <c r="E42" s="1753"/>
      <c r="F42" s="1753"/>
      <c r="G42" s="1753"/>
      <c r="H42" s="1753"/>
      <c r="I42" s="1753"/>
      <c r="J42" s="1753"/>
    </row>
    <row r="44" spans="2:12">
      <c r="B44" s="261">
        <v>6</v>
      </c>
      <c r="C44" s="262"/>
      <c r="D44" s="1750" t="s">
        <v>140</v>
      </c>
      <c r="E44" s="268"/>
      <c r="F44" s="184">
        <v>2013</v>
      </c>
      <c r="G44" s="312"/>
      <c r="H44" s="184">
        <v>2012</v>
      </c>
      <c r="I44" s="268"/>
      <c r="J44" s="184">
        <v>2011</v>
      </c>
      <c r="K44" s="1746"/>
      <c r="L44" s="184">
        <v>2009</v>
      </c>
    </row>
    <row r="45" spans="2:12">
      <c r="D45" s="1750"/>
      <c r="E45" s="268"/>
      <c r="F45" s="354" t="s">
        <v>299</v>
      </c>
      <c r="G45" s="1276"/>
      <c r="H45" s="354" t="s">
        <v>299</v>
      </c>
      <c r="I45" s="268"/>
      <c r="J45" s="185" t="s">
        <v>7</v>
      </c>
      <c r="K45" s="1746"/>
      <c r="L45" s="185" t="s">
        <v>7</v>
      </c>
    </row>
    <row r="46" spans="2:12">
      <c r="D46" s="186"/>
      <c r="E46" s="186"/>
      <c r="F46" s="186"/>
      <c r="G46" s="290"/>
      <c r="H46" s="186"/>
      <c r="I46" s="186"/>
      <c r="J46" s="186"/>
      <c r="K46" s="186"/>
      <c r="L46" s="186"/>
    </row>
    <row r="47" spans="2:12">
      <c r="D47" s="187" t="s">
        <v>142</v>
      </c>
      <c r="E47" s="187"/>
      <c r="F47" s="187"/>
      <c r="G47" s="791"/>
      <c r="H47" s="306"/>
      <c r="I47" s="187"/>
      <c r="J47" s="306"/>
      <c r="K47" s="311"/>
      <c r="L47" s="306"/>
    </row>
    <row r="48" spans="2:12">
      <c r="C48" s="294" t="s">
        <v>1320</v>
      </c>
      <c r="D48" s="187" t="s">
        <v>1435</v>
      </c>
      <c r="E48" s="309"/>
      <c r="F48" s="1363">
        <f>'AP 13'!E48</f>
        <v>34284</v>
      </c>
      <c r="G48" s="1278"/>
      <c r="H48" s="421">
        <f>'A P MC BM 12'!F41</f>
        <v>84266.67</v>
      </c>
      <c r="I48" s="309"/>
      <c r="J48" s="421">
        <v>4267</v>
      </c>
      <c r="K48" s="191"/>
      <c r="L48" s="288"/>
    </row>
    <row r="49" spans="2:12" ht="12.75" customHeight="1">
      <c r="C49" s="294" t="s">
        <v>1321</v>
      </c>
      <c r="D49" s="187" t="s">
        <v>1436</v>
      </c>
      <c r="E49" s="309"/>
      <c r="F49" s="288">
        <f>'AP 13'!E47</f>
        <v>84266.67</v>
      </c>
      <c r="G49" s="1278"/>
      <c r="H49" s="421"/>
      <c r="I49" s="309"/>
      <c r="J49" s="421"/>
      <c r="K49" s="191"/>
      <c r="L49" s="421"/>
    </row>
    <row r="50" spans="2:12">
      <c r="C50" s="294" t="s">
        <v>1323</v>
      </c>
      <c r="D50" s="187" t="s">
        <v>1437</v>
      </c>
      <c r="E50" s="309"/>
      <c r="F50" s="1363">
        <f>'AP 13'!E49</f>
        <v>201321.00000000009</v>
      </c>
      <c r="G50" s="1278"/>
      <c r="H50" s="421">
        <f>'A P MC BM 12'!F42</f>
        <v>1436032.9300000002</v>
      </c>
      <c r="I50" s="309"/>
      <c r="J50" s="421"/>
      <c r="K50" s="191"/>
      <c r="L50" s="421"/>
    </row>
    <row r="51" spans="2:12">
      <c r="D51" s="187"/>
      <c r="E51" s="187"/>
      <c r="F51" s="187"/>
      <c r="G51" s="791"/>
      <c r="H51" s="192"/>
      <c r="I51" s="187"/>
      <c r="J51" s="192"/>
      <c r="K51" s="193"/>
      <c r="L51" s="192"/>
    </row>
    <row r="52" spans="2:12" ht="13.5" thickBot="1">
      <c r="D52" s="194"/>
      <c r="E52" s="194"/>
      <c r="F52" s="264">
        <f>SUM(F47:F51)</f>
        <v>319871.6700000001</v>
      </c>
      <c r="G52" s="293"/>
      <c r="H52" s="264">
        <f>SUM(H47:H51)</f>
        <v>1520299.6</v>
      </c>
      <c r="I52" s="194"/>
      <c r="J52" s="264">
        <f>SUM(J47:J51)</f>
        <v>4267</v>
      </c>
      <c r="K52" s="196"/>
      <c r="L52" s="264">
        <f>SUM(L47:L51)</f>
        <v>0</v>
      </c>
    </row>
    <row r="53" spans="2:12" ht="13.5" thickTop="1">
      <c r="D53" s="194"/>
      <c r="E53" s="194"/>
      <c r="F53" s="194"/>
      <c r="G53" s="794"/>
      <c r="H53" s="194"/>
      <c r="I53" s="194"/>
      <c r="J53" s="293"/>
      <c r="K53" s="196"/>
      <c r="L53" s="293"/>
    </row>
    <row r="54" spans="2:12">
      <c r="D54" s="507" t="s">
        <v>1407</v>
      </c>
      <c r="E54" s="194"/>
      <c r="F54" s="194"/>
      <c r="G54" s="794"/>
      <c r="H54" s="194"/>
      <c r="I54" s="194"/>
      <c r="J54" s="293"/>
      <c r="K54" s="196"/>
      <c r="L54" s="293"/>
    </row>
    <row r="55" spans="2:12">
      <c r="D55" s="1059" t="s">
        <v>447</v>
      </c>
      <c r="E55" s="194"/>
      <c r="F55" s="194"/>
      <c r="G55" s="794"/>
      <c r="H55" s="194"/>
      <c r="I55" s="194"/>
      <c r="J55" s="293"/>
      <c r="K55" s="196"/>
      <c r="L55" s="293"/>
    </row>
    <row r="56" spans="2:12">
      <c r="D56" s="295"/>
      <c r="E56" s="194"/>
      <c r="F56" s="194"/>
      <c r="G56" s="794"/>
      <c r="H56" s="194"/>
      <c r="I56" s="194"/>
      <c r="J56" s="293"/>
      <c r="K56" s="196"/>
      <c r="L56" s="293"/>
    </row>
    <row r="57" spans="2:12">
      <c r="D57" s="295"/>
      <c r="E57" s="194"/>
      <c r="F57" s="194"/>
      <c r="G57" s="794"/>
      <c r="H57" s="194"/>
      <c r="I57" s="194"/>
      <c r="J57" s="293"/>
      <c r="K57" s="196"/>
      <c r="L57" s="293"/>
    </row>
    <row r="58" spans="2:12">
      <c r="B58" s="1436">
        <v>6.1</v>
      </c>
      <c r="D58" s="363" t="s">
        <v>275</v>
      </c>
      <c r="E58" s="194"/>
      <c r="F58" s="184">
        <v>2013</v>
      </c>
      <c r="G58" s="312"/>
      <c r="H58" s="184">
        <v>2012</v>
      </c>
      <c r="I58" s="268"/>
      <c r="J58" s="184">
        <v>2011</v>
      </c>
      <c r="K58" s="196"/>
      <c r="L58" s="293"/>
    </row>
    <row r="59" spans="2:12">
      <c r="D59" s="295"/>
      <c r="E59" s="194"/>
      <c r="F59" s="354" t="s">
        <v>299</v>
      </c>
      <c r="G59" s="1276"/>
      <c r="H59" s="354" t="s">
        <v>299</v>
      </c>
      <c r="I59" s="268"/>
      <c r="J59" s="185" t="s">
        <v>7</v>
      </c>
      <c r="K59" s="196"/>
      <c r="L59" s="293"/>
    </row>
    <row r="60" spans="2:12">
      <c r="D60" s="295"/>
      <c r="E60" s="194"/>
      <c r="F60" s="194"/>
      <c r="G60" s="794"/>
      <c r="H60" s="186"/>
      <c r="I60" s="186"/>
      <c r="J60" s="186"/>
      <c r="K60" s="196"/>
      <c r="L60" s="293"/>
    </row>
    <row r="61" spans="2:12">
      <c r="D61" s="292" t="s">
        <v>497</v>
      </c>
      <c r="E61" s="194"/>
      <c r="F61" s="194"/>
      <c r="G61" s="794"/>
      <c r="H61" s="306"/>
      <c r="I61" s="187"/>
      <c r="J61" s="306"/>
      <c r="K61" s="196"/>
      <c r="L61" s="293"/>
    </row>
    <row r="62" spans="2:12">
      <c r="D62" s="295"/>
      <c r="E62" s="194"/>
      <c r="F62" s="194"/>
      <c r="G62" s="794"/>
      <c r="H62" s="421"/>
      <c r="I62" s="309"/>
      <c r="J62" s="421"/>
      <c r="K62" s="196"/>
      <c r="L62" s="293"/>
    </row>
    <row r="63" spans="2:12">
      <c r="D63" s="1059" t="s">
        <v>276</v>
      </c>
      <c r="E63" s="194"/>
      <c r="F63" s="1435">
        <f>'AP 13'!E50</f>
        <v>2044750.3</v>
      </c>
      <c r="G63" s="794"/>
      <c r="H63" s="421">
        <f>'A P MC BM 12'!E45</f>
        <v>2046389.4000000001</v>
      </c>
      <c r="I63" s="309"/>
      <c r="J63" s="421">
        <v>2652210</v>
      </c>
      <c r="K63" s="196"/>
      <c r="L63" s="293"/>
    </row>
    <row r="64" spans="2:12" ht="15" customHeight="1">
      <c r="D64" s="1059" t="s">
        <v>1738</v>
      </c>
      <c r="E64" s="194"/>
      <c r="F64" s="1435">
        <f>'AP 13'!E51</f>
        <v>1122828</v>
      </c>
      <c r="G64" s="794"/>
      <c r="H64" s="421">
        <f>'A P MC BM 12'!E44</f>
        <v>891051.14000000013</v>
      </c>
      <c r="I64" s="309"/>
      <c r="J64" s="421"/>
      <c r="K64" s="196"/>
      <c r="L64" s="293"/>
    </row>
    <row r="65" spans="2:12">
      <c r="D65" s="295"/>
      <c r="E65" s="194"/>
      <c r="F65" s="194"/>
      <c r="G65" s="794"/>
      <c r="H65" s="192"/>
      <c r="I65" s="187"/>
      <c r="J65" s="192"/>
      <c r="K65" s="196"/>
      <c r="L65" s="293"/>
    </row>
    <row r="66" spans="2:12" ht="13.5" thickBot="1">
      <c r="D66" s="295"/>
      <c r="E66" s="194"/>
      <c r="F66" s="264">
        <f>SUM(F61:F65)</f>
        <v>3167578.3</v>
      </c>
      <c r="G66" s="293"/>
      <c r="H66" s="264">
        <f>SUM(H61:H65)</f>
        <v>2937440.54</v>
      </c>
      <c r="I66" s="194"/>
      <c r="J66" s="264">
        <f>SUM(J61:J65)</f>
        <v>2652210</v>
      </c>
      <c r="K66" s="196"/>
      <c r="L66" s="293"/>
    </row>
    <row r="67" spans="2:12" ht="13.5" thickTop="1">
      <c r="D67" s="295"/>
      <c r="E67" s="194"/>
      <c r="F67" s="194"/>
      <c r="G67" s="794"/>
      <c r="H67" s="194"/>
      <c r="I67" s="194"/>
      <c r="J67" s="293"/>
      <c r="K67" s="196"/>
      <c r="L67" s="293"/>
    </row>
    <row r="69" spans="2:12">
      <c r="B69" s="261">
        <v>8</v>
      </c>
      <c r="D69" s="1750" t="s">
        <v>1438</v>
      </c>
      <c r="E69" s="268"/>
      <c r="F69" s="184">
        <v>2013</v>
      </c>
      <c r="G69" s="312"/>
      <c r="H69" s="184">
        <v>2012</v>
      </c>
      <c r="I69" s="268"/>
      <c r="J69" s="184">
        <v>2011</v>
      </c>
      <c r="K69" s="1746"/>
      <c r="L69" s="184">
        <v>2009</v>
      </c>
    </row>
    <row r="70" spans="2:12">
      <c r="D70" s="1750"/>
      <c r="E70" s="268"/>
      <c r="F70" s="354" t="s">
        <v>299</v>
      </c>
      <c r="G70" s="1276"/>
      <c r="H70" s="354" t="s">
        <v>299</v>
      </c>
      <c r="I70" s="268"/>
      <c r="J70" s="185" t="s">
        <v>7</v>
      </c>
      <c r="K70" s="1746"/>
      <c r="L70" s="185" t="s">
        <v>7</v>
      </c>
    </row>
    <row r="71" spans="2:12">
      <c r="D71" s="268"/>
      <c r="E71" s="268"/>
      <c r="F71" s="268"/>
      <c r="G71" s="790"/>
      <c r="H71" s="268"/>
      <c r="I71" s="268"/>
      <c r="J71" s="312"/>
      <c r="K71" s="184"/>
      <c r="L71" s="312"/>
    </row>
    <row r="72" spans="2:12">
      <c r="D72" s="187" t="s">
        <v>504</v>
      </c>
      <c r="E72" s="186"/>
      <c r="F72" s="186"/>
      <c r="G72" s="290"/>
      <c r="H72" s="186"/>
      <c r="I72" s="186"/>
      <c r="J72" s="297"/>
      <c r="K72" s="186"/>
      <c r="L72" s="297"/>
    </row>
    <row r="73" spans="2:12">
      <c r="D73" s="296" t="s">
        <v>505</v>
      </c>
      <c r="E73" s="187"/>
      <c r="F73" s="187"/>
      <c r="G73" s="791"/>
      <c r="H73" s="187"/>
      <c r="I73" s="187"/>
      <c r="J73" s="188"/>
      <c r="K73" s="186"/>
      <c r="L73" s="188"/>
    </row>
    <row r="74" spans="2:12">
      <c r="C74" s="316" t="s">
        <v>1320</v>
      </c>
      <c r="D74" s="187" t="s">
        <v>1375</v>
      </c>
      <c r="F74" s="421">
        <f>B_Sheet13!H50</f>
        <v>3289448.42</v>
      </c>
      <c r="H74" s="421">
        <f>'A P MC BM 12'!F47</f>
        <v>4047756.048</v>
      </c>
      <c r="J74" s="421">
        <v>1157259</v>
      </c>
      <c r="K74" s="186"/>
      <c r="L74" s="421"/>
    </row>
    <row r="75" spans="2:12">
      <c r="C75" s="316"/>
      <c r="D75" s="187"/>
      <c r="J75" s="421"/>
      <c r="K75" s="186"/>
      <c r="L75" s="421"/>
    </row>
    <row r="76" spans="2:12" ht="13.5" thickBot="1">
      <c r="E76" s="187"/>
      <c r="F76" s="314">
        <f>SUM(F74:F75)</f>
        <v>3289448.42</v>
      </c>
      <c r="G76" s="313"/>
      <c r="H76" s="314">
        <f>SUM(H74:H75)</f>
        <v>4047756.048</v>
      </c>
      <c r="I76" s="187"/>
      <c r="J76" s="314">
        <f>SUM(J74:J75)</f>
        <v>1157259</v>
      </c>
      <c r="K76" s="313"/>
      <c r="L76" s="314">
        <f>SUM(L72:L75)</f>
        <v>0</v>
      </c>
    </row>
    <row r="77" spans="2:12" ht="13.5" thickTop="1">
      <c r="E77" s="187"/>
      <c r="F77" s="187"/>
      <c r="G77" s="791"/>
      <c r="H77" s="187"/>
      <c r="I77" s="187"/>
      <c r="J77" s="313"/>
      <c r="K77" s="313"/>
      <c r="L77" s="313"/>
    </row>
    <row r="78" spans="2:12">
      <c r="D78" s="1058" t="s">
        <v>1376</v>
      </c>
    </row>
    <row r="79" spans="2:12">
      <c r="D79" s="1058" t="s">
        <v>274</v>
      </c>
    </row>
    <row r="80" spans="2:12">
      <c r="B80" s="261">
        <v>9</v>
      </c>
      <c r="D80" s="1750" t="s">
        <v>1332</v>
      </c>
      <c r="E80" s="268"/>
      <c r="F80" s="268"/>
      <c r="G80" s="790"/>
      <c r="H80" s="268"/>
      <c r="I80" s="268"/>
      <c r="J80" s="184">
        <v>2010</v>
      </c>
      <c r="K80" s="1746"/>
      <c r="L80" s="184">
        <v>2009</v>
      </c>
    </row>
    <row r="81" spans="2:12">
      <c r="D81" s="1750"/>
      <c r="E81" s="268"/>
      <c r="F81" s="268"/>
      <c r="G81" s="790"/>
      <c r="H81" s="268"/>
      <c r="I81" s="268"/>
      <c r="J81" s="185" t="s">
        <v>7</v>
      </c>
      <c r="K81" s="1746"/>
      <c r="L81" s="185" t="s">
        <v>7</v>
      </c>
    </row>
    <row r="82" spans="2:12">
      <c r="D82" s="187"/>
      <c r="E82" s="186"/>
      <c r="F82" s="1553">
        <v>2013</v>
      </c>
      <c r="G82" s="312"/>
      <c r="H82" s="1553">
        <v>2012</v>
      </c>
      <c r="I82" s="186"/>
      <c r="J82" s="297"/>
      <c r="K82" s="186"/>
      <c r="L82" s="297"/>
    </row>
    <row r="83" spans="2:12">
      <c r="E83" s="187"/>
      <c r="F83" s="354" t="s">
        <v>299</v>
      </c>
      <c r="G83" s="1276"/>
      <c r="H83" s="354" t="s">
        <v>299</v>
      </c>
      <c r="I83" s="187"/>
      <c r="J83" s="421"/>
      <c r="K83" s="289"/>
      <c r="L83" s="421"/>
    </row>
    <row r="84" spans="2:12">
      <c r="C84" s="294"/>
      <c r="D84" s="187"/>
      <c r="E84" s="288"/>
      <c r="F84" s="288"/>
      <c r="G84" s="1279"/>
      <c r="H84" s="288"/>
      <c r="I84" s="288"/>
      <c r="J84" s="188"/>
      <c r="K84" s="186"/>
      <c r="L84" s="188"/>
    </row>
    <row r="85" spans="2:12" ht="13.5" thickBot="1">
      <c r="D85" s="74" t="s">
        <v>1377</v>
      </c>
      <c r="E85" s="187"/>
      <c r="F85" s="806">
        <f>B_Sheet13!H84</f>
        <v>100000</v>
      </c>
      <c r="G85" s="791"/>
      <c r="H85" s="187"/>
      <c r="I85" s="187"/>
      <c r="J85" s="314">
        <f>SUM(J82:J84)</f>
        <v>0</v>
      </c>
      <c r="K85" s="313"/>
      <c r="L85" s="314">
        <f>SUM(L82:L84)</f>
        <v>0</v>
      </c>
    </row>
    <row r="86" spans="2:12" ht="13.5" thickTop="1">
      <c r="E86" s="187"/>
      <c r="F86" s="187"/>
      <c r="G86" s="791"/>
      <c r="H86" s="187"/>
      <c r="I86" s="187"/>
      <c r="J86" s="313"/>
      <c r="K86" s="313"/>
      <c r="L86" s="313"/>
    </row>
    <row r="87" spans="2:12" ht="13.5" thickBot="1">
      <c r="F87" s="314">
        <f>SUM(F85:F86)</f>
        <v>100000</v>
      </c>
      <c r="G87" s="313"/>
      <c r="H87" s="314">
        <f>SUM(H85:H86)</f>
        <v>0</v>
      </c>
    </row>
    <row r="88" spans="2:12" ht="13.5" thickTop="1">
      <c r="F88" s="313"/>
      <c r="G88" s="313"/>
      <c r="H88" s="313"/>
    </row>
    <row r="89" spans="2:12">
      <c r="D89" s="59" t="s">
        <v>1739</v>
      </c>
      <c r="F89" s="313"/>
      <c r="G89" s="313"/>
      <c r="H89" s="313"/>
    </row>
    <row r="91" spans="2:12">
      <c r="B91" s="261">
        <v>10</v>
      </c>
      <c r="D91" s="1750" t="s">
        <v>498</v>
      </c>
      <c r="E91" s="268"/>
      <c r="F91" s="268"/>
      <c r="G91" s="790"/>
      <c r="H91" s="268"/>
      <c r="I91" s="268"/>
      <c r="J91" s="184">
        <v>2010</v>
      </c>
      <c r="K91" s="1746"/>
      <c r="L91" s="184">
        <v>2009</v>
      </c>
    </row>
    <row r="92" spans="2:12">
      <c r="D92" s="1750"/>
      <c r="E92" s="268"/>
      <c r="F92" s="268"/>
      <c r="G92" s="790"/>
      <c r="H92" s="268"/>
      <c r="I92" s="268"/>
      <c r="J92" s="185" t="s">
        <v>7</v>
      </c>
      <c r="K92" s="1746"/>
      <c r="L92" s="185" t="s">
        <v>7</v>
      </c>
    </row>
    <row r="93" spans="2:12">
      <c r="D93" s="187"/>
      <c r="E93" s="186"/>
      <c r="F93" s="186"/>
      <c r="G93" s="290"/>
      <c r="H93" s="186"/>
      <c r="I93" s="186"/>
      <c r="J93" s="297"/>
      <c r="K93" s="186"/>
      <c r="L93" s="297"/>
    </row>
    <row r="94" spans="2:12">
      <c r="D94" s="74" t="s">
        <v>499</v>
      </c>
      <c r="E94" s="187"/>
      <c r="F94" s="187"/>
      <c r="G94" s="791"/>
      <c r="H94" s="187"/>
      <c r="I94" s="187"/>
      <c r="J94" s="421"/>
      <c r="K94" s="290"/>
      <c r="L94" s="421"/>
    </row>
    <row r="95" spans="2:12">
      <c r="C95" s="294"/>
      <c r="D95" s="187"/>
      <c r="E95" s="288"/>
      <c r="F95" s="288"/>
      <c r="G95" s="1279"/>
      <c r="H95" s="288"/>
      <c r="I95" s="288"/>
      <c r="J95" s="188"/>
      <c r="K95" s="186"/>
      <c r="L95" s="188"/>
    </row>
    <row r="96" spans="2:12" ht="13.5" thickBot="1">
      <c r="E96" s="187"/>
      <c r="F96" s="187"/>
      <c r="G96" s="791"/>
      <c r="H96" s="187"/>
      <c r="I96" s="187"/>
      <c r="J96" s="314">
        <f>SUM(J93:J95)</f>
        <v>0</v>
      </c>
      <c r="K96" s="313"/>
      <c r="L96" s="314">
        <f>SUM(L93:L95)</f>
        <v>0</v>
      </c>
    </row>
    <row r="97" spans="2:13" ht="13.5" thickTop="1">
      <c r="E97" s="187"/>
      <c r="F97" s="187"/>
      <c r="G97" s="791"/>
      <c r="H97" s="187"/>
      <c r="I97" s="187"/>
      <c r="J97" s="313"/>
      <c r="K97" s="313"/>
      <c r="L97" s="313"/>
    </row>
    <row r="101" spans="2:13">
      <c r="B101" s="261">
        <v>11</v>
      </c>
      <c r="D101" s="1750" t="s">
        <v>1334</v>
      </c>
      <c r="E101" s="268"/>
      <c r="F101" s="184">
        <v>2013</v>
      </c>
      <c r="G101" s="312"/>
      <c r="H101" s="184">
        <v>2012</v>
      </c>
      <c r="I101" s="268"/>
      <c r="J101" s="184">
        <v>2011</v>
      </c>
      <c r="K101" s="1746"/>
      <c r="L101" s="184">
        <v>2009</v>
      </c>
    </row>
    <row r="102" spans="2:13">
      <c r="D102" s="1750"/>
      <c r="E102" s="268"/>
      <c r="F102" s="354" t="s">
        <v>299</v>
      </c>
      <c r="G102" s="1276"/>
      <c r="H102" s="354" t="s">
        <v>299</v>
      </c>
      <c r="I102" s="268"/>
      <c r="J102" s="185" t="s">
        <v>7</v>
      </c>
      <c r="K102" s="1746"/>
      <c r="L102" s="185" t="s">
        <v>7</v>
      </c>
    </row>
    <row r="103" spans="2:13">
      <c r="D103" s="187"/>
      <c r="E103" s="186"/>
      <c r="F103" s="186"/>
      <c r="G103" s="290"/>
      <c r="H103" s="186"/>
      <c r="I103" s="186"/>
      <c r="J103" s="297"/>
      <c r="K103" s="186"/>
      <c r="L103" s="297"/>
    </row>
    <row r="104" spans="2:13">
      <c r="D104" s="74"/>
      <c r="E104" s="187"/>
      <c r="F104" s="187"/>
      <c r="G104" s="791"/>
      <c r="H104" s="811"/>
      <c r="I104" s="187"/>
      <c r="J104" s="469"/>
      <c r="K104" s="290"/>
      <c r="L104" s="469">
        <v>11507737</v>
      </c>
    </row>
    <row r="105" spans="2:13">
      <c r="C105" s="294" t="s">
        <v>1320</v>
      </c>
      <c r="D105" s="74" t="str">
        <f>B_Sheet13!D91</f>
        <v>Instal teknike,instrumenta</v>
      </c>
      <c r="E105" s="288"/>
      <c r="F105" s="288">
        <f>B_Sheet13!H91</f>
        <v>4936240.1899999995</v>
      </c>
      <c r="G105" s="1279"/>
      <c r="H105" s="288">
        <f>B_Sheet13!I91</f>
        <v>1968722.21</v>
      </c>
      <c r="I105" s="288"/>
      <c r="J105" s="419"/>
      <c r="K105" s="186"/>
      <c r="L105" s="419">
        <v>1952300</v>
      </c>
    </row>
    <row r="106" spans="2:13">
      <c r="C106" s="294" t="s">
        <v>1321</v>
      </c>
      <c r="D106" s="59" t="str">
        <f>B_Sheet13!D92</f>
        <v>Paisje zyra,automjete</v>
      </c>
      <c r="E106" s="288"/>
      <c r="F106" s="288">
        <f>B_Sheet13!H92</f>
        <v>10305525.33</v>
      </c>
      <c r="G106" s="1279"/>
      <c r="H106" s="288">
        <f>B_Sheet13!I92</f>
        <v>2205822.8400000008</v>
      </c>
      <c r="I106" s="288"/>
      <c r="J106" s="419">
        <v>1899793</v>
      </c>
      <c r="K106" s="186"/>
      <c r="L106" s="419">
        <v>32347708</v>
      </c>
    </row>
    <row r="107" spans="2:13">
      <c r="C107" s="294" t="s">
        <v>1323</v>
      </c>
      <c r="D107" s="315" t="str">
        <f>B_Sheet13!D93</f>
        <v>Paisje informatike</v>
      </c>
      <c r="E107" s="288"/>
      <c r="F107" s="288">
        <f>B_Sheet13!H93</f>
        <v>9022248.660000002</v>
      </c>
      <c r="G107" s="1279"/>
      <c r="H107" s="288">
        <f>B_Sheet13!I93</f>
        <v>10513785.865400001</v>
      </c>
      <c r="I107" s="288"/>
      <c r="J107" s="419">
        <v>6404953</v>
      </c>
      <c r="K107" s="186"/>
      <c r="L107" s="419">
        <f>39433762+8461501</f>
        <v>47895263</v>
      </c>
    </row>
    <row r="108" spans="2:13">
      <c r="C108" s="294"/>
      <c r="D108" s="315"/>
      <c r="E108" s="288"/>
      <c r="F108" s="288"/>
      <c r="G108" s="1279"/>
      <c r="H108" s="288"/>
      <c r="I108" s="288"/>
      <c r="J108" s="288"/>
      <c r="K108" s="186"/>
      <c r="L108" s="288"/>
    </row>
    <row r="109" spans="2:13" ht="13.5" thickBot="1">
      <c r="E109" s="187"/>
      <c r="F109" s="314">
        <f>SUM(F104:F108)</f>
        <v>24264014.18</v>
      </c>
      <c r="G109" s="313"/>
      <c r="H109" s="314">
        <f>SUM(H104:H108)</f>
        <v>14688330.915400002</v>
      </c>
      <c r="I109" s="187"/>
      <c r="J109" s="314">
        <f>SUM(J104:J108)</f>
        <v>8304746</v>
      </c>
      <c r="K109" s="314"/>
      <c r="L109" s="314">
        <f>SUM(L104:L108)</f>
        <v>93703008</v>
      </c>
      <c r="M109" s="313"/>
    </row>
    <row r="110" spans="2:13" ht="13.5" thickTop="1">
      <c r="M110" s="60"/>
    </row>
    <row r="111" spans="2:13">
      <c r="D111" s="1058" t="s">
        <v>506</v>
      </c>
    </row>
    <row r="112" spans="2:13">
      <c r="D112" s="1072" t="s">
        <v>507</v>
      </c>
      <c r="E112" s="263"/>
      <c r="F112" s="263"/>
      <c r="G112" s="1012"/>
      <c r="H112" s="263"/>
      <c r="I112" s="263"/>
      <c r="J112" s="263"/>
    </row>
    <row r="113" spans="2:10">
      <c r="D113" s="263"/>
      <c r="E113" s="263"/>
      <c r="F113" s="263"/>
      <c r="G113" s="1012"/>
      <c r="H113" s="263"/>
      <c r="I113" s="263"/>
      <c r="J113" s="263"/>
    </row>
    <row r="114" spans="2:10">
      <c r="D114" s="263"/>
      <c r="E114" s="263"/>
      <c r="F114" s="263"/>
      <c r="G114" s="1012"/>
      <c r="H114" s="263"/>
      <c r="I114" s="263"/>
      <c r="J114" s="263"/>
    </row>
    <row r="115" spans="2:10">
      <c r="B115" s="261" t="s">
        <v>1040</v>
      </c>
      <c r="D115" s="1752" t="s">
        <v>277</v>
      </c>
      <c r="E115" s="268"/>
      <c r="F115" s="184">
        <v>2013</v>
      </c>
      <c r="G115" s="312"/>
      <c r="H115" s="184">
        <v>2012</v>
      </c>
      <c r="I115" s="268"/>
      <c r="J115" s="184">
        <v>2011</v>
      </c>
    </row>
    <row r="116" spans="2:10">
      <c r="D116" s="1750"/>
      <c r="E116" s="268"/>
      <c r="F116" s="354" t="s">
        <v>299</v>
      </c>
      <c r="G116" s="1276"/>
      <c r="H116" s="354" t="s">
        <v>299</v>
      </c>
      <c r="I116" s="268"/>
      <c r="J116" s="185" t="s">
        <v>7</v>
      </c>
    </row>
    <row r="117" spans="2:10">
      <c r="D117" s="187"/>
      <c r="E117" s="186"/>
      <c r="F117" s="186"/>
      <c r="G117" s="290"/>
      <c r="H117" s="186"/>
      <c r="I117" s="186"/>
      <c r="J117" s="297"/>
    </row>
    <row r="118" spans="2:10">
      <c r="D118" s="74"/>
      <c r="E118" s="187"/>
      <c r="F118" s="187"/>
      <c r="G118" s="791"/>
      <c r="H118" s="811">
        <f>B_Sheet13!I112</f>
        <v>0</v>
      </c>
      <c r="I118" s="187"/>
      <c r="J118" s="469"/>
    </row>
    <row r="119" spans="2:10">
      <c r="C119" s="294"/>
      <c r="D119" s="74" t="s">
        <v>448</v>
      </c>
      <c r="E119" s="288"/>
      <c r="F119" s="288">
        <f>B_Sheet13!H98</f>
        <v>1117017</v>
      </c>
      <c r="G119" s="1279"/>
      <c r="H119" s="288">
        <f>B_Sheet13!I96</f>
        <v>1314138</v>
      </c>
      <c r="I119" s="288"/>
      <c r="J119" s="419">
        <v>571889</v>
      </c>
    </row>
    <row r="120" spans="2:10">
      <c r="C120" s="294"/>
      <c r="D120" s="315"/>
      <c r="E120" s="288"/>
      <c r="F120" s="288"/>
      <c r="G120" s="1279"/>
      <c r="H120" s="288"/>
      <c r="I120" s="288"/>
      <c r="J120" s="288"/>
    </row>
    <row r="121" spans="2:10" ht="13.5" thickBot="1">
      <c r="E121" s="187"/>
      <c r="F121" s="314">
        <f>SUM(F118:F120)</f>
        <v>1117017</v>
      </c>
      <c r="G121" s="313"/>
      <c r="H121" s="314">
        <f>SUM(H118:H120)</f>
        <v>1314138</v>
      </c>
      <c r="I121" s="187"/>
      <c r="J121" s="314">
        <f>SUM(J118:J120)</f>
        <v>571889</v>
      </c>
    </row>
    <row r="122" spans="2:10" ht="13.5" thickTop="1"/>
    <row r="123" spans="2:10">
      <c r="D123" s="1058" t="s">
        <v>506</v>
      </c>
    </row>
    <row r="124" spans="2:10">
      <c r="D124" s="1072" t="s">
        <v>278</v>
      </c>
      <c r="E124" s="263"/>
      <c r="F124" s="263"/>
      <c r="G124" s="1012"/>
      <c r="H124" s="263"/>
      <c r="I124" s="263"/>
      <c r="J124" s="263"/>
    </row>
    <row r="125" spans="2:10">
      <c r="D125" s="263"/>
      <c r="E125" s="263"/>
      <c r="F125" s="263"/>
      <c r="G125" s="1012"/>
      <c r="H125" s="263"/>
      <c r="I125" s="263"/>
      <c r="J125" s="263"/>
    </row>
    <row r="126" spans="2:10">
      <c r="D126" s="263"/>
      <c r="E126" s="263"/>
      <c r="F126" s="263"/>
      <c r="G126" s="1012"/>
      <c r="H126" s="263"/>
      <c r="I126" s="263"/>
      <c r="J126" s="263"/>
    </row>
    <row r="127" spans="2:10">
      <c r="D127" s="263"/>
      <c r="E127" s="263"/>
      <c r="F127" s="263"/>
      <c r="G127" s="1012"/>
      <c r="H127" s="263"/>
      <c r="I127" s="263"/>
      <c r="J127" s="263"/>
    </row>
    <row r="128" spans="2:10">
      <c r="D128" s="263"/>
      <c r="E128" s="263"/>
      <c r="F128" s="263"/>
      <c r="G128" s="1012"/>
      <c r="H128" s="263"/>
      <c r="I128" s="263"/>
      <c r="J128" s="263"/>
    </row>
    <row r="130" spans="2:13" ht="15.75">
      <c r="D130" s="974"/>
      <c r="E130" s="976" t="s">
        <v>1274</v>
      </c>
      <c r="F130" s="976"/>
      <c r="G130" s="1280"/>
      <c r="H130" s="975"/>
      <c r="I130" s="975"/>
      <c r="J130" s="974"/>
    </row>
    <row r="131" spans="2:13" ht="15.75">
      <c r="B131" s="985" t="s">
        <v>297</v>
      </c>
      <c r="D131" s="263" t="s">
        <v>1041</v>
      </c>
      <c r="E131" s="983"/>
      <c r="F131" s="184">
        <v>2013</v>
      </c>
      <c r="G131" s="312"/>
      <c r="H131" s="184">
        <v>2012</v>
      </c>
      <c r="I131" s="268"/>
      <c r="J131" s="184">
        <v>2011</v>
      </c>
      <c r="K131" s="263"/>
      <c r="L131" s="263"/>
      <c r="M131" s="263"/>
    </row>
    <row r="132" spans="2:13" ht="15.75">
      <c r="D132" s="263"/>
      <c r="E132" s="983"/>
      <c r="F132" s="354" t="s">
        <v>299</v>
      </c>
      <c r="G132" s="1276"/>
      <c r="H132" s="354" t="s">
        <v>299</v>
      </c>
      <c r="I132" s="268"/>
      <c r="J132" s="185" t="s">
        <v>7</v>
      </c>
      <c r="K132" s="263"/>
      <c r="L132" s="263"/>
      <c r="M132" s="263"/>
    </row>
    <row r="133" spans="2:13" ht="15.75">
      <c r="D133" s="263"/>
      <c r="E133" s="983"/>
      <c r="F133" s="983"/>
      <c r="G133" s="1281"/>
      <c r="H133" s="312"/>
      <c r="I133" s="984"/>
      <c r="J133" s="312"/>
      <c r="K133" s="263"/>
      <c r="L133" s="263"/>
      <c r="M133" s="263"/>
    </row>
    <row r="134" spans="2:13" ht="15.75">
      <c r="D134" s="263" t="s">
        <v>279</v>
      </c>
      <c r="E134" s="983"/>
      <c r="F134" s="1437">
        <f>B_Sheet13!S36</f>
        <v>45486750.579999998</v>
      </c>
      <c r="G134" s="1281"/>
      <c r="H134" s="1438">
        <f>B_Sheet13!T61</f>
        <v>27381150.81000001</v>
      </c>
      <c r="I134" s="984"/>
      <c r="J134" s="986">
        <f>B_Sheet13!U61</f>
        <v>5284079</v>
      </c>
      <c r="K134" s="263"/>
      <c r="L134" s="263"/>
      <c r="M134" s="263"/>
    </row>
    <row r="135" spans="2:13" ht="16.5" thickBot="1">
      <c r="D135" s="263"/>
      <c r="E135" s="983"/>
      <c r="F135" s="314">
        <f>SUM(F134)</f>
        <v>45486750.579999998</v>
      </c>
      <c r="G135" s="313"/>
      <c r="H135" s="314">
        <f>SUM(H134)</f>
        <v>27381150.81000001</v>
      </c>
      <c r="I135" s="984"/>
      <c r="J135" s="314">
        <f>SUM(J134)</f>
        <v>5284079</v>
      </c>
      <c r="K135" s="263"/>
      <c r="L135" s="263"/>
      <c r="M135" s="263"/>
    </row>
    <row r="136" spans="2:13" ht="16.5" thickTop="1">
      <c r="D136" s="263"/>
      <c r="E136" s="983"/>
      <c r="F136" s="983"/>
      <c r="G136" s="1281"/>
      <c r="H136" s="984"/>
      <c r="I136" s="984"/>
      <c r="J136" s="263"/>
      <c r="K136" s="263"/>
      <c r="L136" s="263"/>
      <c r="M136" s="263"/>
    </row>
    <row r="137" spans="2:13">
      <c r="B137" s="261">
        <v>12</v>
      </c>
      <c r="D137" s="1750" t="s">
        <v>473</v>
      </c>
      <c r="E137" s="268"/>
      <c r="F137" s="184">
        <v>2013</v>
      </c>
      <c r="G137" s="312"/>
      <c r="H137" s="184">
        <v>2012</v>
      </c>
      <c r="I137" s="268"/>
      <c r="J137" s="184">
        <v>2011</v>
      </c>
      <c r="K137" s="1746"/>
      <c r="L137" s="184">
        <v>2009</v>
      </c>
    </row>
    <row r="138" spans="2:13">
      <c r="D138" s="1750"/>
      <c r="E138" s="268"/>
      <c r="F138" s="354" t="s">
        <v>299</v>
      </c>
      <c r="G138" s="1276"/>
      <c r="H138" s="354" t="s">
        <v>299</v>
      </c>
      <c r="I138" s="268"/>
      <c r="J138" s="185" t="s">
        <v>7</v>
      </c>
      <c r="K138" s="1746"/>
      <c r="L138" s="185" t="s">
        <v>7</v>
      </c>
    </row>
    <row r="139" spans="2:13">
      <c r="D139" s="186"/>
      <c r="E139" s="186"/>
      <c r="F139" s="186"/>
      <c r="G139" s="290"/>
      <c r="H139" s="186"/>
      <c r="I139" s="186"/>
      <c r="J139" s="186"/>
      <c r="K139" s="186"/>
      <c r="L139" s="186"/>
    </row>
    <row r="140" spans="2:13">
      <c r="D140" s="187" t="s">
        <v>10</v>
      </c>
      <c r="E140" s="187"/>
      <c r="F140" s="187"/>
      <c r="G140" s="791"/>
      <c r="H140" s="187"/>
      <c r="I140" s="187"/>
      <c r="J140" s="58"/>
      <c r="K140" s="305"/>
      <c r="L140" s="58"/>
    </row>
    <row r="141" spans="2:13">
      <c r="C141" s="294" t="s">
        <v>1320</v>
      </c>
      <c r="D141" s="187" t="s">
        <v>333</v>
      </c>
      <c r="F141" s="1384">
        <v>46650</v>
      </c>
      <c r="H141" s="61">
        <v>97940</v>
      </c>
      <c r="J141" s="421"/>
      <c r="K141" s="191"/>
      <c r="L141" s="421"/>
    </row>
    <row r="142" spans="2:13">
      <c r="C142" s="294" t="s">
        <v>1321</v>
      </c>
      <c r="D142" s="187" t="s">
        <v>334</v>
      </c>
      <c r="F142" s="1384">
        <v>1369662</v>
      </c>
      <c r="H142" s="61">
        <v>933265</v>
      </c>
      <c r="J142" s="421"/>
      <c r="K142" s="191"/>
      <c r="L142" s="421"/>
    </row>
    <row r="143" spans="2:13">
      <c r="C143" s="294" t="s">
        <v>1323</v>
      </c>
      <c r="D143" s="187" t="s">
        <v>335</v>
      </c>
      <c r="F143" s="1384"/>
      <c r="H143" s="61">
        <v>204986.6</v>
      </c>
      <c r="J143" s="421"/>
      <c r="K143" s="191"/>
      <c r="L143" s="421"/>
    </row>
    <row r="144" spans="2:13">
      <c r="C144" s="294" t="s">
        <v>1324</v>
      </c>
      <c r="D144" s="187" t="s">
        <v>336</v>
      </c>
      <c r="F144" s="1384">
        <v>255580</v>
      </c>
      <c r="H144" s="61">
        <v>152500</v>
      </c>
      <c r="J144" s="421"/>
      <c r="K144" s="191"/>
      <c r="L144" s="421"/>
    </row>
    <row r="145" spans="2:12">
      <c r="C145" s="294" t="s">
        <v>1539</v>
      </c>
      <c r="D145" s="187" t="s">
        <v>337</v>
      </c>
      <c r="F145" s="1384">
        <v>589129</v>
      </c>
      <c r="H145" s="61">
        <v>184063</v>
      </c>
      <c r="J145" s="421"/>
      <c r="K145" s="191"/>
      <c r="L145" s="421"/>
    </row>
    <row r="146" spans="2:12">
      <c r="C146" s="294" t="s">
        <v>1271</v>
      </c>
      <c r="D146" s="187" t="s">
        <v>338</v>
      </c>
      <c r="F146" s="1384">
        <v>311565</v>
      </c>
      <c r="H146" s="61">
        <v>311564.88</v>
      </c>
      <c r="J146" s="421"/>
      <c r="K146" s="191"/>
      <c r="L146" s="421"/>
    </row>
    <row r="147" spans="2:12">
      <c r="C147" s="294" t="s">
        <v>1272</v>
      </c>
      <c r="D147" s="187" t="s">
        <v>339</v>
      </c>
      <c r="F147" s="1384">
        <v>687300</v>
      </c>
      <c r="H147" s="61">
        <v>687300</v>
      </c>
      <c r="J147" s="421"/>
      <c r="K147" s="191"/>
      <c r="L147" s="421"/>
    </row>
    <row r="148" spans="2:12">
      <c r="C148" s="294" t="s">
        <v>1691</v>
      </c>
      <c r="D148" s="187" t="s">
        <v>449</v>
      </c>
      <c r="F148" s="1384">
        <v>11749008</v>
      </c>
      <c r="H148" s="61"/>
      <c r="J148" s="421"/>
      <c r="K148" s="191"/>
      <c r="L148" s="421"/>
    </row>
    <row r="149" spans="2:12">
      <c r="C149" s="294" t="s">
        <v>1692</v>
      </c>
      <c r="D149" s="187" t="s">
        <v>450</v>
      </c>
      <c r="F149" s="1384">
        <v>1214178</v>
      </c>
      <c r="H149" s="61"/>
      <c r="J149" s="421"/>
      <c r="K149" s="191"/>
      <c r="L149" s="421"/>
    </row>
    <row r="150" spans="2:12">
      <c r="C150" s="506" t="s">
        <v>873</v>
      </c>
      <c r="D150" s="187" t="s">
        <v>451</v>
      </c>
      <c r="F150" s="1384">
        <v>173530</v>
      </c>
      <c r="H150" s="61"/>
      <c r="J150" s="421"/>
      <c r="K150" s="191"/>
      <c r="L150" s="421"/>
    </row>
    <row r="151" spans="2:12">
      <c r="C151" s="506" t="s">
        <v>874</v>
      </c>
      <c r="D151" s="187" t="s">
        <v>452</v>
      </c>
      <c r="F151" s="1384">
        <v>114100</v>
      </c>
      <c r="H151" s="61"/>
      <c r="J151" s="421"/>
      <c r="K151" s="191"/>
      <c r="L151" s="421"/>
    </row>
    <row r="152" spans="2:12">
      <c r="C152" s="506" t="s">
        <v>1710</v>
      </c>
      <c r="D152" s="187" t="s">
        <v>453</v>
      </c>
      <c r="F152" s="1384">
        <v>105980</v>
      </c>
      <c r="H152" s="61"/>
      <c r="J152" s="421"/>
      <c r="K152" s="191"/>
      <c r="L152" s="421"/>
    </row>
    <row r="153" spans="2:12">
      <c r="C153" s="506" t="s">
        <v>1406</v>
      </c>
      <c r="D153" s="59" t="s">
        <v>1439</v>
      </c>
      <c r="F153" s="1384">
        <v>6117</v>
      </c>
      <c r="H153" s="61">
        <v>376805.85</v>
      </c>
      <c r="J153" s="421"/>
      <c r="K153" s="191"/>
      <c r="L153" s="421" t="e">
        <f>B_Sheet13!#REF!</f>
        <v>#REF!</v>
      </c>
    </row>
    <row r="154" spans="2:12" ht="13.5" thickBot="1">
      <c r="D154" s="194"/>
      <c r="E154" s="194"/>
      <c r="F154" s="314">
        <f>SUM(F141:F153)</f>
        <v>16622799</v>
      </c>
      <c r="G154" s="313"/>
      <c r="H154" s="314">
        <f>SUM(H141:H153)</f>
        <v>2948425.33</v>
      </c>
      <c r="I154" s="194"/>
      <c r="J154" s="190">
        <f>SUM(J141:J153)</f>
        <v>0</v>
      </c>
      <c r="K154" s="197"/>
      <c r="L154" s="190" t="e">
        <f>SUM(L141:L153)</f>
        <v>#REF!</v>
      </c>
    </row>
    <row r="155" spans="2:12" ht="13.5" thickTop="1">
      <c r="D155" s="194"/>
      <c r="E155" s="194"/>
      <c r="F155" s="194"/>
      <c r="G155" s="794"/>
      <c r="H155" s="194"/>
      <c r="I155" s="194"/>
      <c r="J155" s="313"/>
      <c r="K155" s="197"/>
      <c r="L155" s="313"/>
    </row>
    <row r="156" spans="2:12">
      <c r="D156" s="59" t="s">
        <v>1224</v>
      </c>
    </row>
    <row r="158" spans="2:12">
      <c r="B158" s="261">
        <v>13</v>
      </c>
      <c r="C158" s="262"/>
      <c r="D158" s="1750" t="s">
        <v>1346</v>
      </c>
      <c r="E158" s="268"/>
      <c r="F158" s="184">
        <v>2013</v>
      </c>
      <c r="G158" s="312"/>
      <c r="H158" s="184">
        <v>2012</v>
      </c>
      <c r="I158" s="268"/>
      <c r="J158" s="184">
        <v>2011</v>
      </c>
      <c r="K158" s="1746"/>
      <c r="L158" s="184">
        <v>2009</v>
      </c>
    </row>
    <row r="159" spans="2:12">
      <c r="D159" s="1750"/>
      <c r="E159" s="268"/>
      <c r="F159" s="354" t="s">
        <v>299</v>
      </c>
      <c r="G159" s="1276"/>
      <c r="H159" s="354" t="s">
        <v>299</v>
      </c>
      <c r="I159" s="268"/>
      <c r="J159" s="185" t="s">
        <v>7</v>
      </c>
      <c r="K159" s="1746"/>
      <c r="L159" s="185" t="s">
        <v>7</v>
      </c>
    </row>
    <row r="160" spans="2:12">
      <c r="D160" s="268"/>
      <c r="E160" s="268"/>
      <c r="F160" s="268"/>
      <c r="G160" s="790"/>
      <c r="H160" s="268"/>
      <c r="I160" s="268"/>
      <c r="J160" s="312"/>
      <c r="K160" s="184"/>
      <c r="L160" s="312"/>
    </row>
    <row r="161" spans="2:12">
      <c r="D161" s="1619" t="s">
        <v>1734</v>
      </c>
      <c r="E161" s="186"/>
      <c r="F161" s="805">
        <f>B_Sheet13!S40</f>
        <v>867102</v>
      </c>
      <c r="G161" s="290"/>
      <c r="H161" s="805">
        <f>B_Sheet13!T40</f>
        <v>181044</v>
      </c>
      <c r="I161" s="186"/>
      <c r="J161" s="421">
        <f>B_Sheet13!U67</f>
        <v>463046</v>
      </c>
      <c r="K161" s="290"/>
      <c r="L161" s="421" t="e">
        <f>B_Sheet13!#REF!</f>
        <v>#REF!</v>
      </c>
    </row>
    <row r="162" spans="2:12">
      <c r="D162" s="187"/>
      <c r="E162" s="187"/>
      <c r="F162" s="187"/>
      <c r="G162" s="791"/>
      <c r="H162" s="187"/>
      <c r="I162" s="187"/>
      <c r="J162" s="188"/>
      <c r="K162" s="191"/>
      <c r="L162" s="188"/>
    </row>
    <row r="163" spans="2:12" ht="13.5" thickBot="1">
      <c r="D163" s="194"/>
      <c r="E163" s="194"/>
      <c r="F163" s="264">
        <f>SUM(F161:F162)</f>
        <v>867102</v>
      </c>
      <c r="G163" s="293"/>
      <c r="H163" s="264">
        <f>SUM(H161:H162)</f>
        <v>181044</v>
      </c>
      <c r="I163" s="194"/>
      <c r="J163" s="264">
        <f>SUM(J161:J162)</f>
        <v>463046</v>
      </c>
      <c r="K163" s="293"/>
      <c r="L163" s="264" t="e">
        <f>SUM(L161:L162)</f>
        <v>#REF!</v>
      </c>
    </row>
    <row r="164" spans="2:12" ht="13.5" thickTop="1">
      <c r="D164" s="194"/>
      <c r="E164" s="194"/>
      <c r="F164" s="194"/>
      <c r="G164" s="794"/>
      <c r="H164" s="194"/>
      <c r="I164" s="194"/>
      <c r="J164" s="293"/>
      <c r="K164" s="293"/>
      <c r="L164" s="293"/>
    </row>
    <row r="165" spans="2:12">
      <c r="D165" s="1073" t="s">
        <v>298</v>
      </c>
      <c r="E165" s="194"/>
      <c r="F165" s="194"/>
      <c r="G165" s="794"/>
      <c r="H165" s="194"/>
      <c r="I165" s="194"/>
      <c r="J165" s="293"/>
      <c r="K165" s="293"/>
      <c r="L165" s="293"/>
    </row>
    <row r="167" spans="2:12">
      <c r="B167" s="261">
        <v>14</v>
      </c>
      <c r="C167" s="262"/>
      <c r="D167" s="1748" t="s">
        <v>1440</v>
      </c>
      <c r="E167" s="268"/>
      <c r="F167" s="184">
        <v>2013</v>
      </c>
      <c r="G167" s="312"/>
      <c r="H167" s="184">
        <v>2012</v>
      </c>
      <c r="I167" s="268"/>
      <c r="J167" s="184">
        <v>2011</v>
      </c>
      <c r="K167" s="1746"/>
      <c r="L167" s="184">
        <v>2009</v>
      </c>
    </row>
    <row r="168" spans="2:12">
      <c r="D168" s="1748"/>
      <c r="E168" s="268"/>
      <c r="F168" s="354" t="s">
        <v>299</v>
      </c>
      <c r="G168" s="1276"/>
      <c r="H168" s="354" t="s">
        <v>299</v>
      </c>
      <c r="I168" s="268"/>
      <c r="J168" s="185" t="s">
        <v>7</v>
      </c>
      <c r="K168" s="1746"/>
      <c r="L168" s="185" t="s">
        <v>7</v>
      </c>
    </row>
    <row r="169" spans="2:12">
      <c r="D169" s="186"/>
      <c r="E169" s="186"/>
      <c r="F169" s="186"/>
      <c r="G169" s="290"/>
      <c r="H169" s="186"/>
      <c r="I169" s="186"/>
      <c r="J169" s="186"/>
      <c r="K169" s="186"/>
      <c r="L169" s="186"/>
    </row>
    <row r="170" spans="2:12">
      <c r="C170" s="294" t="s">
        <v>1320</v>
      </c>
      <c r="D170" s="187" t="s">
        <v>143</v>
      </c>
      <c r="E170" s="187"/>
      <c r="F170" s="187"/>
      <c r="G170" s="791"/>
      <c r="H170" s="811">
        <f>'A P MC BM 12'!I15</f>
        <v>468764</v>
      </c>
      <c r="I170" s="187"/>
      <c r="J170" s="61">
        <f>B_Sheet13!U68</f>
        <v>155659</v>
      </c>
      <c r="K170" s="289"/>
      <c r="L170" s="421"/>
    </row>
    <row r="171" spans="2:12" ht="25.5">
      <c r="C171" s="294" t="s">
        <v>1321</v>
      </c>
      <c r="D171" s="187" t="s">
        <v>474</v>
      </c>
      <c r="E171" s="187"/>
      <c r="F171" s="1381">
        <f>B_Sheet13!S41</f>
        <v>2000</v>
      </c>
      <c r="G171" s="791"/>
      <c r="H171" s="1386">
        <f>'A P MC BM 12'!I16</f>
        <v>156337</v>
      </c>
      <c r="I171" s="187"/>
      <c r="J171" s="61"/>
      <c r="K171" s="289"/>
      <c r="L171" s="421"/>
    </row>
    <row r="172" spans="2:12">
      <c r="C172" s="294" t="s">
        <v>1323</v>
      </c>
      <c r="D172" s="59" t="s">
        <v>136</v>
      </c>
      <c r="E172" s="187"/>
      <c r="F172" s="187"/>
      <c r="G172" s="791"/>
      <c r="H172" s="811"/>
      <c r="I172" s="187"/>
      <c r="J172" s="811"/>
      <c r="K172" s="191"/>
      <c r="L172" s="288"/>
    </row>
    <row r="173" spans="2:12">
      <c r="C173" s="294" t="s">
        <v>1324</v>
      </c>
      <c r="D173" s="59" t="s">
        <v>1408</v>
      </c>
      <c r="E173" s="187"/>
      <c r="F173" s="806">
        <f>B_Sheet13!S42</f>
        <v>276855.24</v>
      </c>
      <c r="G173" s="791"/>
      <c r="H173" s="811">
        <f>'A P MC BM 12'!I18</f>
        <v>155383.25</v>
      </c>
      <c r="I173" s="187"/>
      <c r="J173" s="811">
        <f>B_Sheet13!U70</f>
        <v>75438</v>
      </c>
      <c r="K173" s="191"/>
      <c r="L173" s="288"/>
    </row>
    <row r="174" spans="2:12">
      <c r="C174" s="294" t="s">
        <v>1539</v>
      </c>
      <c r="D174" s="59" t="s">
        <v>1378</v>
      </c>
      <c r="E174" s="187"/>
      <c r="F174" s="187"/>
      <c r="G174" s="791"/>
      <c r="H174" s="811"/>
      <c r="I174" s="187"/>
      <c r="J174" s="811"/>
      <c r="K174" s="191"/>
      <c r="L174" s="288"/>
    </row>
    <row r="175" spans="2:12">
      <c r="C175" s="294" t="s">
        <v>1271</v>
      </c>
      <c r="D175" s="59" t="s">
        <v>959</v>
      </c>
      <c r="E175" s="187"/>
      <c r="F175" s="187"/>
      <c r="G175" s="791"/>
      <c r="H175" s="811"/>
      <c r="I175" s="187"/>
      <c r="J175" s="811"/>
      <c r="K175" s="191"/>
      <c r="L175" s="288"/>
    </row>
    <row r="176" spans="2:12">
      <c r="C176" s="294" t="s">
        <v>1272</v>
      </c>
      <c r="D176" s="59" t="s">
        <v>960</v>
      </c>
      <c r="E176" s="187"/>
      <c r="F176" s="187"/>
      <c r="G176" s="791"/>
      <c r="H176" s="811"/>
      <c r="I176" s="187"/>
      <c r="J176" s="811"/>
      <c r="K176" s="191"/>
      <c r="L176" s="288"/>
    </row>
    <row r="177" spans="2:12">
      <c r="C177" s="294" t="s">
        <v>1691</v>
      </c>
      <c r="D177" s="59" t="s">
        <v>961</v>
      </c>
      <c r="E177" s="187"/>
      <c r="F177" s="187"/>
      <c r="G177" s="791"/>
      <c r="H177" s="811"/>
      <c r="I177" s="187"/>
      <c r="J177" s="811"/>
      <c r="K177" s="191"/>
      <c r="L177" s="288"/>
    </row>
    <row r="178" spans="2:12">
      <c r="C178" s="294" t="s">
        <v>1692</v>
      </c>
      <c r="D178" s="59" t="s">
        <v>962</v>
      </c>
      <c r="E178" s="187"/>
      <c r="F178" s="187"/>
      <c r="G178" s="791"/>
      <c r="H178" s="811"/>
      <c r="I178" s="187"/>
      <c r="J178" s="811"/>
      <c r="K178" s="191"/>
      <c r="L178" s="288"/>
    </row>
    <row r="179" spans="2:12" ht="13.5" thickBot="1">
      <c r="C179" s="506"/>
      <c r="D179" s="194"/>
      <c r="E179" s="194"/>
      <c r="F179" s="264">
        <f>SUM(F170:F178)</f>
        <v>278855.24</v>
      </c>
      <c r="G179" s="293"/>
      <c r="H179" s="264">
        <f>SUM(H170:H178)</f>
        <v>780484.25</v>
      </c>
      <c r="I179" s="194"/>
      <c r="J179" s="264">
        <f>SUM(J170:J174)</f>
        <v>231097</v>
      </c>
      <c r="K179" s="196"/>
      <c r="L179" s="264">
        <f>SUM(L170:L172)</f>
        <v>0</v>
      </c>
    </row>
    <row r="180" spans="2:12" ht="13.5" thickTop="1">
      <c r="C180" s="506"/>
      <c r="D180" s="194"/>
      <c r="E180" s="194"/>
      <c r="F180" s="194"/>
      <c r="G180" s="794"/>
      <c r="H180" s="194"/>
      <c r="I180" s="194"/>
      <c r="J180" s="293"/>
      <c r="K180" s="196"/>
      <c r="L180" s="293"/>
    </row>
    <row r="181" spans="2:12">
      <c r="C181" s="506"/>
      <c r="D181" s="1072" t="s">
        <v>963</v>
      </c>
    </row>
    <row r="182" spans="2:12">
      <c r="C182" s="506"/>
      <c r="D182" s="1058" t="s">
        <v>1740</v>
      </c>
    </row>
    <row r="183" spans="2:12">
      <c r="D183" s="1058"/>
    </row>
    <row r="184" spans="2:12">
      <c r="D184" s="263"/>
    </row>
    <row r="185" spans="2:12">
      <c r="B185" s="261">
        <v>16</v>
      </c>
      <c r="D185" s="980" t="s">
        <v>964</v>
      </c>
      <c r="F185" s="184">
        <v>2013</v>
      </c>
      <c r="G185" s="312"/>
      <c r="H185" s="184">
        <v>2012</v>
      </c>
      <c r="I185" s="268"/>
      <c r="J185" s="184">
        <v>2011</v>
      </c>
    </row>
    <row r="186" spans="2:12">
      <c r="D186" s="263"/>
      <c r="F186" s="354" t="s">
        <v>299</v>
      </c>
      <c r="G186" s="1276"/>
      <c r="H186" s="354" t="s">
        <v>299</v>
      </c>
      <c r="I186" s="268"/>
      <c r="J186" s="185" t="s">
        <v>7</v>
      </c>
    </row>
    <row r="187" spans="2:12">
      <c r="D187" s="263"/>
      <c r="H187" s="312"/>
      <c r="J187" s="312"/>
    </row>
    <row r="188" spans="2:12">
      <c r="D188" s="263" t="s">
        <v>281</v>
      </c>
      <c r="F188" s="61">
        <f>B_Sheet13!S34</f>
        <v>51163004.120000005</v>
      </c>
      <c r="H188" s="1387">
        <f>B_Sheet13!T83</f>
        <v>32890500.489999998</v>
      </c>
      <c r="J188" s="981">
        <f>B_Sheet13!U83</f>
        <v>11385269</v>
      </c>
    </row>
    <row r="189" spans="2:12" ht="13.5" thickBot="1">
      <c r="F189" s="264">
        <f>SUM(F187:F188)</f>
        <v>51163004.120000005</v>
      </c>
      <c r="G189" s="293"/>
      <c r="H189" s="264">
        <f>SUM(H187:H188)</f>
        <v>32890500.489999998</v>
      </c>
      <c r="J189" s="264">
        <f>SUM(J187:J188)</f>
        <v>11385269</v>
      </c>
    </row>
    <row r="190" spans="2:12" ht="13.5" thickTop="1">
      <c r="H190" s="293"/>
      <c r="J190" s="293"/>
    </row>
    <row r="192" spans="2:12">
      <c r="B192" s="261" t="s">
        <v>1402</v>
      </c>
      <c r="C192" s="262"/>
      <c r="D192" s="1751" t="s">
        <v>509</v>
      </c>
      <c r="E192" s="268"/>
      <c r="F192" s="184">
        <v>2013</v>
      </c>
      <c r="G192" s="312"/>
      <c r="H192" s="184">
        <v>2012</v>
      </c>
      <c r="I192" s="268"/>
      <c r="J192" s="184">
        <v>2011</v>
      </c>
      <c r="K192" s="1746"/>
      <c r="L192" s="184">
        <v>2009</v>
      </c>
    </row>
    <row r="193" spans="2:12">
      <c r="D193" s="1751"/>
      <c r="E193" s="268"/>
      <c r="F193" s="354" t="s">
        <v>299</v>
      </c>
      <c r="G193" s="1276"/>
      <c r="H193" s="354" t="s">
        <v>299</v>
      </c>
      <c r="I193" s="268"/>
      <c r="J193" s="185" t="s">
        <v>7</v>
      </c>
      <c r="K193" s="1746"/>
      <c r="L193" s="185" t="s">
        <v>7</v>
      </c>
    </row>
    <row r="194" spans="2:12">
      <c r="D194" s="399"/>
      <c r="E194" s="186"/>
      <c r="F194" s="186"/>
      <c r="G194" s="290"/>
      <c r="H194" s="186"/>
      <c r="I194" s="186"/>
      <c r="J194" s="186"/>
      <c r="K194" s="186"/>
      <c r="L194" s="186"/>
    </row>
    <row r="195" spans="2:12">
      <c r="D195" s="400" t="s">
        <v>509</v>
      </c>
      <c r="E195" s="187"/>
      <c r="F195" s="806">
        <f>B_Sheet13!S8</f>
        <v>100000</v>
      </c>
      <c r="G195" s="791"/>
      <c r="H195" s="811">
        <f>B_Sheet13!T8</f>
        <v>100000</v>
      </c>
      <c r="I195" s="187"/>
      <c r="J195" s="288">
        <f>B_Sheet13!U94</f>
        <v>100000</v>
      </c>
      <c r="K195" s="289"/>
      <c r="L195" s="288" t="e">
        <f>B_Sheet13!#REF!</f>
        <v>#REF!</v>
      </c>
    </row>
    <row r="196" spans="2:12">
      <c r="D196" s="400"/>
      <c r="E196" s="187"/>
      <c r="F196" s="187"/>
      <c r="G196" s="791"/>
      <c r="H196" s="187"/>
      <c r="I196" s="187"/>
      <c r="J196" s="188"/>
      <c r="K196" s="186"/>
      <c r="L196" s="191"/>
    </row>
    <row r="197" spans="2:12" ht="13.5" thickBot="1">
      <c r="D197" s="404"/>
      <c r="E197" s="194"/>
      <c r="F197" s="264">
        <f>SUM(F195:F196)</f>
        <v>100000</v>
      </c>
      <c r="G197" s="293"/>
      <c r="H197" s="264">
        <f>SUM(H195:H196)</f>
        <v>100000</v>
      </c>
      <c r="I197" s="194"/>
      <c r="J197" s="264">
        <f>SUM(J195:J196)</f>
        <v>100000</v>
      </c>
      <c r="K197" s="196"/>
      <c r="L197" s="264" t="e">
        <f>SUM(L195:L196)</f>
        <v>#REF!</v>
      </c>
    </row>
    <row r="198" spans="2:12" ht="13.5" thickTop="1">
      <c r="D198" s="404"/>
      <c r="E198" s="194"/>
      <c r="F198" s="194"/>
      <c r="G198" s="794"/>
      <c r="H198" s="194"/>
      <c r="I198" s="194"/>
      <c r="J198" s="293"/>
      <c r="K198" s="196"/>
      <c r="L198" s="293"/>
    </row>
    <row r="199" spans="2:12">
      <c r="D199" s="1074" t="s">
        <v>513</v>
      </c>
      <c r="E199" s="194"/>
      <c r="F199" s="194"/>
      <c r="G199" s="794"/>
      <c r="H199" s="194"/>
      <c r="I199" s="194"/>
      <c r="J199" s="293"/>
      <c r="K199" s="196"/>
      <c r="L199" s="293"/>
    </row>
    <row r="200" spans="2:12">
      <c r="D200" s="263"/>
    </row>
    <row r="201" spans="2:12">
      <c r="B201" s="262"/>
      <c r="C201" s="262"/>
      <c r="D201" s="1751" t="s">
        <v>1364</v>
      </c>
      <c r="E201" s="268"/>
      <c r="F201" s="184">
        <v>2013</v>
      </c>
      <c r="G201" s="312"/>
      <c r="H201" s="184">
        <v>2012</v>
      </c>
      <c r="I201" s="268"/>
      <c r="J201" s="184">
        <v>2011</v>
      </c>
      <c r="K201" s="1749"/>
      <c r="L201" s="299">
        <v>2009</v>
      </c>
    </row>
    <row r="202" spans="2:12">
      <c r="D202" s="1751"/>
      <c r="E202" s="268"/>
      <c r="F202" s="354" t="s">
        <v>299</v>
      </c>
      <c r="G202" s="1276"/>
      <c r="H202" s="354" t="s">
        <v>299</v>
      </c>
      <c r="I202" s="268"/>
      <c r="J202" s="185" t="s">
        <v>7</v>
      </c>
      <c r="K202" s="1749"/>
      <c r="L202" s="398" t="s">
        <v>7</v>
      </c>
    </row>
    <row r="203" spans="2:12">
      <c r="D203" s="399"/>
      <c r="E203" s="186"/>
      <c r="F203" s="186"/>
      <c r="G203" s="290"/>
      <c r="H203" s="186"/>
      <c r="I203" s="186"/>
      <c r="J203" s="399"/>
      <c r="K203" s="399"/>
      <c r="L203" s="399"/>
    </row>
    <row r="204" spans="2:12">
      <c r="D204" s="400" t="s">
        <v>1364</v>
      </c>
      <c r="E204" s="187"/>
      <c r="F204" s="187"/>
      <c r="G204" s="791"/>
      <c r="H204" s="187"/>
      <c r="I204" s="187"/>
      <c r="J204" s="401">
        <f>[2]B_Sheet10!R103</f>
        <v>0</v>
      </c>
      <c r="K204" s="324"/>
      <c r="L204" s="401">
        <v>0</v>
      </c>
    </row>
    <row r="205" spans="2:12">
      <c r="D205" s="400"/>
      <c r="E205" s="187"/>
      <c r="F205" s="187"/>
      <c r="G205" s="791"/>
      <c r="H205" s="187"/>
      <c r="I205" s="187"/>
      <c r="J205" s="188"/>
      <c r="K205" s="186"/>
      <c r="L205" s="191"/>
    </row>
    <row r="206" spans="2:12" ht="13.5" thickBot="1">
      <c r="D206" s="404"/>
      <c r="E206" s="194"/>
      <c r="F206" s="264">
        <f>SUM(F204:F205)</f>
        <v>0</v>
      </c>
      <c r="G206" s="293"/>
      <c r="H206" s="264">
        <f>SUM(H204:H205)</f>
        <v>0</v>
      </c>
      <c r="I206" s="194"/>
      <c r="J206" s="264">
        <f>SUM(J204:J205)</f>
        <v>0</v>
      </c>
      <c r="K206" s="196"/>
      <c r="L206" s="264">
        <f>SUM(L204:L205)</f>
        <v>0</v>
      </c>
    </row>
    <row r="207" spans="2:12" ht="13.5" thickTop="1">
      <c r="D207" s="400"/>
      <c r="E207" s="187"/>
      <c r="F207" s="187"/>
      <c r="G207" s="791"/>
      <c r="H207" s="187"/>
      <c r="I207" s="187"/>
      <c r="J207" s="188"/>
      <c r="K207" s="191"/>
      <c r="L207" s="188"/>
    </row>
    <row r="208" spans="2:12">
      <c r="D208" s="400"/>
      <c r="E208" s="187"/>
      <c r="F208" s="187"/>
      <c r="G208" s="791"/>
      <c r="H208" s="187"/>
      <c r="I208" s="187"/>
      <c r="J208" s="188"/>
      <c r="K208" s="191"/>
      <c r="L208" s="188"/>
    </row>
    <row r="209" spans="2:12">
      <c r="B209" s="261" t="s">
        <v>1403</v>
      </c>
      <c r="C209" s="262"/>
      <c r="D209" s="1751" t="s">
        <v>1365</v>
      </c>
      <c r="E209" s="268"/>
      <c r="F209" s="184">
        <v>2013</v>
      </c>
      <c r="G209" s="312"/>
      <c r="H209" s="184">
        <v>2012</v>
      </c>
      <c r="I209" s="268"/>
      <c r="J209" s="184">
        <v>2011</v>
      </c>
      <c r="K209" s="1746"/>
      <c r="L209" s="184">
        <v>2009</v>
      </c>
    </row>
    <row r="210" spans="2:12">
      <c r="D210" s="1751"/>
      <c r="E210" s="268"/>
      <c r="F210" s="354" t="s">
        <v>299</v>
      </c>
      <c r="G210" s="1276"/>
      <c r="H210" s="354" t="s">
        <v>299</v>
      </c>
      <c r="I210" s="268"/>
      <c r="J210" s="185" t="s">
        <v>7</v>
      </c>
      <c r="K210" s="1746"/>
      <c r="L210" s="185" t="s">
        <v>7</v>
      </c>
    </row>
    <row r="211" spans="2:12">
      <c r="D211" s="399"/>
      <c r="E211" s="186"/>
      <c r="F211" s="186"/>
      <c r="G211" s="290"/>
      <c r="H211" s="186"/>
      <c r="I211" s="186"/>
      <c r="J211" s="186"/>
      <c r="K211" s="186"/>
      <c r="L211" s="186"/>
    </row>
    <row r="212" spans="2:12">
      <c r="D212" s="400" t="s">
        <v>1365</v>
      </c>
      <c r="E212" s="187"/>
      <c r="F212" s="806">
        <f>B_Sheet13!S99</f>
        <v>-31356284.5</v>
      </c>
      <c r="G212" s="791"/>
      <c r="H212" s="288">
        <f>B_Sheet13!T99</f>
        <v>-2543304.87</v>
      </c>
      <c r="I212" s="187"/>
      <c r="J212" s="288">
        <f>B_Sheet13!U99</f>
        <v>0</v>
      </c>
      <c r="K212" s="289"/>
      <c r="L212" s="401" t="e">
        <f>B_Sheet13!#REF!</f>
        <v>#REF!</v>
      </c>
    </row>
    <row r="213" spans="2:12">
      <c r="D213" s="400"/>
      <c r="E213" s="187"/>
      <c r="F213" s="187"/>
      <c r="G213" s="791"/>
      <c r="H213" s="187"/>
      <c r="I213" s="187"/>
      <c r="J213" s="188"/>
      <c r="K213" s="186"/>
      <c r="L213" s="191"/>
    </row>
    <row r="214" spans="2:12" ht="13.5" thickBot="1">
      <c r="D214" s="404"/>
      <c r="E214" s="194"/>
      <c r="F214" s="264">
        <f>SUM(F212:F213)</f>
        <v>-31356284.5</v>
      </c>
      <c r="G214" s="293"/>
      <c r="H214" s="264">
        <f>SUM(H212:H213)</f>
        <v>-2543304.87</v>
      </c>
      <c r="I214" s="194"/>
      <c r="J214" s="264">
        <f>SUM(J212:J213)</f>
        <v>0</v>
      </c>
      <c r="K214" s="196"/>
      <c r="L214" s="264" t="e">
        <f>SUM(L212:L213)</f>
        <v>#REF!</v>
      </c>
    </row>
    <row r="215" spans="2:12" ht="13.5" thickTop="1">
      <c r="D215" s="400"/>
      <c r="E215" s="187"/>
      <c r="F215" s="187"/>
      <c r="G215" s="791"/>
      <c r="H215" s="187"/>
      <c r="I215" s="187"/>
      <c r="J215" s="188"/>
      <c r="K215" s="191"/>
      <c r="L215" s="188"/>
    </row>
    <row r="217" spans="2:12" s="263" customFormat="1">
      <c r="B217" s="261" t="s">
        <v>1404</v>
      </c>
      <c r="C217" s="262"/>
      <c r="D217" s="397" t="s">
        <v>1441</v>
      </c>
      <c r="E217" s="298"/>
      <c r="F217" s="184">
        <v>2013</v>
      </c>
      <c r="G217" s="312"/>
      <c r="H217" s="184">
        <v>2012</v>
      </c>
      <c r="I217" s="268"/>
      <c r="J217" s="184">
        <v>2011</v>
      </c>
      <c r="K217" s="1749"/>
      <c r="L217" s="299">
        <v>2009</v>
      </c>
    </row>
    <row r="218" spans="2:12" s="263" customFormat="1">
      <c r="D218" s="397"/>
      <c r="E218" s="298"/>
      <c r="F218" s="354" t="s">
        <v>299</v>
      </c>
      <c r="G218" s="1276"/>
      <c r="H218" s="354" t="s">
        <v>299</v>
      </c>
      <c r="I218" s="268"/>
      <c r="J218" s="185" t="s">
        <v>7</v>
      </c>
      <c r="K218" s="1749"/>
      <c r="L218" s="398" t="s">
        <v>7</v>
      </c>
    </row>
    <row r="219" spans="2:12" s="263" customFormat="1">
      <c r="D219" s="399"/>
      <c r="E219" s="399"/>
      <c r="F219" s="399"/>
      <c r="G219" s="1282"/>
      <c r="H219" s="399"/>
      <c r="I219" s="399"/>
      <c r="J219" s="399"/>
      <c r="K219" s="399"/>
      <c r="L219" s="399"/>
    </row>
    <row r="220" spans="2:12" s="263" customFormat="1">
      <c r="D220" s="400" t="s">
        <v>1442</v>
      </c>
      <c r="E220" s="400"/>
      <c r="F220" s="1382">
        <f>B_Sheet13!S16</f>
        <v>-41825652.766011998</v>
      </c>
      <c r="G220" s="1283"/>
      <c r="H220" s="982">
        <f>B_Sheet13!T16</f>
        <v>-28812979.633485988</v>
      </c>
      <c r="I220" s="400"/>
      <c r="J220" s="98">
        <f>B_Sheet13!U101</f>
        <v>-2543305</v>
      </c>
      <c r="K220" s="98"/>
      <c r="L220" s="98">
        <f>[2]B_Sheet10!$S$106</f>
        <v>16791731</v>
      </c>
    </row>
    <row r="221" spans="2:12" s="263" customFormat="1">
      <c r="D221" s="400"/>
      <c r="E221" s="400"/>
      <c r="F221" s="400"/>
      <c r="G221" s="1283"/>
      <c r="H221" s="400"/>
      <c r="I221" s="400"/>
      <c r="J221" s="401"/>
      <c r="K221" s="324"/>
      <c r="L221" s="324"/>
    </row>
    <row r="222" spans="2:12" s="263" customFormat="1">
      <c r="E222" s="400"/>
      <c r="F222" s="400"/>
      <c r="G222" s="1283"/>
      <c r="H222" s="400"/>
      <c r="I222" s="400"/>
      <c r="J222" s="402"/>
      <c r="K222" s="403"/>
      <c r="L222" s="402"/>
    </row>
    <row r="223" spans="2:12" s="263" customFormat="1" ht="13.5" thickBot="1">
      <c r="D223" s="404"/>
      <c r="E223" s="404"/>
      <c r="F223" s="405">
        <f>SUM(F220:F222)</f>
        <v>-41825652.766011998</v>
      </c>
      <c r="G223" s="407"/>
      <c r="H223" s="405">
        <f>SUM(H220:H222)</f>
        <v>-28812979.633485988</v>
      </c>
      <c r="I223" s="404"/>
      <c r="J223" s="405">
        <f>SUM(J220:J222)</f>
        <v>-2543305</v>
      </c>
      <c r="K223" s="406"/>
      <c r="L223" s="405">
        <f>SUM(L220:L222)</f>
        <v>16791731</v>
      </c>
    </row>
    <row r="224" spans="2:12" s="263" customFormat="1" ht="13.5" thickTop="1">
      <c r="D224" s="404"/>
      <c r="E224" s="404"/>
      <c r="F224" s="404"/>
      <c r="G224" s="1284"/>
      <c r="H224" s="404"/>
      <c r="I224" s="404"/>
      <c r="J224" s="407"/>
      <c r="K224" s="406"/>
      <c r="L224" s="407"/>
    </row>
    <row r="225" spans="2:12" s="263" customFormat="1">
      <c r="D225" s="404"/>
      <c r="E225" s="404"/>
      <c r="F225" s="404"/>
      <c r="G225" s="1284"/>
      <c r="H225" s="404"/>
      <c r="I225" s="404"/>
      <c r="J225" s="407"/>
      <c r="K225" s="406"/>
      <c r="L225" s="407"/>
    </row>
    <row r="226" spans="2:12" s="263" customFormat="1">
      <c r="B226" s="262"/>
      <c r="C226" s="262"/>
      <c r="D226" s="397" t="s">
        <v>1443</v>
      </c>
      <c r="E226" s="298"/>
      <c r="F226" s="184">
        <v>2013</v>
      </c>
      <c r="G226" s="312"/>
      <c r="H226" s="184">
        <v>2012</v>
      </c>
      <c r="I226" s="298"/>
      <c r="J226" s="299">
        <v>2010</v>
      </c>
      <c r="K226" s="1749"/>
      <c r="L226" s="299">
        <v>2009</v>
      </c>
    </row>
    <row r="227" spans="2:12" s="263" customFormat="1">
      <c r="D227" s="397"/>
      <c r="E227" s="298"/>
      <c r="F227" s="354" t="s">
        <v>299</v>
      </c>
      <c r="G227" s="1276"/>
      <c r="H227" s="354" t="s">
        <v>299</v>
      </c>
      <c r="I227" s="298"/>
      <c r="J227" s="398" t="s">
        <v>7</v>
      </c>
      <c r="K227" s="1749"/>
      <c r="L227" s="398" t="s">
        <v>7</v>
      </c>
    </row>
    <row r="228" spans="2:12" s="263" customFormat="1">
      <c r="D228" s="397"/>
      <c r="E228" s="298"/>
      <c r="F228" s="298"/>
      <c r="G228" s="1285"/>
      <c r="H228" s="298"/>
      <c r="I228" s="298"/>
      <c r="J228" s="410"/>
      <c r="K228" s="299"/>
      <c r="L228" s="410"/>
    </row>
    <row r="229" spans="2:12" s="263" customFormat="1">
      <c r="D229" s="411" t="s">
        <v>1444</v>
      </c>
      <c r="E229" s="298"/>
      <c r="F229" s="1439">
        <f>'P&amp;L13'!F89</f>
        <v>29487625.153988</v>
      </c>
      <c r="G229" s="1285"/>
      <c r="H229" s="1621">
        <f>'P&amp;L13'!P4</f>
        <v>12821946.656514</v>
      </c>
      <c r="I229" s="298"/>
      <c r="J229" s="412">
        <f>'P&amp;L13'!$H$89+'P&amp;L13'!H90</f>
        <v>541520</v>
      </c>
      <c r="K229" s="413"/>
      <c r="L229" s="412">
        <f>'P&amp;L13'!$I$89+'P&amp;L13'!I90</f>
        <v>202743647</v>
      </c>
    </row>
    <row r="230" spans="2:12" s="263" customFormat="1">
      <c r="D230" s="411" t="s">
        <v>1445</v>
      </c>
      <c r="E230" s="298"/>
      <c r="F230" s="1439">
        <f>-'P&amp;L13'!F5</f>
        <v>-69334173.620000005</v>
      </c>
      <c r="G230" s="1285"/>
      <c r="H230" s="1621">
        <f>-'P&amp;L13'!G5</f>
        <v>-40891769.660000004</v>
      </c>
      <c r="I230" s="298"/>
      <c r="J230" s="412">
        <f>'P&amp;L13'!H93+'P&amp;L13'!H94+'P&amp;L13'!H95+'P&amp;L13'!H99</f>
        <v>-2937983</v>
      </c>
      <c r="K230" s="413"/>
      <c r="L230" s="412">
        <f>'P&amp;L13'!I93+'P&amp;L13'!I94+'P&amp;L13'!I95+'P&amp;L13'!I99-80015238-662352</f>
        <v>-184748520</v>
      </c>
    </row>
    <row r="231" spans="2:12" s="263" customFormat="1">
      <c r="D231" s="411" t="s">
        <v>1446</v>
      </c>
      <c r="E231" s="399"/>
      <c r="F231" s="1440">
        <f>SUM(F229:F230)</f>
        <v>-39846548.466012001</v>
      </c>
      <c r="G231" s="1282"/>
      <c r="H231" s="1440">
        <f>SUM(H229:H230)</f>
        <v>-28069823.003486004</v>
      </c>
      <c r="I231" s="399"/>
      <c r="J231" s="414">
        <f>SUM(J229:J230)</f>
        <v>-2396463</v>
      </c>
      <c r="K231" s="414"/>
      <c r="L231" s="414">
        <f>SUM(L229:L230)</f>
        <v>17995127</v>
      </c>
    </row>
    <row r="232" spans="2:12" s="263" customFormat="1">
      <c r="D232" s="400"/>
      <c r="E232" s="400"/>
      <c r="F232" s="1382"/>
      <c r="G232" s="1283"/>
      <c r="H232" s="1382"/>
      <c r="I232" s="400"/>
      <c r="J232" s="98"/>
      <c r="K232" s="408"/>
      <c r="L232" s="409"/>
    </row>
    <row r="233" spans="2:12" s="263" customFormat="1">
      <c r="D233" s="400" t="s">
        <v>1447</v>
      </c>
      <c r="E233" s="400"/>
      <c r="F233" s="1382">
        <f>'P&amp;L13'!F104</f>
        <v>-1979104.3</v>
      </c>
      <c r="G233" s="1283"/>
      <c r="H233" s="982">
        <f>'P&amp;L13'!G104</f>
        <v>-743156.62999999989</v>
      </c>
      <c r="I233" s="400"/>
      <c r="J233" s="98">
        <f>'P&amp;L13'!H104</f>
        <v>-146842.87</v>
      </c>
      <c r="K233" s="408"/>
      <c r="L233" s="409">
        <f>'P&amp;L13'!I104</f>
        <v>662352</v>
      </c>
    </row>
    <row r="234" spans="2:12" s="263" customFormat="1">
      <c r="E234" s="400"/>
      <c r="F234" s="1382"/>
      <c r="G234" s="1283"/>
      <c r="H234" s="1382"/>
      <c r="I234" s="400"/>
      <c r="K234" s="408"/>
    </row>
    <row r="235" spans="2:12" s="263" customFormat="1">
      <c r="E235" s="400"/>
      <c r="F235" s="1382"/>
      <c r="G235" s="1283"/>
      <c r="H235" s="1382"/>
      <c r="I235" s="400"/>
      <c r="J235" s="402"/>
      <c r="K235" s="403"/>
      <c r="L235" s="402"/>
    </row>
    <row r="236" spans="2:12" s="263" customFormat="1" ht="13.5" thickBot="1">
      <c r="D236" s="400" t="s">
        <v>1448</v>
      </c>
      <c r="E236" s="404"/>
      <c r="F236" s="1383">
        <f>SUM(F231:F235)</f>
        <v>-41825652.766011998</v>
      </c>
      <c r="G236" s="407"/>
      <c r="H236" s="405">
        <f>SUM(H231:H235)</f>
        <v>-28812979.633486003</v>
      </c>
      <c r="I236" s="404"/>
      <c r="J236" s="405">
        <f>SUM(J231:J235)</f>
        <v>-2543305.87</v>
      </c>
      <c r="K236" s="405"/>
      <c r="L236" s="405">
        <f>SUM(L231:L235)</f>
        <v>18657479</v>
      </c>
    </row>
    <row r="237" spans="2:12" ht="13.5" hidden="1" outlineLevel="1" thickTop="1"/>
    <row r="238" spans="2:12" ht="13.5" hidden="1" outlineLevel="1" thickTop="1"/>
    <row r="239" spans="2:12" ht="13.5" hidden="1" outlineLevel="1" thickTop="1"/>
    <row r="240" spans="2:12" ht="13.5" hidden="1" outlineLevel="1" thickTop="1"/>
    <row r="241" ht="13.5" hidden="1" outlineLevel="1" thickTop="1"/>
    <row r="242" ht="13.5" hidden="1" outlineLevel="1" thickTop="1"/>
    <row r="243" ht="13.5" hidden="1" outlineLevel="1" thickTop="1"/>
    <row r="244" ht="13.5" hidden="1" outlineLevel="1" thickTop="1"/>
    <row r="245" ht="13.5" hidden="1" outlineLevel="1" thickTop="1"/>
    <row r="246" ht="13.5" hidden="1" outlineLevel="1" thickTop="1"/>
    <row r="247" ht="13.5" hidden="1" outlineLevel="1" thickTop="1"/>
    <row r="248" ht="13.5" hidden="1" outlineLevel="1" thickTop="1"/>
    <row r="249" ht="13.5" hidden="1" outlineLevel="1" thickTop="1"/>
    <row r="250" ht="13.5" hidden="1" outlineLevel="1" thickTop="1"/>
    <row r="251" ht="13.5" hidden="1" outlineLevel="1" thickTop="1"/>
    <row r="252" ht="13.5" hidden="1" outlineLevel="1" thickTop="1"/>
    <row r="253" ht="13.5" hidden="1" outlineLevel="1" thickTop="1"/>
    <row r="254" ht="13.5" hidden="1" outlineLevel="1" thickTop="1"/>
    <row r="255" ht="13.5" hidden="1" outlineLevel="1" thickTop="1"/>
    <row r="256" ht="13.5" hidden="1" outlineLevel="1" thickTop="1"/>
    <row r="257" ht="13.5" hidden="1" outlineLevel="1" thickTop="1"/>
    <row r="258" ht="13.5" hidden="1" outlineLevel="1" thickTop="1"/>
    <row r="259" ht="13.5" hidden="1" outlineLevel="1" thickTop="1"/>
    <row r="260" ht="13.5" hidden="1" outlineLevel="1" thickTop="1"/>
    <row r="261" ht="13.5" hidden="1" outlineLevel="1" thickTop="1"/>
    <row r="262" ht="13.5" hidden="1" outlineLevel="1" thickTop="1"/>
    <row r="263" ht="13.5" hidden="1" outlineLevel="1" thickTop="1"/>
    <row r="264" ht="13.5" hidden="1" outlineLevel="1" thickTop="1"/>
    <row r="265" ht="13.5" hidden="1" outlineLevel="1" thickTop="1"/>
    <row r="266" ht="13.5" hidden="1" outlineLevel="1" thickTop="1"/>
    <row r="267" ht="13.5" hidden="1" outlineLevel="1" thickTop="1"/>
    <row r="268" ht="13.5" hidden="1" outlineLevel="1" thickTop="1"/>
    <row r="269" ht="13.5" hidden="1" outlineLevel="1" thickTop="1"/>
    <row r="270" ht="13.5" hidden="1" outlineLevel="1" thickTop="1"/>
    <row r="271" ht="13.5" hidden="1" outlineLevel="1" thickTop="1"/>
    <row r="272" ht="13.5" hidden="1" outlineLevel="1" thickTop="1"/>
    <row r="273" ht="13.5" hidden="1" outlineLevel="1" thickTop="1"/>
    <row r="274" ht="13.5" hidden="1" outlineLevel="1" thickTop="1"/>
    <row r="275" ht="13.5" hidden="1" outlineLevel="1" thickTop="1"/>
    <row r="276" ht="13.5" hidden="1" outlineLevel="1" thickTop="1"/>
    <row r="277" ht="13.5" hidden="1" outlineLevel="1" thickTop="1"/>
    <row r="278" ht="13.5" hidden="1" outlineLevel="1" thickTop="1"/>
    <row r="279" ht="13.5" hidden="1" outlineLevel="1" thickTop="1"/>
    <row r="280" ht="13.5" hidden="1" outlineLevel="1" thickTop="1"/>
    <row r="281" ht="13.5" hidden="1" outlineLevel="1" thickTop="1"/>
    <row r="282" ht="13.5" hidden="1" outlineLevel="1" thickTop="1"/>
    <row r="283" ht="13.5" hidden="1" outlineLevel="1" thickTop="1"/>
    <row r="284" ht="13.5" hidden="1" outlineLevel="1" thickTop="1"/>
    <row r="285" ht="13.5" hidden="1" outlineLevel="1" thickTop="1"/>
    <row r="286" ht="13.5" hidden="1" outlineLevel="1" thickTop="1"/>
    <row r="287" ht="13.5" hidden="1" outlineLevel="1" thickTop="1"/>
    <row r="288" ht="13.5" hidden="1" outlineLevel="1" thickTop="1"/>
    <row r="289" ht="13.5" hidden="1" outlineLevel="1" thickTop="1"/>
    <row r="290" ht="13.5" hidden="1" outlineLevel="1" thickTop="1"/>
    <row r="291" ht="13.5" hidden="1" outlineLevel="1" thickTop="1"/>
    <row r="292" ht="13.5" hidden="1" outlineLevel="1" thickTop="1"/>
    <row r="293" ht="13.5" hidden="1" outlineLevel="1" thickTop="1"/>
    <row r="294" ht="13.5" hidden="1" outlineLevel="1" thickTop="1"/>
    <row r="295" ht="13.5" hidden="1" outlineLevel="1" thickTop="1"/>
    <row r="296" ht="13.5" hidden="1" outlineLevel="1" thickTop="1"/>
    <row r="297" ht="13.5" hidden="1" outlineLevel="1" thickTop="1"/>
    <row r="298" ht="13.5" hidden="1" outlineLevel="1" thickTop="1"/>
    <row r="299" ht="13.5" hidden="1" outlineLevel="1" thickTop="1"/>
    <row r="300" ht="13.5" hidden="1" outlineLevel="1" thickTop="1"/>
    <row r="301" ht="13.5" hidden="1" outlineLevel="1" thickTop="1"/>
    <row r="302" ht="13.5" hidden="1" outlineLevel="1" thickTop="1"/>
    <row r="303" ht="13.5" hidden="1" outlineLevel="1" thickTop="1"/>
    <row r="304" ht="13.5" hidden="1" outlineLevel="1" thickTop="1"/>
    <row r="305" spans="2:12" ht="13.5" hidden="1" outlineLevel="1" thickTop="1"/>
    <row r="306" spans="2:12" ht="13.5" hidden="1" outlineLevel="1" thickTop="1"/>
    <row r="307" spans="2:12" ht="13.5" hidden="1" outlineLevel="1" thickTop="1">
      <c r="B307" s="261">
        <v>15</v>
      </c>
      <c r="C307" s="339"/>
      <c r="D307" s="1745" t="s">
        <v>1514</v>
      </c>
      <c r="E307" s="352"/>
      <c r="F307" s="352"/>
      <c r="G307" s="1286"/>
      <c r="H307" s="352"/>
      <c r="I307" s="352"/>
      <c r="J307" s="353">
        <v>2008</v>
      </c>
      <c r="K307" s="1744"/>
      <c r="L307" s="353">
        <v>2007</v>
      </c>
    </row>
    <row r="308" spans="2:12" ht="13.5" hidden="1" outlineLevel="1" thickTop="1">
      <c r="C308" s="340"/>
      <c r="D308" s="1745"/>
      <c r="E308" s="352"/>
      <c r="F308" s="352"/>
      <c r="G308" s="1286"/>
      <c r="H308" s="352"/>
      <c r="I308" s="352"/>
      <c r="J308" s="354" t="s">
        <v>7</v>
      </c>
      <c r="K308" s="1744"/>
      <c r="L308" s="354" t="s">
        <v>7</v>
      </c>
    </row>
    <row r="309" spans="2:12" ht="13.5" hidden="1" outlineLevel="1" thickTop="1">
      <c r="C309" s="340"/>
      <c r="D309" s="395"/>
      <c r="E309" s="355"/>
      <c r="F309" s="355"/>
      <c r="G309" s="798"/>
      <c r="H309" s="355"/>
      <c r="I309" s="355"/>
      <c r="J309" s="355"/>
      <c r="K309" s="355"/>
      <c r="L309" s="355"/>
    </row>
    <row r="310" spans="2:12" ht="13.5" hidden="1" outlineLevel="1" thickTop="1">
      <c r="C310" s="340"/>
      <c r="D310" s="343"/>
      <c r="E310" s="187"/>
      <c r="F310" s="187"/>
      <c r="G310" s="791"/>
      <c r="H310" s="187"/>
      <c r="I310" s="187"/>
      <c r="J310" s="356"/>
      <c r="K310" s="357"/>
      <c r="L310" s="356"/>
    </row>
    <row r="311" spans="2:12" ht="13.5" hidden="1" outlineLevel="1" thickTop="1">
      <c r="C311" s="340"/>
      <c r="D311" s="343"/>
      <c r="E311" s="187"/>
      <c r="F311" s="187"/>
      <c r="G311" s="791"/>
      <c r="H311" s="187"/>
      <c r="I311" s="187"/>
      <c r="J311" s="356"/>
      <c r="K311" s="355"/>
      <c r="L311" s="357"/>
    </row>
    <row r="312" spans="2:12" ht="13.5" hidden="1" outlineLevel="1" thickTop="1">
      <c r="C312" s="340"/>
      <c r="D312" s="343"/>
      <c r="E312" s="187"/>
      <c r="F312" s="187"/>
      <c r="G312" s="791"/>
      <c r="H312" s="187"/>
      <c r="I312" s="187"/>
      <c r="J312" s="356"/>
      <c r="K312" s="357"/>
      <c r="L312" s="356"/>
    </row>
    <row r="313" spans="2:12" ht="13.5" hidden="1" outlineLevel="1" thickTop="1">
      <c r="C313" s="340"/>
      <c r="D313" s="343"/>
      <c r="E313" s="187"/>
      <c r="F313" s="187"/>
      <c r="G313" s="791"/>
      <c r="H313" s="187"/>
      <c r="I313" s="187"/>
      <c r="J313" s="356"/>
      <c r="K313" s="357"/>
      <c r="L313" s="356"/>
    </row>
    <row r="314" spans="2:12" ht="14.25" hidden="1" outlineLevel="1" thickTop="1" thickBot="1">
      <c r="C314" s="340"/>
      <c r="D314" s="396"/>
      <c r="E314" s="358"/>
      <c r="F314" s="358"/>
      <c r="G314" s="802"/>
      <c r="H314" s="358"/>
      <c r="I314" s="358"/>
      <c r="J314" s="359">
        <f>SUM(J310:J313)</f>
        <v>0</v>
      </c>
      <c r="K314" s="360"/>
      <c r="L314" s="359">
        <f>SUM(L310:L313)</f>
        <v>0</v>
      </c>
    </row>
    <row r="315" spans="2:12" ht="13.5" hidden="1" outlineLevel="1" thickTop="1">
      <c r="C315" s="340"/>
      <c r="D315" s="340"/>
    </row>
    <row r="316" spans="2:12" ht="13.5" hidden="1" outlineLevel="1" thickTop="1">
      <c r="C316" s="340"/>
      <c r="D316" s="340"/>
    </row>
    <row r="317" spans="2:12" ht="13.5" hidden="1" outlineLevel="1" thickTop="1">
      <c r="B317" s="261">
        <v>16</v>
      </c>
      <c r="C317" s="339"/>
      <c r="D317" s="1745" t="s">
        <v>1515</v>
      </c>
      <c r="E317" s="352"/>
      <c r="F317" s="352"/>
      <c r="G317" s="1286"/>
      <c r="H317" s="352"/>
      <c r="I317" s="352"/>
      <c r="J317" s="353">
        <v>2008</v>
      </c>
      <c r="K317" s="1744"/>
      <c r="L317" s="353">
        <v>2007</v>
      </c>
    </row>
    <row r="318" spans="2:12" ht="13.5" hidden="1" outlineLevel="1" thickTop="1">
      <c r="C318" s="340"/>
      <c r="D318" s="1745"/>
      <c r="E318" s="352"/>
      <c r="F318" s="352"/>
      <c r="G318" s="1286"/>
      <c r="H318" s="352"/>
      <c r="I318" s="352"/>
      <c r="J318" s="354" t="s">
        <v>7</v>
      </c>
      <c r="K318" s="1744"/>
      <c r="L318" s="354" t="s">
        <v>7</v>
      </c>
    </row>
    <row r="319" spans="2:12" ht="13.5" hidden="1" outlineLevel="1" thickTop="1">
      <c r="C319" s="340"/>
      <c r="D319" s="395"/>
      <c r="E319" s="355"/>
      <c r="F319" s="355"/>
      <c r="G319" s="798"/>
      <c r="H319" s="355"/>
      <c r="I319" s="355"/>
      <c r="J319" s="355"/>
      <c r="K319" s="355"/>
      <c r="L319" s="355"/>
    </row>
    <row r="320" spans="2:12" ht="13.5" hidden="1" outlineLevel="1" thickTop="1">
      <c r="C320" s="340"/>
      <c r="D320" s="343"/>
      <c r="E320" s="187"/>
      <c r="F320" s="187"/>
      <c r="G320" s="791"/>
      <c r="H320" s="187"/>
      <c r="I320" s="187"/>
      <c r="J320" s="356"/>
      <c r="K320" s="357"/>
      <c r="L320" s="356"/>
    </row>
    <row r="321" spans="2:12" ht="13.5" hidden="1" outlineLevel="1" thickTop="1">
      <c r="C321" s="340"/>
      <c r="D321" s="343"/>
      <c r="E321" s="187"/>
      <c r="F321" s="187"/>
      <c r="G321" s="791"/>
      <c r="H321" s="187"/>
      <c r="I321" s="187"/>
      <c r="J321" s="356"/>
      <c r="K321" s="355"/>
      <c r="L321" s="357"/>
    </row>
    <row r="322" spans="2:12" ht="13.5" hidden="1" outlineLevel="1" thickTop="1">
      <c r="C322" s="340"/>
      <c r="D322" s="343"/>
      <c r="E322" s="187"/>
      <c r="F322" s="187"/>
      <c r="G322" s="791"/>
      <c r="H322" s="187"/>
      <c r="I322" s="187"/>
      <c r="J322" s="356"/>
      <c r="K322" s="357"/>
      <c r="L322" s="356"/>
    </row>
    <row r="323" spans="2:12" ht="13.5" hidden="1" outlineLevel="1" thickTop="1">
      <c r="C323" s="340"/>
      <c r="D323" s="343"/>
      <c r="E323" s="187"/>
      <c r="F323" s="187"/>
      <c r="G323" s="791"/>
      <c r="H323" s="187"/>
      <c r="I323" s="187"/>
      <c r="J323" s="356"/>
      <c r="K323" s="357"/>
      <c r="L323" s="356"/>
    </row>
    <row r="324" spans="2:12" ht="14.25" hidden="1" outlineLevel="1" thickTop="1" thickBot="1">
      <c r="C324" s="340"/>
      <c r="D324" s="396"/>
      <c r="E324" s="358"/>
      <c r="F324" s="358"/>
      <c r="G324" s="802"/>
      <c r="H324" s="358"/>
      <c r="I324" s="358"/>
      <c r="J324" s="359">
        <f>SUM(J320:J323)</f>
        <v>0</v>
      </c>
      <c r="K324" s="360"/>
      <c r="L324" s="359">
        <f>SUM(L320:L323)</f>
        <v>0</v>
      </c>
    </row>
    <row r="325" spans="2:12" ht="13.5" hidden="1" outlineLevel="1" thickTop="1">
      <c r="C325" s="340"/>
      <c r="D325" s="340"/>
    </row>
    <row r="326" spans="2:12" ht="13.5" hidden="1" outlineLevel="1" thickTop="1">
      <c r="C326" s="340"/>
      <c r="D326" s="340"/>
    </row>
    <row r="327" spans="2:12" ht="13.5" hidden="1" outlineLevel="1" thickTop="1">
      <c r="C327" s="340"/>
      <c r="D327" s="340"/>
    </row>
    <row r="328" spans="2:12" ht="13.5" hidden="1" outlineLevel="1" thickTop="1">
      <c r="B328" s="261">
        <v>17</v>
      </c>
      <c r="C328" s="339"/>
      <c r="D328" s="1745" t="s">
        <v>1516</v>
      </c>
      <c r="E328" s="352"/>
      <c r="F328" s="352"/>
      <c r="G328" s="1286"/>
      <c r="H328" s="352"/>
      <c r="I328" s="352"/>
      <c r="J328" s="353">
        <v>2008</v>
      </c>
      <c r="K328" s="1744"/>
      <c r="L328" s="353">
        <v>2007</v>
      </c>
    </row>
    <row r="329" spans="2:12" ht="13.5" hidden="1" outlineLevel="1" thickTop="1">
      <c r="C329" s="340"/>
      <c r="D329" s="1745"/>
      <c r="E329" s="352"/>
      <c r="F329" s="352"/>
      <c r="G329" s="1286"/>
      <c r="H329" s="352"/>
      <c r="I329" s="352"/>
      <c r="J329" s="354" t="s">
        <v>7</v>
      </c>
      <c r="K329" s="1744"/>
      <c r="L329" s="354" t="s">
        <v>7</v>
      </c>
    </row>
    <row r="330" spans="2:12" ht="13.5" hidden="1" outlineLevel="1" thickTop="1">
      <c r="C330" s="340"/>
      <c r="D330" s="395"/>
      <c r="E330" s="355"/>
      <c r="F330" s="355"/>
      <c r="G330" s="798"/>
      <c r="H330" s="355"/>
      <c r="I330" s="355"/>
      <c r="J330" s="355"/>
      <c r="K330" s="355"/>
      <c r="L330" s="355"/>
    </row>
    <row r="331" spans="2:12" ht="13.5" hidden="1" outlineLevel="1" thickTop="1">
      <c r="C331" s="340"/>
      <c r="D331" s="343"/>
      <c r="E331" s="187"/>
      <c r="F331" s="187"/>
      <c r="G331" s="791"/>
      <c r="H331" s="187"/>
      <c r="I331" s="187"/>
      <c r="J331" s="356"/>
      <c r="K331" s="357"/>
      <c r="L331" s="356"/>
    </row>
    <row r="332" spans="2:12" ht="13.5" hidden="1" outlineLevel="1" thickTop="1">
      <c r="C332" s="340"/>
      <c r="D332" s="343"/>
      <c r="E332" s="187"/>
      <c r="F332" s="187"/>
      <c r="G332" s="791"/>
      <c r="H332" s="187"/>
      <c r="I332" s="187"/>
      <c r="J332" s="356"/>
      <c r="K332" s="355"/>
      <c r="L332" s="357"/>
    </row>
    <row r="333" spans="2:12" ht="13.5" hidden="1" outlineLevel="1" thickTop="1">
      <c r="C333" s="340"/>
      <c r="D333" s="343"/>
      <c r="E333" s="187"/>
      <c r="F333" s="187"/>
      <c r="G333" s="791"/>
      <c r="H333" s="187"/>
      <c r="I333" s="187"/>
      <c r="J333" s="356"/>
      <c r="K333" s="357"/>
      <c r="L333" s="356"/>
    </row>
    <row r="334" spans="2:12" ht="13.5" hidden="1" outlineLevel="1" thickTop="1">
      <c r="C334" s="340"/>
      <c r="D334" s="343"/>
      <c r="E334" s="187"/>
      <c r="F334" s="187"/>
      <c r="G334" s="791"/>
      <c r="H334" s="187"/>
      <c r="I334" s="187"/>
      <c r="J334" s="356"/>
      <c r="K334" s="357"/>
      <c r="L334" s="356"/>
    </row>
    <row r="335" spans="2:12" ht="14.25" hidden="1" outlineLevel="1" thickTop="1" thickBot="1">
      <c r="C335" s="340"/>
      <c r="D335" s="396"/>
      <c r="E335" s="358"/>
      <c r="F335" s="358"/>
      <c r="G335" s="802"/>
      <c r="H335" s="358"/>
      <c r="I335" s="358"/>
      <c r="J335" s="359">
        <f>SUM(J331:J334)</f>
        <v>0</v>
      </c>
      <c r="K335" s="360"/>
      <c r="L335" s="359">
        <f>SUM(L331:L334)</f>
        <v>0</v>
      </c>
    </row>
    <row r="336" spans="2:12" ht="13.5" hidden="1" outlineLevel="1" thickTop="1">
      <c r="C336" s="340"/>
      <c r="D336" s="340"/>
    </row>
    <row r="337" spans="2:12" ht="13.5" hidden="1" outlineLevel="1" thickTop="1">
      <c r="B337" s="261">
        <v>15</v>
      </c>
      <c r="C337" s="339"/>
      <c r="D337" s="1747" t="s">
        <v>509</v>
      </c>
      <c r="E337" s="268"/>
      <c r="F337" s="268"/>
      <c r="G337" s="790"/>
      <c r="H337" s="268"/>
      <c r="I337" s="268"/>
      <c r="J337" s="184">
        <v>2008</v>
      </c>
      <c r="K337" s="1746"/>
      <c r="L337" s="184">
        <v>2007</v>
      </c>
    </row>
    <row r="338" spans="2:12" ht="13.5" hidden="1" outlineLevel="1" thickTop="1">
      <c r="C338" s="340"/>
      <c r="D338" s="1747"/>
      <c r="E338" s="268"/>
      <c r="F338" s="268"/>
      <c r="G338" s="790"/>
      <c r="H338" s="268"/>
      <c r="I338" s="268"/>
      <c r="J338" s="185" t="s">
        <v>7</v>
      </c>
      <c r="K338" s="1746"/>
      <c r="L338" s="185" t="s">
        <v>7</v>
      </c>
    </row>
    <row r="339" spans="2:12" ht="13.5" hidden="1" outlineLevel="1" thickTop="1">
      <c r="C339" s="340"/>
      <c r="D339" s="347"/>
      <c r="E339" s="186"/>
      <c r="F339" s="186"/>
      <c r="G339" s="290"/>
      <c r="H339" s="186"/>
      <c r="I339" s="186"/>
      <c r="J339" s="186"/>
      <c r="K339" s="186"/>
      <c r="L339" s="186"/>
    </row>
    <row r="340" spans="2:12" ht="13.5" hidden="1" outlineLevel="1" thickTop="1">
      <c r="C340" s="340"/>
      <c r="D340" s="343" t="s">
        <v>509</v>
      </c>
      <c r="E340" s="187"/>
      <c r="F340" s="187"/>
      <c r="G340" s="791"/>
      <c r="H340" s="187"/>
      <c r="I340" s="187"/>
      <c r="J340" s="288">
        <v>100000</v>
      </c>
      <c r="K340" s="289"/>
      <c r="L340" s="288">
        <v>100000</v>
      </c>
    </row>
    <row r="341" spans="2:12" ht="13.5" hidden="1" outlineLevel="1" thickTop="1">
      <c r="C341" s="340"/>
      <c r="D341" s="343"/>
      <c r="E341" s="187"/>
      <c r="F341" s="187"/>
      <c r="G341" s="791"/>
      <c r="H341" s="187"/>
      <c r="I341" s="187"/>
      <c r="J341" s="188"/>
      <c r="K341" s="186"/>
      <c r="L341" s="191"/>
    </row>
    <row r="342" spans="2:12" ht="14.25" hidden="1" outlineLevel="1" thickTop="1" thickBot="1">
      <c r="C342" s="340"/>
      <c r="D342" s="348"/>
      <c r="E342" s="194"/>
      <c r="F342" s="194"/>
      <c r="G342" s="794"/>
      <c r="H342" s="194"/>
      <c r="I342" s="194"/>
      <c r="J342" s="264">
        <f>SUM(J340:J341)</f>
        <v>100000</v>
      </c>
      <c r="K342" s="196"/>
      <c r="L342" s="264">
        <f>SUM(L340:L341)</f>
        <v>100000</v>
      </c>
    </row>
    <row r="343" spans="2:12" ht="13.5" hidden="1" outlineLevel="1" thickTop="1">
      <c r="C343" s="340"/>
      <c r="D343" s="348"/>
      <c r="E343" s="194"/>
      <c r="F343" s="194"/>
      <c r="G343" s="794"/>
      <c r="H343" s="194"/>
      <c r="I343" s="194"/>
      <c r="J343" s="293"/>
      <c r="K343" s="196"/>
      <c r="L343" s="293"/>
    </row>
    <row r="344" spans="2:12" ht="13.5" hidden="1" outlineLevel="1" thickTop="1">
      <c r="C344" s="340"/>
      <c r="D344" s="349" t="s">
        <v>513</v>
      </c>
      <c r="E344" s="194"/>
      <c r="F344" s="194"/>
      <c r="G344" s="794"/>
      <c r="H344" s="194"/>
      <c r="I344" s="194"/>
      <c r="J344" s="293"/>
      <c r="K344" s="196"/>
      <c r="L344" s="293"/>
    </row>
    <row r="345" spans="2:12" ht="13.5" hidden="1" outlineLevel="1" thickTop="1">
      <c r="C345" s="340"/>
      <c r="D345" s="340"/>
    </row>
    <row r="346" spans="2:12" ht="13.5" hidden="1" outlineLevel="1" thickTop="1">
      <c r="B346" s="261">
        <v>16</v>
      </c>
      <c r="C346" s="339"/>
      <c r="D346" s="1747" t="s">
        <v>1364</v>
      </c>
      <c r="E346" s="268"/>
      <c r="F346" s="268"/>
      <c r="G346" s="790"/>
      <c r="H346" s="268"/>
      <c r="I346" s="268"/>
      <c r="J346" s="184">
        <v>2008</v>
      </c>
      <c r="K346" s="1746"/>
      <c r="L346" s="184">
        <v>2007</v>
      </c>
    </row>
    <row r="347" spans="2:12" ht="13.5" hidden="1" outlineLevel="1" thickTop="1">
      <c r="C347" s="340"/>
      <c r="D347" s="1747"/>
      <c r="E347" s="268"/>
      <c r="F347" s="268"/>
      <c r="G347" s="790"/>
      <c r="H347" s="268"/>
      <c r="I347" s="268"/>
      <c r="J347" s="185" t="s">
        <v>7</v>
      </c>
      <c r="K347" s="1746"/>
      <c r="L347" s="185" t="s">
        <v>7</v>
      </c>
    </row>
    <row r="348" spans="2:12" ht="13.5" hidden="1" outlineLevel="1" thickTop="1">
      <c r="C348" s="340"/>
      <c r="D348" s="347"/>
      <c r="E348" s="186"/>
      <c r="F348" s="186"/>
      <c r="G348" s="290"/>
      <c r="H348" s="186"/>
      <c r="I348" s="186"/>
      <c r="J348" s="186"/>
      <c r="K348" s="186"/>
      <c r="L348" s="186"/>
    </row>
    <row r="349" spans="2:12" ht="13.5" hidden="1" outlineLevel="1" thickTop="1">
      <c r="C349" s="340"/>
      <c r="D349" s="343" t="s">
        <v>1364</v>
      </c>
      <c r="E349" s="187"/>
      <c r="F349" s="187"/>
      <c r="G349" s="791"/>
      <c r="H349" s="187"/>
      <c r="I349" s="187"/>
      <c r="J349" s="288">
        <v>10000</v>
      </c>
      <c r="K349" s="289"/>
      <c r="L349" s="288">
        <v>10000</v>
      </c>
    </row>
    <row r="350" spans="2:12" ht="13.5" hidden="1" outlineLevel="1" thickTop="1">
      <c r="C350" s="340"/>
      <c r="D350" s="343"/>
      <c r="E350" s="187"/>
      <c r="F350" s="187"/>
      <c r="G350" s="791"/>
      <c r="H350" s="187"/>
      <c r="I350" s="187"/>
      <c r="J350" s="188"/>
      <c r="K350" s="186"/>
      <c r="L350" s="191"/>
    </row>
    <row r="351" spans="2:12" ht="14.25" hidden="1" outlineLevel="1" thickTop="1" thickBot="1">
      <c r="C351" s="340"/>
      <c r="D351" s="348"/>
      <c r="E351" s="194"/>
      <c r="F351" s="194"/>
      <c r="G351" s="794"/>
      <c r="H351" s="194"/>
      <c r="I351" s="194"/>
      <c r="J351" s="264">
        <f>SUM(J349:J350)</f>
        <v>10000</v>
      </c>
      <c r="K351" s="196"/>
      <c r="L351" s="264">
        <f>SUM(L349:L350)</f>
        <v>10000</v>
      </c>
    </row>
    <row r="352" spans="2:12" ht="13.5" hidden="1" outlineLevel="1" thickTop="1">
      <c r="C352" s="340"/>
      <c r="D352" s="348"/>
      <c r="E352" s="194"/>
      <c r="F352" s="194"/>
      <c r="G352" s="794"/>
      <c r="H352" s="194"/>
      <c r="I352" s="194"/>
      <c r="J352" s="293"/>
      <c r="K352" s="196"/>
      <c r="L352" s="293"/>
    </row>
    <row r="353" spans="2:12" ht="13.5" hidden="1" outlineLevel="1" thickTop="1">
      <c r="B353" s="262"/>
      <c r="C353" s="339"/>
      <c r="D353" s="350" t="s">
        <v>511</v>
      </c>
      <c r="E353" s="298"/>
      <c r="F353" s="298"/>
      <c r="G353" s="1285"/>
      <c r="H353" s="298"/>
      <c r="I353" s="298"/>
      <c r="J353" s="299"/>
      <c r="K353" s="299"/>
      <c r="L353" s="299"/>
    </row>
    <row r="354" spans="2:12" ht="13.5" hidden="1" outlineLevel="1" thickTop="1">
      <c r="C354" s="340"/>
      <c r="D354" s="343"/>
      <c r="E354" s="187"/>
      <c r="F354" s="187"/>
      <c r="G354" s="791"/>
      <c r="H354" s="187"/>
      <c r="I354" s="187"/>
      <c r="J354" s="188"/>
      <c r="K354" s="191"/>
      <c r="L354" s="188"/>
    </row>
    <row r="355" spans="2:12" ht="13.5" hidden="1" outlineLevel="1" thickTop="1">
      <c r="C355" s="340"/>
      <c r="D355" s="343"/>
      <c r="E355" s="187"/>
      <c r="F355" s="187"/>
      <c r="G355" s="791"/>
      <c r="H355" s="187"/>
      <c r="I355" s="187"/>
      <c r="J355" s="188"/>
      <c r="K355" s="191"/>
      <c r="L355" s="188"/>
    </row>
    <row r="356" spans="2:12" ht="13.5" hidden="1" outlineLevel="1" thickTop="1">
      <c r="B356" s="261">
        <v>17</v>
      </c>
      <c r="C356" s="339"/>
      <c r="D356" s="1747" t="s">
        <v>1365</v>
      </c>
      <c r="E356" s="268"/>
      <c r="F356" s="268"/>
      <c r="G356" s="790"/>
      <c r="H356" s="268"/>
      <c r="I356" s="268"/>
      <c r="J356" s="184">
        <v>2008</v>
      </c>
      <c r="K356" s="1746"/>
      <c r="L356" s="184">
        <v>2007</v>
      </c>
    </row>
    <row r="357" spans="2:12" ht="13.5" hidden="1" outlineLevel="1" thickTop="1">
      <c r="C357" s="340"/>
      <c r="D357" s="1747"/>
      <c r="E357" s="268"/>
      <c r="F357" s="268"/>
      <c r="G357" s="790"/>
      <c r="H357" s="268"/>
      <c r="I357" s="268"/>
      <c r="J357" s="185" t="s">
        <v>7</v>
      </c>
      <c r="K357" s="1746"/>
      <c r="L357" s="185" t="s">
        <v>7</v>
      </c>
    </row>
    <row r="358" spans="2:12" ht="13.5" hidden="1" outlineLevel="1" thickTop="1">
      <c r="C358" s="340"/>
      <c r="D358" s="347"/>
      <c r="E358" s="186"/>
      <c r="F358" s="186"/>
      <c r="G358" s="290"/>
      <c r="H358" s="186"/>
      <c r="I358" s="186"/>
      <c r="J358" s="186"/>
      <c r="K358" s="186"/>
      <c r="L358" s="186"/>
    </row>
    <row r="359" spans="2:12" ht="13.5" hidden="1" outlineLevel="1" thickTop="1">
      <c r="C359" s="340"/>
      <c r="D359" s="343" t="s">
        <v>1365</v>
      </c>
      <c r="E359" s="187"/>
      <c r="F359" s="187"/>
      <c r="G359" s="791"/>
      <c r="H359" s="187"/>
      <c r="I359" s="187"/>
      <c r="J359" s="288">
        <v>37487159</v>
      </c>
      <c r="K359" s="289"/>
      <c r="L359" s="288">
        <v>14018033</v>
      </c>
    </row>
    <row r="360" spans="2:12" ht="13.5" hidden="1" outlineLevel="1" thickTop="1">
      <c r="C360" s="340"/>
      <c r="D360" s="343"/>
      <c r="E360" s="187"/>
      <c r="F360" s="187"/>
      <c r="G360" s="791"/>
      <c r="H360" s="187"/>
      <c r="I360" s="187"/>
      <c r="J360" s="188"/>
      <c r="K360" s="186"/>
      <c r="L360" s="191"/>
    </row>
    <row r="361" spans="2:12" ht="14.25" hidden="1" outlineLevel="1" thickTop="1" thickBot="1">
      <c r="C361" s="340"/>
      <c r="D361" s="348"/>
      <c r="E361" s="194"/>
      <c r="F361" s="194"/>
      <c r="G361" s="794"/>
      <c r="H361" s="194"/>
      <c r="I361" s="194"/>
      <c r="J361" s="264">
        <f>SUM(J359:J360)</f>
        <v>37487159</v>
      </c>
      <c r="K361" s="196"/>
      <c r="L361" s="264">
        <f>SUM(L359:L360)</f>
        <v>14018033</v>
      </c>
    </row>
    <row r="362" spans="2:12" ht="13.5" hidden="1" outlineLevel="1" thickTop="1">
      <c r="C362" s="340"/>
      <c r="D362" s="343"/>
      <c r="E362" s="187"/>
      <c r="F362" s="187"/>
      <c r="G362" s="791"/>
      <c r="H362" s="187"/>
      <c r="I362" s="187"/>
      <c r="J362" s="188"/>
      <c r="K362" s="191"/>
      <c r="L362" s="188"/>
    </row>
    <row r="363" spans="2:12" ht="13.5" hidden="1" outlineLevel="1" thickTop="1">
      <c r="C363" s="340"/>
      <c r="D363" s="351" t="s">
        <v>512</v>
      </c>
      <c r="E363" s="187"/>
      <c r="F363" s="187"/>
      <c r="G363" s="791"/>
      <c r="H363" s="187"/>
      <c r="I363" s="187"/>
      <c r="J363" s="188"/>
      <c r="K363" s="191"/>
      <c r="L363" s="188"/>
    </row>
    <row r="364" spans="2:12" ht="13.5" hidden="1" outlineLevel="1" thickTop="1">
      <c r="C364" s="340"/>
      <c r="D364" s="343"/>
      <c r="E364" s="187"/>
      <c r="F364" s="187"/>
      <c r="G364" s="791"/>
      <c r="H364" s="187"/>
      <c r="I364" s="187"/>
      <c r="J364" s="188"/>
      <c r="K364" s="191"/>
      <c r="L364" s="188"/>
    </row>
    <row r="365" spans="2:12" ht="13.5" hidden="1" outlineLevel="1" thickTop="1">
      <c r="B365" s="261">
        <v>18</v>
      </c>
      <c r="C365" s="339"/>
      <c r="D365" s="1747" t="s">
        <v>1367</v>
      </c>
      <c r="E365" s="268"/>
      <c r="F365" s="268"/>
      <c r="G365" s="790"/>
      <c r="H365" s="268"/>
      <c r="I365" s="268"/>
      <c r="J365" s="184">
        <v>2008</v>
      </c>
      <c r="K365" s="1746"/>
      <c r="L365" s="184">
        <v>2007</v>
      </c>
    </row>
    <row r="366" spans="2:12" ht="13.5" hidden="1" outlineLevel="1" thickTop="1">
      <c r="C366" s="340"/>
      <c r="D366" s="1747"/>
      <c r="E366" s="268"/>
      <c r="F366" s="268"/>
      <c r="G366" s="790"/>
      <c r="H366" s="268"/>
      <c r="I366" s="268"/>
      <c r="J366" s="185" t="s">
        <v>7</v>
      </c>
      <c r="K366" s="1746"/>
      <c r="L366" s="185" t="s">
        <v>7</v>
      </c>
    </row>
    <row r="367" spans="2:12" ht="13.5" hidden="1" outlineLevel="1" thickTop="1">
      <c r="C367" s="340"/>
      <c r="D367" s="347"/>
      <c r="E367" s="186"/>
      <c r="F367" s="186"/>
      <c r="G367" s="290"/>
      <c r="H367" s="186"/>
      <c r="I367" s="186"/>
      <c r="J367" s="186"/>
      <c r="K367" s="186"/>
      <c r="L367" s="186"/>
    </row>
    <row r="368" spans="2:12" ht="13.5" hidden="1" outlineLevel="1" thickTop="1">
      <c r="C368" s="340"/>
      <c r="D368" s="343" t="s">
        <v>510</v>
      </c>
      <c r="E368" s="187"/>
      <c r="F368" s="187"/>
      <c r="G368" s="791"/>
      <c r="H368" s="187"/>
      <c r="I368" s="187"/>
      <c r="J368" s="288">
        <v>20567604</v>
      </c>
      <c r="K368" s="289"/>
      <c r="L368" s="288">
        <v>23469126</v>
      </c>
    </row>
    <row r="369" spans="2:12" ht="13.5" hidden="1" outlineLevel="1" thickTop="1">
      <c r="C369" s="340"/>
      <c r="D369" s="343"/>
      <c r="E369" s="187"/>
      <c r="F369" s="187"/>
      <c r="G369" s="791"/>
      <c r="H369" s="187"/>
      <c r="I369" s="187"/>
      <c r="J369" s="188"/>
      <c r="K369" s="186"/>
      <c r="L369" s="191"/>
    </row>
    <row r="370" spans="2:12" ht="14.25" hidden="1" outlineLevel="1" thickTop="1" thickBot="1">
      <c r="C370" s="340"/>
      <c r="D370" s="348"/>
      <c r="E370" s="194"/>
      <c r="F370" s="194"/>
      <c r="G370" s="794"/>
      <c r="H370" s="194"/>
      <c r="I370" s="194"/>
      <c r="J370" s="264">
        <f>SUM(J368:J369)</f>
        <v>20567604</v>
      </c>
      <c r="K370" s="196"/>
      <c r="L370" s="264">
        <f>SUM(L368:L369)</f>
        <v>23469126</v>
      </c>
    </row>
    <row r="371" spans="2:12" ht="13.5" hidden="1" outlineLevel="1" thickTop="1">
      <c r="C371" s="340"/>
      <c r="D371" s="348"/>
      <c r="E371" s="194"/>
      <c r="F371" s="194"/>
      <c r="G371" s="794"/>
      <c r="H371" s="194"/>
      <c r="I371" s="194"/>
      <c r="J371" s="293"/>
      <c r="K371" s="196"/>
      <c r="L371" s="293"/>
    </row>
    <row r="372" spans="2:12" ht="13.5" hidden="1" outlineLevel="1" thickTop="1">
      <c r="C372" s="340"/>
      <c r="D372" s="351" t="s">
        <v>514</v>
      </c>
      <c r="E372" s="187"/>
      <c r="F372" s="187"/>
      <c r="G372" s="791"/>
      <c r="H372" s="187"/>
      <c r="I372" s="187"/>
      <c r="J372" s="188"/>
      <c r="K372" s="191"/>
      <c r="L372" s="188"/>
    </row>
    <row r="373" spans="2:12" ht="13.5" hidden="1" outlineLevel="1" thickTop="1">
      <c r="C373" s="340"/>
      <c r="D373" s="343"/>
      <c r="E373" s="187"/>
      <c r="F373" s="187"/>
      <c r="G373" s="791"/>
      <c r="H373" s="187"/>
      <c r="I373" s="187"/>
      <c r="J373" s="188"/>
      <c r="K373" s="188"/>
      <c r="L373" s="188"/>
    </row>
    <row r="374" spans="2:12" ht="13.5" hidden="1" outlineLevel="1" thickTop="1">
      <c r="C374" s="340"/>
      <c r="D374" s="340"/>
    </row>
    <row r="375" spans="2:12" ht="13.5" hidden="1" outlineLevel="1" thickTop="1">
      <c r="C375" s="340"/>
      <c r="D375" s="340"/>
    </row>
    <row r="376" spans="2:12" ht="13.5" hidden="1" outlineLevel="1" thickTop="1">
      <c r="B376" s="261">
        <v>13</v>
      </c>
      <c r="C376" s="339"/>
      <c r="D376" s="1747" t="s">
        <v>475</v>
      </c>
      <c r="E376" s="268"/>
      <c r="F376" s="268"/>
      <c r="G376" s="790"/>
      <c r="H376" s="268"/>
      <c r="I376" s="268"/>
      <c r="J376" s="184" t="s">
        <v>480</v>
      </c>
      <c r="K376" s="1746"/>
      <c r="L376" s="184" t="s">
        <v>481</v>
      </c>
    </row>
    <row r="377" spans="2:12" ht="13.5" hidden="1" outlineLevel="1" thickTop="1">
      <c r="C377" s="340"/>
      <c r="D377" s="1747"/>
      <c r="E377" s="268"/>
      <c r="F377" s="268"/>
      <c r="G377" s="790"/>
      <c r="H377" s="268"/>
      <c r="I377" s="268"/>
      <c r="J377" s="185" t="s">
        <v>7</v>
      </c>
      <c r="K377" s="1746"/>
      <c r="L377" s="185" t="s">
        <v>7</v>
      </c>
    </row>
    <row r="378" spans="2:12" ht="13.5" hidden="1" outlineLevel="1" thickTop="1">
      <c r="C378" s="340"/>
      <c r="D378" s="340"/>
      <c r="J378" s="186"/>
      <c r="K378" s="186"/>
      <c r="L378" s="186"/>
    </row>
    <row r="379" spans="2:12" ht="13.5" hidden="1" outlineLevel="1" thickTop="1">
      <c r="C379" s="340"/>
      <c r="D379" s="341" t="s">
        <v>476</v>
      </c>
      <c r="E379" s="265"/>
      <c r="F379" s="265"/>
      <c r="G379" s="1287"/>
      <c r="H379" s="265"/>
      <c r="I379" s="265"/>
      <c r="J379" s="188"/>
      <c r="K379" s="191"/>
      <c r="L379" s="188"/>
    </row>
    <row r="380" spans="2:12" ht="13.5" hidden="1" outlineLevel="1" thickTop="1">
      <c r="C380" s="340"/>
      <c r="D380" s="342" t="s">
        <v>477</v>
      </c>
      <c r="E380" s="266"/>
      <c r="F380" s="266"/>
      <c r="G380" s="1288"/>
      <c r="H380" s="266"/>
      <c r="I380" s="266"/>
      <c r="J380" s="188"/>
      <c r="K380" s="186"/>
      <c r="L380" s="191"/>
    </row>
    <row r="381" spans="2:12" ht="13.5" hidden="1" outlineLevel="1" thickTop="1">
      <c r="C381" s="340"/>
      <c r="D381" s="342" t="s">
        <v>478</v>
      </c>
      <c r="E381" s="266"/>
      <c r="F381" s="266"/>
      <c r="G381" s="1288"/>
      <c r="H381" s="266"/>
      <c r="I381" s="266"/>
      <c r="J381" s="188"/>
      <c r="K381" s="191"/>
      <c r="L381" s="188"/>
    </row>
    <row r="382" spans="2:12" ht="13.5" hidden="1" outlineLevel="1" thickTop="1">
      <c r="C382" s="340"/>
      <c r="D382" s="342" t="s">
        <v>485</v>
      </c>
      <c r="E382" s="266"/>
      <c r="F382" s="266"/>
      <c r="G382" s="1288"/>
      <c r="H382" s="266"/>
      <c r="I382" s="266"/>
      <c r="J382" s="188"/>
      <c r="K382" s="191"/>
      <c r="L382" s="188"/>
    </row>
    <row r="383" spans="2:12" ht="13.5" hidden="1" outlineLevel="1" thickTop="1">
      <c r="C383" s="340"/>
      <c r="D383" s="343"/>
      <c r="E383" s="187"/>
      <c r="F383" s="187"/>
      <c r="G383" s="791"/>
      <c r="H383" s="187"/>
      <c r="I383" s="187"/>
      <c r="J383" s="188"/>
      <c r="K383" s="191"/>
      <c r="L383" s="188"/>
    </row>
    <row r="384" spans="2:12" ht="14.25" hidden="1" outlineLevel="1" thickTop="1" thickBot="1">
      <c r="C384" s="340"/>
      <c r="D384" s="344" t="s">
        <v>479</v>
      </c>
      <c r="E384" s="267"/>
      <c r="F384" s="267"/>
      <c r="G384" s="1289"/>
      <c r="H384" s="267"/>
      <c r="I384" s="267"/>
      <c r="J384" s="264">
        <f>SUM(J379:J383)</f>
        <v>0</v>
      </c>
      <c r="K384" s="196"/>
      <c r="L384" s="264">
        <f>SUM(L379:L383)</f>
        <v>0</v>
      </c>
    </row>
    <row r="385" spans="2:12" ht="13.5" hidden="1" outlineLevel="1" thickTop="1">
      <c r="C385" s="340"/>
      <c r="D385" s="340"/>
    </row>
    <row r="386" spans="2:12" ht="13.5" hidden="1" outlineLevel="1" thickTop="1">
      <c r="C386" s="340"/>
      <c r="D386" s="340"/>
    </row>
    <row r="387" spans="2:12" ht="13.5" hidden="1" outlineLevel="1" thickTop="1">
      <c r="C387" s="340"/>
      <c r="D387" s="340"/>
    </row>
    <row r="388" spans="2:12" ht="13.5" hidden="1" outlineLevel="1" thickTop="1">
      <c r="B388" s="261" t="s">
        <v>484</v>
      </c>
      <c r="C388" s="339"/>
      <c r="D388" s="1747" t="s">
        <v>482</v>
      </c>
      <c r="E388" s="268"/>
      <c r="F388" s="268"/>
      <c r="G388" s="790"/>
      <c r="H388" s="268"/>
      <c r="I388" s="268"/>
      <c r="J388" s="184">
        <v>2008</v>
      </c>
      <c r="K388" s="1746"/>
      <c r="L388" s="184">
        <v>2007</v>
      </c>
    </row>
    <row r="389" spans="2:12" ht="13.5" hidden="1" outlineLevel="1" thickTop="1">
      <c r="C389" s="340"/>
      <c r="D389" s="1747"/>
      <c r="E389" s="268"/>
      <c r="F389" s="268"/>
      <c r="G389" s="790"/>
      <c r="H389" s="268"/>
      <c r="I389" s="268"/>
      <c r="J389" s="185" t="s">
        <v>7</v>
      </c>
      <c r="K389" s="1746"/>
      <c r="L389" s="185" t="s">
        <v>7</v>
      </c>
    </row>
    <row r="390" spans="2:12" ht="13.5" hidden="1" outlineLevel="1" thickTop="1">
      <c r="C390" s="340"/>
      <c r="D390" s="340"/>
      <c r="J390" s="186"/>
      <c r="K390" s="186"/>
      <c r="L390" s="186"/>
    </row>
    <row r="391" spans="2:12" ht="13.5" hidden="1" outlineLevel="1" thickTop="1">
      <c r="C391" s="340"/>
      <c r="D391" s="341" t="s">
        <v>483</v>
      </c>
      <c r="E391" s="265"/>
      <c r="F391" s="265"/>
      <c r="G391" s="1287"/>
      <c r="H391" s="265"/>
      <c r="I391" s="265"/>
      <c r="J391" s="188"/>
      <c r="K391" s="191"/>
      <c r="L391" s="188"/>
    </row>
    <row r="392" spans="2:12" ht="13.5" hidden="1" outlineLevel="1" thickTop="1">
      <c r="C392" s="340"/>
      <c r="D392" s="341" t="s">
        <v>483</v>
      </c>
      <c r="E392" s="265"/>
      <c r="F392" s="265"/>
      <c r="G392" s="1287"/>
      <c r="H392" s="265"/>
      <c r="I392" s="265"/>
      <c r="J392" s="188"/>
      <c r="K392" s="186"/>
      <c r="L392" s="191"/>
    </row>
    <row r="393" spans="2:12" ht="13.5" hidden="1" outlineLevel="1" thickTop="1">
      <c r="C393" s="340"/>
      <c r="D393" s="341" t="s">
        <v>483</v>
      </c>
      <c r="E393" s="265"/>
      <c r="F393" s="265"/>
      <c r="G393" s="1287"/>
      <c r="H393" s="265"/>
      <c r="I393" s="265"/>
      <c r="J393" s="188"/>
      <c r="K393" s="191"/>
      <c r="L393" s="188"/>
    </row>
    <row r="394" spans="2:12" ht="13.5" hidden="1" outlineLevel="1" thickTop="1">
      <c r="C394" s="340"/>
      <c r="D394" s="341" t="s">
        <v>483</v>
      </c>
      <c r="E394" s="265"/>
      <c r="F394" s="265"/>
      <c r="G394" s="1287"/>
      <c r="H394" s="265"/>
      <c r="I394" s="265"/>
      <c r="J394" s="188"/>
      <c r="K394" s="191"/>
      <c r="L394" s="188"/>
    </row>
    <row r="395" spans="2:12" ht="14.25" hidden="1" outlineLevel="1" thickTop="1" thickBot="1">
      <c r="C395" s="340"/>
      <c r="D395" s="344"/>
      <c r="E395" s="267"/>
      <c r="F395" s="267"/>
      <c r="G395" s="1289"/>
      <c r="H395" s="267"/>
      <c r="I395" s="267"/>
      <c r="J395" s="264">
        <f>SUM(J391:J394)</f>
        <v>0</v>
      </c>
      <c r="K395" s="196"/>
      <c r="L395" s="264">
        <f>SUM(L391:L394)</f>
        <v>0</v>
      </c>
    </row>
    <row r="396" spans="2:12" ht="13.5" hidden="1" outlineLevel="1" thickTop="1">
      <c r="C396" s="340"/>
      <c r="D396" s="340"/>
    </row>
    <row r="397" spans="2:12" ht="13.5" hidden="1" outlineLevel="1" thickTop="1">
      <c r="C397" s="340"/>
      <c r="D397" s="340"/>
    </row>
    <row r="398" spans="2:12" ht="13.5" hidden="1" outlineLevel="1" thickTop="1">
      <c r="C398" s="340"/>
      <c r="D398" s="340"/>
    </row>
    <row r="399" spans="2:12" ht="13.5" hidden="1" outlineLevel="1" thickTop="1">
      <c r="B399" s="261">
        <v>14</v>
      </c>
      <c r="C399" s="339"/>
      <c r="D399" s="1747" t="s">
        <v>486</v>
      </c>
      <c r="E399" s="268"/>
      <c r="F399" s="268"/>
      <c r="G399" s="790"/>
      <c r="H399" s="268"/>
      <c r="I399" s="268"/>
      <c r="J399" s="184">
        <v>2008</v>
      </c>
      <c r="K399" s="1746"/>
      <c r="L399" s="184">
        <v>2007</v>
      </c>
    </row>
    <row r="400" spans="2:12" ht="13.5" hidden="1" outlineLevel="1" thickTop="1">
      <c r="C400" s="340"/>
      <c r="D400" s="1747"/>
      <c r="E400" s="268"/>
      <c r="F400" s="268"/>
      <c r="G400" s="790"/>
      <c r="H400" s="268"/>
      <c r="I400" s="268"/>
      <c r="J400" s="185" t="s">
        <v>7</v>
      </c>
      <c r="K400" s="1746"/>
      <c r="L400" s="185" t="s">
        <v>7</v>
      </c>
    </row>
    <row r="401" spans="2:12" ht="13.5" hidden="1" outlineLevel="1" thickTop="1">
      <c r="C401" s="340"/>
      <c r="D401" s="340"/>
      <c r="J401" s="186"/>
      <c r="K401" s="186"/>
      <c r="L401" s="186"/>
    </row>
    <row r="402" spans="2:12" ht="13.5" hidden="1" outlineLevel="1" thickTop="1">
      <c r="C402" s="340"/>
      <c r="D402" s="341" t="s">
        <v>483</v>
      </c>
      <c r="E402" s="265"/>
      <c r="F402" s="265"/>
      <c r="G402" s="1287"/>
      <c r="H402" s="265"/>
      <c r="I402" s="265"/>
      <c r="J402" s="188"/>
      <c r="K402" s="191"/>
      <c r="L402" s="188"/>
    </row>
    <row r="403" spans="2:12" ht="13.5" hidden="1" outlineLevel="1" thickTop="1">
      <c r="C403" s="340"/>
      <c r="D403" s="341" t="s">
        <v>483</v>
      </c>
      <c r="E403" s="265"/>
      <c r="F403" s="265"/>
      <c r="G403" s="1287"/>
      <c r="H403" s="265"/>
      <c r="I403" s="265"/>
      <c r="J403" s="188"/>
      <c r="K403" s="186"/>
      <c r="L403" s="191"/>
    </row>
    <row r="404" spans="2:12" ht="13.5" hidden="1" outlineLevel="1" thickTop="1">
      <c r="C404" s="340"/>
      <c r="D404" s="341" t="s">
        <v>483</v>
      </c>
      <c r="E404" s="265"/>
      <c r="F404" s="265"/>
      <c r="G404" s="1287"/>
      <c r="H404" s="265"/>
      <c r="I404" s="265"/>
      <c r="J404" s="188"/>
      <c r="K404" s="191"/>
      <c r="L404" s="188"/>
    </row>
    <row r="405" spans="2:12" ht="13.5" hidden="1" outlineLevel="1" thickTop="1">
      <c r="C405" s="340"/>
      <c r="D405" s="341" t="s">
        <v>483</v>
      </c>
      <c r="E405" s="265"/>
      <c r="F405" s="265"/>
      <c r="G405" s="1287"/>
      <c r="H405" s="265"/>
      <c r="I405" s="265"/>
      <c r="J405" s="188"/>
      <c r="K405" s="191"/>
      <c r="L405" s="188"/>
    </row>
    <row r="406" spans="2:12" ht="14.25" hidden="1" outlineLevel="1" thickTop="1" thickBot="1">
      <c r="C406" s="340"/>
      <c r="D406" s="344"/>
      <c r="E406" s="267"/>
      <c r="F406" s="267"/>
      <c r="G406" s="1289"/>
      <c r="H406" s="267"/>
      <c r="I406" s="267"/>
      <c r="J406" s="264">
        <f>SUM(J402:J405)</f>
        <v>0</v>
      </c>
      <c r="K406" s="196"/>
      <c r="L406" s="264">
        <f>SUM(L402:L405)</f>
        <v>0</v>
      </c>
    </row>
    <row r="407" spans="2:12" ht="13.5" hidden="1" outlineLevel="1" thickTop="1">
      <c r="C407" s="340"/>
      <c r="D407" s="340"/>
    </row>
    <row r="408" spans="2:12" ht="13.5" hidden="1" outlineLevel="1" thickTop="1">
      <c r="C408" s="340"/>
      <c r="D408" s="340"/>
    </row>
    <row r="409" spans="2:12" ht="13.5" hidden="1" outlineLevel="1" thickTop="1">
      <c r="C409" s="340"/>
      <c r="D409" s="340"/>
    </row>
    <row r="410" spans="2:12" ht="13.5" hidden="1" outlineLevel="1" thickTop="1">
      <c r="B410" s="261">
        <v>15</v>
      </c>
      <c r="C410" s="339"/>
      <c r="D410" s="1747" t="s">
        <v>487</v>
      </c>
      <c r="E410" s="268"/>
      <c r="F410" s="268"/>
      <c r="G410" s="790"/>
      <c r="H410" s="268"/>
      <c r="I410" s="268"/>
      <c r="J410" s="184">
        <v>2008</v>
      </c>
      <c r="K410" s="1746"/>
      <c r="L410" s="184">
        <v>2007</v>
      </c>
    </row>
    <row r="411" spans="2:12" ht="13.5" hidden="1" outlineLevel="1" thickTop="1">
      <c r="C411" s="340"/>
      <c r="D411" s="1747"/>
      <c r="E411" s="268"/>
      <c r="F411" s="268"/>
      <c r="G411" s="790"/>
      <c r="H411" s="268"/>
      <c r="I411" s="268"/>
      <c r="J411" s="185" t="s">
        <v>7</v>
      </c>
      <c r="K411" s="1746"/>
      <c r="L411" s="185" t="s">
        <v>7</v>
      </c>
    </row>
    <row r="412" spans="2:12" ht="13.5" hidden="1" outlineLevel="1" thickTop="1">
      <c r="C412" s="340"/>
      <c r="D412" s="340"/>
      <c r="J412" s="186"/>
      <c r="K412" s="186"/>
      <c r="L412" s="186"/>
    </row>
    <row r="413" spans="2:12" ht="13.5" hidden="1" outlineLevel="1" thickTop="1">
      <c r="C413" s="340"/>
      <c r="D413" s="341" t="s">
        <v>483</v>
      </c>
      <c r="E413" s="265"/>
      <c r="F413" s="265"/>
      <c r="G413" s="1287"/>
      <c r="H413" s="265"/>
      <c r="I413" s="265"/>
      <c r="J413" s="188"/>
      <c r="K413" s="191"/>
      <c r="L413" s="188"/>
    </row>
    <row r="414" spans="2:12" ht="13.5" hidden="1" outlineLevel="1" thickTop="1">
      <c r="C414" s="340"/>
      <c r="D414" s="341" t="s">
        <v>483</v>
      </c>
      <c r="E414" s="265"/>
      <c r="F414" s="265"/>
      <c r="G414" s="1287"/>
      <c r="H414" s="265"/>
      <c r="I414" s="265"/>
      <c r="J414" s="188"/>
      <c r="K414" s="186"/>
      <c r="L414" s="191"/>
    </row>
    <row r="415" spans="2:12" ht="13.5" hidden="1" outlineLevel="1" thickTop="1">
      <c r="C415" s="340"/>
      <c r="D415" s="341" t="s">
        <v>483</v>
      </c>
      <c r="E415" s="265"/>
      <c r="F415" s="265"/>
      <c r="G415" s="1287"/>
      <c r="H415" s="265"/>
      <c r="I415" s="265"/>
      <c r="J415" s="188"/>
      <c r="K415" s="191"/>
      <c r="L415" s="188"/>
    </row>
    <row r="416" spans="2:12" ht="13.5" hidden="1" outlineLevel="1" thickTop="1">
      <c r="C416" s="340"/>
      <c r="D416" s="341" t="s">
        <v>483</v>
      </c>
      <c r="E416" s="265"/>
      <c r="F416" s="265"/>
      <c r="G416" s="1287"/>
      <c r="H416" s="265"/>
      <c r="I416" s="265"/>
      <c r="J416" s="188"/>
      <c r="K416" s="191"/>
      <c r="L416" s="188"/>
    </row>
    <row r="417" spans="4:12" ht="14.25" hidden="1" outlineLevel="1" thickTop="1" thickBot="1">
      <c r="D417" s="267"/>
      <c r="E417" s="267"/>
      <c r="F417" s="267"/>
      <c r="G417" s="1289"/>
      <c r="H417" s="267"/>
      <c r="I417" s="267"/>
      <c r="J417" s="264">
        <f>SUM(J413:J416)</f>
        <v>0</v>
      </c>
      <c r="K417" s="196"/>
      <c r="L417" s="264">
        <f>SUM(L413:L416)</f>
        <v>0</v>
      </c>
    </row>
    <row r="418" spans="4:12" ht="13.5" hidden="1" outlineLevel="1" thickTop="1"/>
    <row r="419" spans="4:12" ht="13.5" hidden="1" outlineLevel="1" thickTop="1"/>
    <row r="420" spans="4:12" ht="13.5" hidden="1" outlineLevel="1" thickTop="1"/>
    <row r="421" spans="4:12" ht="13.5" hidden="1" outlineLevel="1" thickTop="1"/>
    <row r="422" spans="4:12" ht="13.5" hidden="1" outlineLevel="1" thickTop="1"/>
    <row r="423" spans="4:12" ht="13.5" collapsed="1" thickTop="1"/>
  </sheetData>
  <mergeCells count="50">
    <mergeCell ref="D410:D411"/>
    <mergeCell ref="K410:K411"/>
    <mergeCell ref="D337:D338"/>
    <mergeCell ref="K328:K329"/>
    <mergeCell ref="K365:K366"/>
    <mergeCell ref="D346:D347"/>
    <mergeCell ref="K399:K400"/>
    <mergeCell ref="D388:D389"/>
    <mergeCell ref="K376:K377"/>
    <mergeCell ref="K337:K338"/>
    <mergeCell ref="D399:D400"/>
    <mergeCell ref="D365:D366"/>
    <mergeCell ref="D3:D4"/>
    <mergeCell ref="K3:K4"/>
    <mergeCell ref="K137:K138"/>
    <mergeCell ref="D137:D138"/>
    <mergeCell ref="D44:D45"/>
    <mergeCell ref="K44:K45"/>
    <mergeCell ref="K69:K70"/>
    <mergeCell ref="D80:D81"/>
    <mergeCell ref="K101:K102"/>
    <mergeCell ref="D42:J42"/>
    <mergeCell ref="D69:D70"/>
    <mergeCell ref="K80:K81"/>
    <mergeCell ref="D101:D102"/>
    <mergeCell ref="D91:D92"/>
    <mergeCell ref="K91:K92"/>
    <mergeCell ref="D167:D168"/>
    <mergeCell ref="K226:K227"/>
    <mergeCell ref="D158:D159"/>
    <mergeCell ref="D192:D193"/>
    <mergeCell ref="D115:D116"/>
    <mergeCell ref="K217:K218"/>
    <mergeCell ref="D209:D210"/>
    <mergeCell ref="K209:K210"/>
    <mergeCell ref="K167:K168"/>
    <mergeCell ref="D201:D202"/>
    <mergeCell ref="K158:K159"/>
    <mergeCell ref="K192:K193"/>
    <mergeCell ref="K201:K202"/>
    <mergeCell ref="K307:K308"/>
    <mergeCell ref="D328:D329"/>
    <mergeCell ref="D317:D318"/>
    <mergeCell ref="K317:K318"/>
    <mergeCell ref="K388:K389"/>
    <mergeCell ref="K346:K347"/>
    <mergeCell ref="D356:D357"/>
    <mergeCell ref="K356:K357"/>
    <mergeCell ref="D376:D377"/>
    <mergeCell ref="D307:D308"/>
  </mergeCells>
  <phoneticPr fontId="58" type="noConversion"/>
  <pageMargins left="0.70866141732283505" right="0.70866141732283505" top="0.59055118110236204" bottom="0.59055118110236204" header="0.31496062992126" footer="0.31496062992126"/>
  <pageSetup scale="75" orientation="portrait" horizontalDpi="4294967294" r:id="rId1"/>
  <rowBreaks count="5" manualBreakCount="5">
    <brk id="67" max="12" man="1"/>
    <brk id="128" max="9" man="1"/>
    <brk id="190" max="12" man="1"/>
    <brk id="236" max="12" man="1"/>
    <brk id="37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11</vt:i4>
      </vt:variant>
    </vt:vector>
  </HeadingPairs>
  <TitlesOfParts>
    <vt:vector size="38" baseType="lpstr">
      <vt:lpstr>LISTA AQT 08</vt:lpstr>
      <vt:lpstr>KAPAK MC 13</vt:lpstr>
      <vt:lpstr>A P MC BM 12</vt:lpstr>
      <vt:lpstr>PASH MC 12</vt:lpstr>
      <vt:lpstr>B_Sheet13</vt:lpstr>
      <vt:lpstr>P&amp;L13</vt:lpstr>
      <vt:lpstr>Equity 13</vt:lpstr>
      <vt:lpstr>cash Fl  13</vt:lpstr>
      <vt:lpstr>Shenime B_Sheet 13</vt:lpstr>
      <vt:lpstr>Shenime P&amp;L 13</vt:lpstr>
      <vt:lpstr>TVSH</vt:lpstr>
      <vt:lpstr>Tat Fitim</vt:lpstr>
      <vt:lpstr>AAJM 13</vt:lpstr>
      <vt:lpstr>AAM 13</vt:lpstr>
      <vt:lpstr>AAM 13  </vt:lpstr>
      <vt:lpstr>Bankat 13</vt:lpstr>
      <vt:lpstr>Automjete 13</vt:lpstr>
      <vt:lpstr>Analitike 13</vt:lpstr>
      <vt:lpstr>Aneks Statistikor 13</vt:lpstr>
      <vt:lpstr>aktivitet per BM 13</vt:lpstr>
      <vt:lpstr>ZENTR SHPENZ SHPERND 13 </vt:lpstr>
      <vt:lpstr>ZENTR AMORT 2013</vt:lpstr>
      <vt:lpstr>PASH 13</vt:lpstr>
      <vt:lpstr>AP 13</vt:lpstr>
      <vt:lpstr>FD T Fitimit 12</vt:lpstr>
      <vt:lpstr>Automjete 11</vt:lpstr>
      <vt:lpstr>B_LinkEquity </vt:lpstr>
      <vt:lpstr>'Analitike 13'!Print_Area</vt:lpstr>
      <vt:lpstr>'Aneks Statistikor 13'!Print_Area</vt:lpstr>
      <vt:lpstr>B_Sheet13!Print_Area</vt:lpstr>
      <vt:lpstr>'Equity 13'!Print_Area</vt:lpstr>
      <vt:lpstr>'FD T Fitimit 12'!Print_Area</vt:lpstr>
      <vt:lpstr>'KAPAK MC 13'!Print_Area</vt:lpstr>
      <vt:lpstr>'LISTA AQT 08'!Print_Area</vt:lpstr>
      <vt:lpstr>'P&amp;L13'!Print_Area</vt:lpstr>
      <vt:lpstr>'Shenime B_Sheet 13'!Print_Area</vt:lpstr>
      <vt:lpstr>'Shenime P&amp;L 13'!Print_Area</vt:lpstr>
      <vt:lpstr>'ZENTR AMORT 2013'!Print_Area</vt:lpstr>
    </vt:vector>
  </TitlesOfParts>
  <Company>Consulting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Zisi</dc:creator>
  <cp:lastModifiedBy>financa.tv</cp:lastModifiedBy>
  <cp:lastPrinted>2014-03-31T08:19:51Z</cp:lastPrinted>
  <dcterms:created xsi:type="dcterms:W3CDTF">2006-03-16T09:44:06Z</dcterms:created>
  <dcterms:modified xsi:type="dcterms:W3CDTF">2014-07-16T12:24:42Z</dcterms:modified>
</cp:coreProperties>
</file>