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10" windowHeight="9630" tabRatio="702"/>
  </bookViews>
  <sheets>
    <sheet name="Te dhenat ligjore" sheetId="7" r:id="rId1"/>
    <sheet name="Bilanci" sheetId="1" r:id="rId2"/>
    <sheet name="Pasqyra e te ardhurave" sheetId="2" r:id="rId3"/>
    <sheet name="Shenimet Bilanci" sheetId="3" r:id="rId4"/>
    <sheet name="Aktive te qendrueshme" sheetId="4" r:id="rId5"/>
    <sheet name="Aktive jo te prekshme" sheetId="5" r:id="rId6"/>
    <sheet name="Shenimet Pasqyra e te Ardhurave" sheetId="6" r:id="rId7"/>
  </sheets>
  <definedNames>
    <definedName name="_Hlk256697691" localSheetId="4">'Aktive te qendrueshme'!$A$24</definedName>
    <definedName name="_Ref229998554" localSheetId="6">'Shenimet Pasqyra e te Ardhurave'!$A$37</definedName>
    <definedName name="_Ref256755875" localSheetId="6">'Shenimet Pasqyra e te Ardhurave'!$A$71</definedName>
    <definedName name="_Ref257150452" localSheetId="5">'Aktive jo te prekshme'!$A$5</definedName>
    <definedName name="_xlnm.Print_Area" localSheetId="5">'Aktive jo te prekshme'!$A$1:$C$36</definedName>
    <definedName name="_xlnm.Print_Area" localSheetId="1">Bilanci!$A$1:$G$38</definedName>
    <definedName name="_xlnm.Print_Area" localSheetId="2">'Pasqyra e te ardhurave'!$A$1:$G$30</definedName>
    <definedName name="_xlnm.Print_Area" localSheetId="3">'Shenimet Bilanci'!$A$1:$G$82</definedName>
    <definedName name="_xlnm.Print_Titles" localSheetId="3">'Shenimet Bilanci'!$1:$4</definedName>
    <definedName name="_xlnm.Print_Titles" localSheetId="6">'Shenimet Pasqyra e te Ardhurave'!$1:$4</definedName>
  </definedNames>
  <calcPr calcId="145621"/>
</workbook>
</file>

<file path=xl/calcChain.xml><?xml version="1.0" encoding="utf-8"?>
<calcChain xmlns="http://schemas.openxmlformats.org/spreadsheetml/2006/main">
  <c r="B27" i="2" l="1"/>
  <c r="F40" i="3" l="1"/>
  <c r="B54" i="3" l="1"/>
  <c r="C21" i="2"/>
  <c r="C29" i="4"/>
  <c r="D29" i="4"/>
  <c r="E29" i="4"/>
  <c r="F29" i="4"/>
  <c r="G29" i="4"/>
  <c r="B29" i="4"/>
  <c r="C13" i="4" l="1"/>
  <c r="C18" i="4" s="1"/>
  <c r="D13" i="4"/>
  <c r="D18" i="4" s="1"/>
  <c r="E13" i="4"/>
  <c r="E18" i="4" s="1"/>
  <c r="F13" i="4"/>
  <c r="F18" i="4" s="1"/>
  <c r="G13" i="4"/>
  <c r="G18" i="4" s="1"/>
  <c r="H13" i="4"/>
  <c r="H18" i="4" s="1"/>
  <c r="B13" i="4"/>
  <c r="B18" i="4" s="1"/>
  <c r="B11" i="5" l="1"/>
  <c r="B14" i="5" s="1"/>
  <c r="B11" i="1"/>
  <c r="B82" i="6" l="1"/>
  <c r="B78" i="6"/>
  <c r="B68" i="6"/>
  <c r="B44" i="6"/>
  <c r="B31" i="6"/>
  <c r="B34" i="6" s="1"/>
  <c r="B17" i="6"/>
  <c r="B20" i="6" s="1"/>
  <c r="B79" i="3"/>
  <c r="B78" i="3"/>
  <c r="B73" i="3"/>
  <c r="B61" i="3"/>
  <c r="B55" i="3"/>
  <c r="B48" i="3"/>
  <c r="B38" i="3"/>
  <c r="B28" i="3"/>
  <c r="B18" i="3"/>
  <c r="B9" i="3"/>
  <c r="B33" i="2"/>
  <c r="B22" i="2"/>
  <c r="B8" i="2"/>
  <c r="B17" i="2" s="1"/>
  <c r="B35" i="1"/>
  <c r="B28" i="1"/>
  <c r="B25" i="1"/>
  <c r="B15" i="1"/>
  <c r="B17" i="1" s="1"/>
  <c r="B80" i="3" l="1"/>
  <c r="B83" i="6"/>
  <c r="B24" i="2"/>
  <c r="B37" i="1"/>
  <c r="B40" i="1" s="1"/>
  <c r="B41" i="1" s="1"/>
  <c r="B30" i="1"/>
  <c r="C76" i="6"/>
  <c r="C67" i="6"/>
  <c r="C66" i="6"/>
  <c r="C65" i="6"/>
  <c r="C64" i="6"/>
  <c r="C63" i="6"/>
  <c r="C62" i="6"/>
  <c r="C61" i="6"/>
  <c r="C59" i="6"/>
  <c r="C58" i="6"/>
  <c r="C57" i="6"/>
  <c r="C56" i="6"/>
  <c r="C55" i="6"/>
  <c r="C54" i="6"/>
  <c r="C53" i="6"/>
  <c r="C52" i="6"/>
  <c r="C51" i="6"/>
  <c r="C50" i="6"/>
  <c r="C43" i="6"/>
  <c r="C42" i="6"/>
  <c r="C44" i="6" s="1"/>
  <c r="C41" i="6"/>
  <c r="C40" i="6"/>
  <c r="D30" i="6"/>
  <c r="D27" i="6"/>
  <c r="D25" i="6"/>
  <c r="C30" i="6"/>
  <c r="C29" i="6"/>
  <c r="C27" i="6"/>
  <c r="C25" i="6"/>
  <c r="C16" i="6"/>
  <c r="C14" i="6"/>
  <c r="C13" i="6"/>
  <c r="C12" i="6"/>
  <c r="C11" i="6"/>
  <c r="C10" i="6"/>
  <c r="C9" i="6"/>
  <c r="C8" i="6"/>
  <c r="C7" i="6"/>
  <c r="H34" i="4"/>
  <c r="H22" i="4"/>
  <c r="C82" i="6"/>
  <c r="C78" i="6"/>
  <c r="H33" i="4"/>
  <c r="H21" i="4"/>
  <c r="C33" i="2"/>
  <c r="C72" i="3"/>
  <c r="C71" i="3"/>
  <c r="C70" i="3"/>
  <c r="C68" i="3"/>
  <c r="C67" i="3"/>
  <c r="C66" i="3"/>
  <c r="C54" i="3"/>
  <c r="C53" i="3"/>
  <c r="C47" i="3"/>
  <c r="C46" i="3"/>
  <c r="C45" i="3"/>
  <c r="C16" i="3"/>
  <c r="C15" i="3"/>
  <c r="C14" i="3"/>
  <c r="C8" i="3"/>
  <c r="C7" i="3"/>
  <c r="C35" i="3"/>
  <c r="C34" i="3"/>
  <c r="C27" i="3"/>
  <c r="C26" i="3"/>
  <c r="C25" i="3"/>
  <c r="C24" i="3"/>
  <c r="C23" i="3"/>
  <c r="B29" i="2" l="1"/>
  <c r="B32" i="2" s="1"/>
  <c r="B34" i="2" s="1"/>
  <c r="C73" i="3"/>
  <c r="C31" i="6"/>
  <c r="C34" i="6" s="1"/>
  <c r="H19" i="4"/>
  <c r="C68" i="6"/>
  <c r="C17" i="6"/>
  <c r="C20" i="6" s="1"/>
  <c r="H20" i="4"/>
  <c r="C83" i="6"/>
  <c r="C79" i="3" l="1"/>
  <c r="C78" i="3"/>
  <c r="C61" i="3"/>
  <c r="C55" i="3"/>
  <c r="C48" i="3"/>
  <c r="C33" i="3"/>
  <c r="C38" i="3" s="1"/>
  <c r="C28" i="3"/>
  <c r="C18" i="3"/>
  <c r="C9" i="3"/>
  <c r="C8" i="2"/>
  <c r="C17" i="2" s="1"/>
  <c r="C35" i="1"/>
  <c r="C28" i="1"/>
  <c r="C15" i="1"/>
  <c r="D6" i="1"/>
  <c r="E6" i="1"/>
  <c r="F6" i="1"/>
  <c r="D7" i="1"/>
  <c r="E7" i="1"/>
  <c r="F7" i="1"/>
  <c r="D8" i="1"/>
  <c r="E8" i="1"/>
  <c r="F8" i="1"/>
  <c r="E9" i="1"/>
  <c r="F9" i="1"/>
  <c r="F10" i="1"/>
  <c r="D13" i="1"/>
  <c r="E13" i="1"/>
  <c r="D14" i="1"/>
  <c r="E14" i="1"/>
  <c r="F14" i="1"/>
  <c r="F15" i="1" s="1"/>
  <c r="D20" i="1"/>
  <c r="E20" i="1"/>
  <c r="F20" i="1"/>
  <c r="D21" i="1"/>
  <c r="E21" i="1"/>
  <c r="F22" i="1"/>
  <c r="D23" i="1"/>
  <c r="E23" i="1"/>
  <c r="F23" i="1"/>
  <c r="E24" i="1"/>
  <c r="D27" i="1"/>
  <c r="E27" i="1"/>
  <c r="E28" i="1" s="1"/>
  <c r="F27" i="1"/>
  <c r="F21" i="1" s="1"/>
  <c r="D28" i="1"/>
  <c r="D33" i="1"/>
  <c r="D35" i="1" s="1"/>
  <c r="E33" i="1"/>
  <c r="E35" i="1" s="1"/>
  <c r="F33" i="1"/>
  <c r="F35" i="1" s="1"/>
  <c r="D25" i="1" l="1"/>
  <c r="D37" i="1" s="1"/>
  <c r="D15" i="1"/>
  <c r="D17" i="1" s="1"/>
  <c r="F28" i="1"/>
  <c r="F30" i="1" s="1"/>
  <c r="D11" i="1"/>
  <c r="F11" i="1"/>
  <c r="F17" i="1" s="1"/>
  <c r="E15" i="1"/>
  <c r="F25" i="1"/>
  <c r="F37" i="1" s="1"/>
  <c r="E25" i="1"/>
  <c r="E37" i="1" s="1"/>
  <c r="E11" i="1"/>
  <c r="C80" i="3"/>
  <c r="C22" i="2"/>
  <c r="C24" i="2" s="1"/>
  <c r="C29" i="2" s="1"/>
  <c r="C32" i="2" s="1"/>
  <c r="C34" i="2" s="1"/>
  <c r="C25" i="1"/>
  <c r="C30" i="1" s="1"/>
  <c r="C11" i="1"/>
  <c r="C17" i="1" s="1"/>
  <c r="D30" i="1"/>
  <c r="H31" i="4"/>
  <c r="H30" i="4"/>
  <c r="H27" i="4"/>
  <c r="H28" i="4"/>
  <c r="H26" i="4"/>
  <c r="C32" i="4"/>
  <c r="C35" i="4" s="1"/>
  <c r="D32" i="4"/>
  <c r="D35" i="4" s="1"/>
  <c r="E32" i="4"/>
  <c r="E35" i="4" s="1"/>
  <c r="F32" i="4"/>
  <c r="F35" i="4" s="1"/>
  <c r="G32" i="4"/>
  <c r="G35" i="4" s="1"/>
  <c r="B32" i="4"/>
  <c r="B35" i="4" s="1"/>
  <c r="E23" i="4"/>
  <c r="B23" i="4"/>
  <c r="D82" i="6"/>
  <c r="D77" i="6"/>
  <c r="D76" i="6"/>
  <c r="D67" i="6"/>
  <c r="D66" i="6"/>
  <c r="D65" i="6"/>
  <c r="D64" i="6"/>
  <c r="D63" i="6"/>
  <c r="D62" i="6"/>
  <c r="D61" i="6"/>
  <c r="D59" i="6"/>
  <c r="D58" i="6"/>
  <c r="D57" i="6"/>
  <c r="D56" i="6"/>
  <c r="D55" i="6"/>
  <c r="D54" i="6"/>
  <c r="D53" i="6"/>
  <c r="D52" i="6"/>
  <c r="D51" i="6"/>
  <c r="D50" i="6"/>
  <c r="D43" i="6"/>
  <c r="D42" i="6"/>
  <c r="D41" i="6"/>
  <c r="D40" i="6"/>
  <c r="D44" i="6" s="1"/>
  <c r="D31" i="6"/>
  <c r="D34" i="6" s="1"/>
  <c r="E25" i="6"/>
  <c r="D15" i="6"/>
  <c r="D14" i="6"/>
  <c r="D13" i="6"/>
  <c r="D12" i="6"/>
  <c r="D11" i="6"/>
  <c r="D10" i="6"/>
  <c r="D9" i="6"/>
  <c r="D8" i="6"/>
  <c r="D7" i="6"/>
  <c r="E30" i="1" l="1"/>
  <c r="D68" i="6"/>
  <c r="D78" i="6"/>
  <c r="D83" i="6" s="1"/>
  <c r="C37" i="1"/>
  <c r="C40" i="1" s="1"/>
  <c r="C41" i="1" s="1"/>
  <c r="D40" i="1"/>
  <c r="D41" i="1" s="1"/>
  <c r="E17" i="1"/>
  <c r="E40" i="1" s="1"/>
  <c r="E41" i="1" s="1"/>
  <c r="H29" i="4"/>
  <c r="H32" i="4" s="1"/>
  <c r="H35" i="4" s="1"/>
  <c r="E41" i="4"/>
  <c r="B41" i="4"/>
  <c r="G23" i="4"/>
  <c r="G41" i="4" s="1"/>
  <c r="F40" i="1"/>
  <c r="F41" i="1" s="1"/>
  <c r="F23" i="4"/>
  <c r="F41" i="4" s="1"/>
  <c r="C23" i="4"/>
  <c r="C41" i="4" s="1"/>
  <c r="D23" i="4"/>
  <c r="D41" i="4" s="1"/>
  <c r="D17" i="6"/>
  <c r="D20" i="6" s="1"/>
  <c r="H23" i="4" l="1"/>
  <c r="H41" i="4" s="1"/>
  <c r="B23" i="5"/>
  <c r="B26" i="5" s="1"/>
  <c r="B29" i="5" s="1"/>
  <c r="B17" i="5"/>
  <c r="D79" i="3"/>
  <c r="D78" i="3"/>
  <c r="D71" i="3"/>
  <c r="D70" i="3"/>
  <c r="D68" i="3"/>
  <c r="D67" i="3"/>
  <c r="D66" i="3"/>
  <c r="D54" i="3"/>
  <c r="D53" i="3"/>
  <c r="D55" i="3" s="1"/>
  <c r="D47" i="3"/>
  <c r="D46" i="3"/>
  <c r="D45" i="3"/>
  <c r="D35" i="3"/>
  <c r="D34" i="3"/>
  <c r="D33" i="3"/>
  <c r="D27" i="3"/>
  <c r="D26" i="3"/>
  <c r="D25" i="3"/>
  <c r="D24" i="3"/>
  <c r="D23" i="3"/>
  <c r="D16" i="3"/>
  <c r="D15" i="3"/>
  <c r="D14" i="3"/>
  <c r="D8" i="3"/>
  <c r="D7" i="3"/>
  <c r="D9" i="3" s="1"/>
  <c r="D61" i="3"/>
  <c r="D22" i="2"/>
  <c r="D16" i="2"/>
  <c r="D10" i="2"/>
  <c r="D7" i="2"/>
  <c r="D33" i="2"/>
  <c r="D8" i="2"/>
  <c r="D38" i="3" l="1"/>
  <c r="D48" i="3"/>
  <c r="D18" i="3"/>
  <c r="D80" i="3"/>
  <c r="D73" i="3"/>
  <c r="B35" i="5"/>
  <c r="D28" i="3"/>
  <c r="D17" i="2"/>
  <c r="D24" i="2" s="1"/>
  <c r="D29" i="2" s="1"/>
  <c r="D32" i="2" s="1"/>
  <c r="D34" i="2" s="1"/>
  <c r="F78" i="3" l="1"/>
  <c r="F80" i="3" s="1"/>
  <c r="E78" i="3"/>
  <c r="E80" i="3" s="1"/>
  <c r="E71" i="3"/>
  <c r="F70" i="3"/>
  <c r="E70" i="3"/>
  <c r="F69" i="3"/>
  <c r="F68" i="3"/>
  <c r="E68" i="3"/>
  <c r="F67" i="3"/>
  <c r="E67" i="3"/>
  <c r="F66" i="3"/>
  <c r="E66" i="3"/>
  <c r="F47" i="3"/>
  <c r="F46" i="3"/>
  <c r="F45" i="3"/>
  <c r="E47" i="3"/>
  <c r="E46" i="3"/>
  <c r="E45" i="3"/>
  <c r="F60" i="3"/>
  <c r="F54" i="3"/>
  <c r="F53" i="3"/>
  <c r="E54" i="3"/>
  <c r="E53" i="3"/>
  <c r="E73" i="3" l="1"/>
  <c r="F73" i="3"/>
  <c r="E48" i="3"/>
  <c r="E35" i="3"/>
  <c r="E34" i="3"/>
  <c r="E33" i="3"/>
  <c r="E27" i="3"/>
  <c r="E26" i="3"/>
  <c r="E25" i="3"/>
  <c r="E24" i="3"/>
  <c r="E23" i="3"/>
  <c r="E16" i="3"/>
  <c r="E15" i="3"/>
  <c r="E14" i="3"/>
  <c r="E7" i="3"/>
  <c r="E9" i="3" s="1"/>
  <c r="F33" i="2"/>
  <c r="E33" i="2"/>
  <c r="E20" i="2"/>
  <c r="E22" i="2" s="1"/>
  <c r="E10" i="2"/>
  <c r="F7" i="2"/>
  <c r="E7" i="2"/>
  <c r="E8" i="2" s="1"/>
  <c r="E61" i="3"/>
  <c r="E55" i="3"/>
  <c r="F37" i="3"/>
  <c r="F36" i="3"/>
  <c r="F35" i="3"/>
  <c r="F34" i="3"/>
  <c r="F33" i="3"/>
  <c r="F23" i="3"/>
  <c r="E17" i="2" l="1"/>
  <c r="E24" i="2" s="1"/>
  <c r="E29" i="2" s="1"/>
  <c r="E32" i="2" s="1"/>
  <c r="E34" i="2" s="1"/>
  <c r="E18" i="3"/>
  <c r="E38" i="3"/>
  <c r="E28" i="3"/>
  <c r="F17" i="3"/>
  <c r="F16" i="3"/>
  <c r="F15" i="3"/>
  <c r="F14" i="3"/>
  <c r="F8" i="3"/>
  <c r="F7" i="3"/>
  <c r="F20" i="2"/>
  <c r="F22" i="2" s="1"/>
  <c r="F16" i="2"/>
  <c r="F15" i="2"/>
  <c r="F14" i="2"/>
  <c r="F13" i="2"/>
  <c r="F12" i="2"/>
  <c r="F10" i="2"/>
  <c r="F8" i="2"/>
  <c r="F17" i="2" l="1"/>
  <c r="F24" i="2" s="1"/>
  <c r="F29" i="2" s="1"/>
  <c r="F32" i="2" s="1"/>
  <c r="F34" i="2" s="1"/>
  <c r="F48" i="3"/>
  <c r="F61" i="3"/>
  <c r="F55" i="3"/>
  <c r="F38" i="3"/>
  <c r="F28" i="3"/>
  <c r="F18" i="3"/>
  <c r="F9" i="3"/>
</calcChain>
</file>

<file path=xl/sharedStrings.xml><?xml version="1.0" encoding="utf-8"?>
<sst xmlns="http://schemas.openxmlformats.org/spreadsheetml/2006/main" count="359" uniqueCount="197">
  <si>
    <t>check</t>
  </si>
  <si>
    <t>Check</t>
  </si>
  <si>
    <t>Tirana Leasing</t>
  </si>
  <si>
    <t>Totali i aktiveve afatshkurtra</t>
  </si>
  <si>
    <t>Totali i aktiveve afatgjata</t>
  </si>
  <si>
    <t>Detyrimet</t>
  </si>
  <si>
    <t>Totali i detyrimeve afatshkurtra</t>
  </si>
  <si>
    <t>Totali i detyrimeve afatgjata</t>
  </si>
  <si>
    <t>Kapitali</t>
  </si>
  <si>
    <t xml:space="preserve">Te tjera aktive </t>
  </si>
  <si>
    <t>Detyrime te tjera</t>
  </si>
  <si>
    <t>Amortizimi</t>
  </si>
  <si>
    <t>HUA</t>
  </si>
  <si>
    <t>Qera Financiare</t>
  </si>
  <si>
    <t>Shpenzime te perllogaritura</t>
  </si>
  <si>
    <t>Garanci te mbajtura</t>
  </si>
  <si>
    <t>Te ardhura te tjera</t>
  </si>
  <si>
    <t xml:space="preserve">Totali </t>
  </si>
  <si>
    <t>UNIVERS-ALB SH.A.</t>
  </si>
  <si>
    <t>Tatim fitimi i parapaguar</t>
  </si>
  <si>
    <t>Totali i aktiveve</t>
  </si>
  <si>
    <t>Totali i kapitalit</t>
  </si>
  <si>
    <t xml:space="preserve">Inventaret </t>
  </si>
  <si>
    <t xml:space="preserve">Kerkesa to arketueshme nga pacientet </t>
  </si>
  <si>
    <t xml:space="preserve">Hua </t>
  </si>
  <si>
    <t xml:space="preserve">Kapitali aksioner </t>
  </si>
  <si>
    <t xml:space="preserve"> Aktivet </t>
  </si>
  <si>
    <t xml:space="preserve">Detyrime per qera financiare </t>
  </si>
  <si>
    <t>Humbje te mbartura</t>
  </si>
  <si>
    <t>Totali i detyrimeve dhe kapitalit</t>
  </si>
  <si>
    <t xml:space="preserve">Mjete Monetare dhe ekuivalente me to </t>
  </si>
  <si>
    <t>Viti i mbyllur me 31/12/2009</t>
  </si>
  <si>
    <t>Te ardhurat</t>
  </si>
  <si>
    <t>Kosto e mallrave te shitura</t>
  </si>
  <si>
    <t xml:space="preserve">Shpenzime personeli </t>
  </si>
  <si>
    <t xml:space="preserve">Shpenzime to tjera operative </t>
  </si>
  <si>
    <t>Shpenzime financiare</t>
  </si>
  <si>
    <t>Te ardhura financiare</t>
  </si>
  <si>
    <t>Shuma to parashikuara per humbje nga Ilogarite e arketueshme</t>
  </si>
  <si>
    <t>Rezultati nga veprimtaria operative</t>
  </si>
  <si>
    <t>Totali</t>
  </si>
  <si>
    <t>Taksa dhe detyrime doganore</t>
  </si>
  <si>
    <t>Te arketueshme nga individet</t>
  </si>
  <si>
    <t>Te arketueshme nga spitali shteteror</t>
  </si>
  <si>
    <t>Te konsumueshme</t>
  </si>
  <si>
    <t>Karburant</t>
  </si>
  <si>
    <t>Garanci e paguar ne banke</t>
  </si>
  <si>
    <t>TVSH e arketueshme</t>
  </si>
  <si>
    <t>Arka</t>
  </si>
  <si>
    <t>Banka</t>
  </si>
  <si>
    <t>Te arketueshme nga kompanite e sigurimit</t>
  </si>
  <si>
    <t>Materiale te tjera</t>
  </si>
  <si>
    <t>Paradhenie dhe Parapagime</t>
  </si>
  <si>
    <t>Taksa te tjera te parapaguara</t>
  </si>
  <si>
    <t xml:space="preserve"> Aktive te tjera</t>
  </si>
  <si>
    <t>Shuma te parashikuara per humbje nga llogari te arketueshme</t>
  </si>
  <si>
    <t>Te arketueshme nete nga pacientet</t>
  </si>
  <si>
    <t>Kerkesa te tjera te arketueshme</t>
  </si>
  <si>
    <t>Shuma te parashikuara per penalitete</t>
  </si>
  <si>
    <t>Ne mbyllje te vitit 31/12/2009</t>
  </si>
  <si>
    <t>Furnitore</t>
  </si>
  <si>
    <t>Kosto te tjera personeli</t>
  </si>
  <si>
    <t xml:space="preserve"> 31/12/2009</t>
  </si>
  <si>
    <t>Aktive afatgjata te trupezuara</t>
  </si>
  <si>
    <t xml:space="preserve">Aktive afatgjata te patrupezuara </t>
  </si>
  <si>
    <t xml:space="preserve">Detyrime tregetare dhe te tjera </t>
  </si>
  <si>
    <t>Shpenzimet neto financiare</t>
  </si>
  <si>
    <t xml:space="preserve">Fitimi ( humbja) para tatimit </t>
  </si>
  <si>
    <t>Shpenzimet e tatimit mbi fitimin</t>
  </si>
  <si>
    <t>Fitimi ( humbja) neto e vitit financiar</t>
  </si>
  <si>
    <t>Mijera LEKE</t>
  </si>
  <si>
    <t>Te ardhura</t>
  </si>
  <si>
    <t xml:space="preserve">ne Mijera LEKE </t>
  </si>
  <si>
    <t xml:space="preserve">Ne mijera LEKE </t>
  </si>
  <si>
    <t>Aktivet monetare dhe ekuivalente me to</t>
  </si>
  <si>
    <t>Kerkese te arketueshme nga pacientet</t>
  </si>
  <si>
    <t xml:space="preserve"> Inventaret</t>
  </si>
  <si>
    <t>Mallrat</t>
  </si>
  <si>
    <t>Materiale te para</t>
  </si>
  <si>
    <t xml:space="preserve"> 31/12/2010</t>
  </si>
  <si>
    <t>Viti i mbyllur me 31/12/2010</t>
  </si>
  <si>
    <t>Ne mbyllje te vitit 31/12/2010</t>
  </si>
  <si>
    <t>Tatim fitimi I pagueshem</t>
  </si>
  <si>
    <t>Totali i detyrimeve</t>
  </si>
  <si>
    <t>Tatim fitimi parapaguar</t>
  </si>
  <si>
    <t>Toka</t>
  </si>
  <si>
    <t>Ndertesa &amp; Ambjente te marra me Qera</t>
  </si>
  <si>
    <t>Pajisje dhe instrumente</t>
  </si>
  <si>
    <t>Mjete transporti</t>
  </si>
  <si>
    <t>Kosto</t>
  </si>
  <si>
    <t>Shtesa</t>
  </si>
  <si>
    <t>-</t>
  </si>
  <si>
    <t>Transferime</t>
  </si>
  <si>
    <t>Shitje dhe pakesime</t>
  </si>
  <si>
    <t>Me 31 dhjetor 2010</t>
  </si>
  <si>
    <t>Amortizimi i akumuluar</t>
  </si>
  <si>
    <t xml:space="preserve">Shpenzim amortizimi per vitin  </t>
  </si>
  <si>
    <t>Vlera e mbartur</t>
  </si>
  <si>
    <t xml:space="preserve">Mobilje dhe pajisje elektronike </t>
  </si>
  <si>
    <t>Aktive ne proces</t>
  </si>
  <si>
    <t xml:space="preserve">Shtesat </t>
  </si>
  <si>
    <t>Shtesat</t>
  </si>
  <si>
    <t>Pakesimet</t>
  </si>
  <si>
    <t xml:space="preserve">Shpenzimi i amortizimit per vitin </t>
  </si>
  <si>
    <t>Shpenzimi i amortizimit per vitin</t>
  </si>
  <si>
    <t>Programe kompjuterike</t>
  </si>
  <si>
    <t>Raiffeisen Bank Albania sh.a.</t>
  </si>
  <si>
    <t>Banka Kombetare Tregtare sh.a.</t>
  </si>
  <si>
    <t>Parapagime nga pacientet</t>
  </si>
  <si>
    <t>Detyrime tregtare dhe te tjera</t>
  </si>
  <si>
    <t>Sigurime shoqerore dhe taksa te pagueshme</t>
  </si>
  <si>
    <t>Detyrime ndaj personelit</t>
  </si>
  <si>
    <t>Kreditore te ndryshem</t>
  </si>
  <si>
    <t>TVSH e pagueshme</t>
  </si>
  <si>
    <t>Nderhyrjet kirurgjikale</t>
  </si>
  <si>
    <t>Kardiologji</t>
  </si>
  <si>
    <t>Hemodialze</t>
  </si>
  <si>
    <t>Radiologji</t>
  </si>
  <si>
    <t>Laboratori</t>
  </si>
  <si>
    <t>Sherbim ambulance</t>
  </si>
  <si>
    <t>Mallrat e shitura</t>
  </si>
  <si>
    <t>Ambulance</t>
  </si>
  <si>
    <t>Stomatologji</t>
  </si>
  <si>
    <t>Farmaci</t>
  </si>
  <si>
    <t>Zbritjet</t>
  </si>
  <si>
    <t>Inventaret per t’u nxjerre jashte perdorimit</t>
  </si>
  <si>
    <t>Shpenzimet e personelit perfshijne si me poshte:</t>
  </si>
  <si>
    <t>Pagat</t>
  </si>
  <si>
    <t>Kontributet shoqerore dhe shendetesore</t>
  </si>
  <si>
    <t>Shpenzime trajnim personeli</t>
  </si>
  <si>
    <t>Qira</t>
  </si>
  <si>
    <t>Energji elektrike, uje, etj.</t>
  </si>
  <si>
    <t>Ushqime dhe te tjera</t>
  </si>
  <si>
    <t>Pastrim</t>
  </si>
  <si>
    <t>Komunikim</t>
  </si>
  <si>
    <t>Transport dhe udhëtime</t>
  </si>
  <si>
    <t>Marketing, reklama, publicitet</t>
  </si>
  <si>
    <t>Mirmbajtje ndertese dhe pajisje</t>
  </si>
  <si>
    <t>Sherbime ruajtjeje</t>
  </si>
  <si>
    <t>Dhurata</t>
  </si>
  <si>
    <t>Materiale kancelarie dhe higjenike</t>
  </si>
  <si>
    <t>Sigurime</t>
  </si>
  <si>
    <t>Komisione bankare</t>
  </si>
  <si>
    <t>Humbje nga pakesimi i aktiveve afatgjata</t>
  </si>
  <si>
    <t>Shpenzime te tjera operative</t>
  </si>
  <si>
    <t>Kostot financiare neto perbehen si me poshte:</t>
  </si>
  <si>
    <t>LEK</t>
  </si>
  <si>
    <t>Te ardhura nga interesi</t>
  </si>
  <si>
    <t>Kostot financiare</t>
  </si>
  <si>
    <t>Humbje neto nga kurset e kembimit</t>
  </si>
  <si>
    <t>Shpenzime interesi</t>
  </si>
  <si>
    <t>Aktivet afatgjata materiale</t>
  </si>
  <si>
    <t>Aktivet afatgjata jo-materiale</t>
  </si>
  <si>
    <t>Kostoja e materialeve dhe mallrave</t>
  </si>
  <si>
    <t>Shpenzime te personelit</t>
  </si>
  <si>
    <t>Kosto financiare neto</t>
  </si>
  <si>
    <t xml:space="preserve"> 31/12/2011</t>
  </si>
  <si>
    <t>Ne mijera LEKE</t>
  </si>
  <si>
    <t>Viti i mbyllur me 31/12/2011</t>
  </si>
  <si>
    <t>Ne mbyllje te vitit 31/12/2011</t>
  </si>
  <si>
    <t>Me 31 dhjetor 2011</t>
  </si>
  <si>
    <t>Me 31 Dhjetor 2011</t>
  </si>
  <si>
    <t>Materialet te para dhe te konsumueshme</t>
  </si>
  <si>
    <t>Fitim neto nga kurset e kembimit</t>
  </si>
  <si>
    <t>Shpenzimet e tjera operative jane paraqitur si ne vijim:</t>
  </si>
  <si>
    <t xml:space="preserve"> Me 31 dhjetor 2010</t>
  </si>
  <si>
    <t>Riklasifikim ne inventar</t>
  </si>
  <si>
    <t xml:space="preserve"> 31/12/2012</t>
  </si>
  <si>
    <t>Viti i mbyllur me 31/12/2012</t>
  </si>
  <si>
    <t>Diferenca rivleresimi ne konsolidim</t>
  </si>
  <si>
    <t>Ne mbyllje te vitit 31/12/2012</t>
  </si>
  <si>
    <t>Te ardhura te shtyra</t>
  </si>
  <si>
    <t>Me 31 dhjetor 2012</t>
  </si>
  <si>
    <t>Riklasifikim</t>
  </si>
  <si>
    <t>Me 31 Dhjetor 2012</t>
  </si>
  <si>
    <t>Sherbime dhe konsultime profesionale</t>
  </si>
  <si>
    <t>UNIVERS-ALB sh.a.</t>
  </si>
  <si>
    <t xml:space="preserve"> 31/12/2013</t>
  </si>
  <si>
    <t>Viti i mbyllur me 31/12/2013</t>
  </si>
  <si>
    <t>Ne mbyllje te vitit 31/12/2013</t>
  </si>
  <si>
    <t>Shenime te Pasqyrave Financiare, per vitin e mbyllur me 31 dhjetor 2013</t>
  </si>
  <si>
    <t>Pasqyra e te ardhurave per vitin e mbyllur me 31 dhjetor 2013</t>
  </si>
  <si>
    <t>Pasqyra  e pozicionit financiar me 31 dhjetor 2013</t>
  </si>
  <si>
    <t>Me 31 dhjetor 2013</t>
  </si>
  <si>
    <t>Me 31 Dhjetor 2013</t>
  </si>
  <si>
    <t xml:space="preserve"> Me 31 dhjetor 2011</t>
  </si>
  <si>
    <t>Te ardhura (humbje te tjera) permbledhese, neto</t>
  </si>
  <si>
    <t>TE DHENAT LIGJORE</t>
  </si>
  <si>
    <t>SHOQERIA</t>
  </si>
  <si>
    <t>NUIS</t>
  </si>
  <si>
    <t>K61821002C</t>
  </si>
  <si>
    <t>VITI USHTRIMOR</t>
  </si>
  <si>
    <t>2013</t>
  </si>
  <si>
    <t>ADRESA</t>
  </si>
  <si>
    <t>RR' "LORD BAJRON"</t>
  </si>
  <si>
    <t>PRANE S.U.T. LAPRAKE</t>
  </si>
  <si>
    <t>TIRANE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</si>
</sst>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178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2" fillId="2" borderId="2" xfId="0" applyFont="1" applyFill="1" applyBorder="1" applyAlignment="1">
      <alignment horizontal="center"/>
    </xf>
    <xf numFmtId="164" fontId="7" fillId="2" borderId="0" xfId="1" applyNumberFormat="1" applyFont="1" applyFill="1"/>
    <xf numFmtId="49" fontId="7" fillId="2" borderId="0" xfId="0" applyNumberFormat="1" applyFont="1" applyFill="1"/>
    <xf numFmtId="165" fontId="7" fillId="2" borderId="0" xfId="1" applyNumberFormat="1" applyFont="1" applyFill="1"/>
    <xf numFmtId="0" fontId="10" fillId="2" borderId="0" xfId="3" applyFont="1" applyFill="1" applyBorder="1" applyAlignment="1"/>
    <xf numFmtId="43" fontId="7" fillId="2" borderId="0" xfId="1" applyFont="1" applyFill="1"/>
    <xf numFmtId="0" fontId="2" fillId="2" borderId="0" xfId="3" applyFont="1" applyFill="1" applyBorder="1" applyAlignment="1"/>
    <xf numFmtId="0" fontId="3" fillId="2" borderId="0" xfId="3" applyFont="1" applyFill="1" applyBorder="1" applyAlignment="1"/>
    <xf numFmtId="43" fontId="2" fillId="2" borderId="13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 wrapText="1"/>
    </xf>
    <xf numFmtId="43" fontId="12" fillId="2" borderId="1" xfId="1" applyFont="1" applyFill="1" applyBorder="1" applyAlignment="1">
      <alignment vertical="center" wrapText="1"/>
    </xf>
    <xf numFmtId="43" fontId="9" fillId="2" borderId="1" xfId="1" applyFont="1" applyFill="1" applyBorder="1" applyAlignment="1">
      <alignment vertical="center"/>
    </xf>
    <xf numFmtId="43" fontId="9" fillId="0" borderId="1" xfId="1" applyFont="1" applyBorder="1" applyAlignment="1">
      <alignment vertical="center"/>
    </xf>
    <xf numFmtId="43" fontId="3" fillId="2" borderId="6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9" fillId="2" borderId="13" xfId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43" fontId="9" fillId="2" borderId="1" xfId="1" applyFont="1" applyFill="1" applyBorder="1" applyAlignment="1">
      <alignment horizontal="left" vertical="center"/>
    </xf>
    <xf numFmtId="164" fontId="2" fillId="2" borderId="4" xfId="1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/>
    </xf>
    <xf numFmtId="37" fontId="11" fillId="2" borderId="0" xfId="0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vertical="top" wrapText="1"/>
    </xf>
    <xf numFmtId="164" fontId="3" fillId="2" borderId="12" xfId="1" applyNumberFormat="1" applyFont="1" applyFill="1" applyBorder="1" applyAlignment="1">
      <alignment vertical="top" wrapText="1"/>
    </xf>
    <xf numFmtId="164" fontId="2" fillId="2" borderId="11" xfId="1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/>
    <xf numFmtId="0" fontId="3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15" fontId="2" fillId="2" borderId="0" xfId="0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Border="1" applyAlignment="1">
      <alignment horizontal="right" vertical="center"/>
    </xf>
    <xf numFmtId="0" fontId="7" fillId="2" borderId="0" xfId="0" applyFont="1" applyFill="1" applyBorder="1"/>
    <xf numFmtId="164" fontId="4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/>
    <xf numFmtId="0" fontId="8" fillId="2" borderId="0" xfId="0" applyFont="1" applyFill="1" applyBorder="1"/>
    <xf numFmtId="0" fontId="7" fillId="2" borderId="0" xfId="0" applyFont="1" applyFill="1" applyBorder="1" applyAlignment="1"/>
    <xf numFmtId="164" fontId="2" fillId="2" borderId="5" xfId="1" applyNumberFormat="1" applyFont="1" applyFill="1" applyBorder="1" applyAlignment="1">
      <alignment horizontal="right" vertical="center" wrapText="1"/>
    </xf>
    <xf numFmtId="164" fontId="12" fillId="2" borderId="4" xfId="1" applyNumberFormat="1" applyFont="1" applyFill="1" applyBorder="1" applyAlignment="1">
      <alignment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/>
    </xf>
    <xf numFmtId="43" fontId="3" fillId="2" borderId="14" xfId="1" applyFont="1" applyFill="1" applyBorder="1" applyAlignment="1">
      <alignment horizontal="right"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2" fillId="2" borderId="16" xfId="2" applyFont="1" applyFill="1" applyBorder="1"/>
    <xf numFmtId="43" fontId="3" fillId="2" borderId="7" xfId="1" applyFont="1" applyFill="1" applyBorder="1" applyAlignment="1">
      <alignment horizontal="right" vertical="center" wrapText="1"/>
    </xf>
    <xf numFmtId="43" fontId="2" fillId="2" borderId="0" xfId="1" applyFont="1" applyFill="1"/>
    <xf numFmtId="43" fontId="3" fillId="2" borderId="0" xfId="1" applyFont="1" applyFill="1"/>
    <xf numFmtId="43" fontId="2" fillId="2" borderId="8" xfId="1" applyFont="1" applyFill="1" applyBorder="1"/>
    <xf numFmtId="43" fontId="3" fillId="2" borderId="9" xfId="1" applyFont="1" applyFill="1" applyBorder="1" applyAlignment="1">
      <alignment horizontal="center" vertical="top" wrapText="1"/>
    </xf>
    <xf numFmtId="43" fontId="3" fillId="2" borderId="9" xfId="1" applyFont="1" applyFill="1" applyBorder="1" applyAlignment="1">
      <alignment vertical="top" wrapText="1"/>
    </xf>
    <xf numFmtId="43" fontId="2" fillId="2" borderId="10" xfId="1" applyFont="1" applyFill="1" applyBorder="1" applyAlignment="1">
      <alignment vertical="top" wrapText="1"/>
    </xf>
    <xf numFmtId="43" fontId="11" fillId="2" borderId="0" xfId="1" applyFont="1" applyFill="1" applyAlignment="1"/>
    <xf numFmtId="43" fontId="3" fillId="2" borderId="9" xfId="1" applyFont="1" applyFill="1" applyBorder="1"/>
    <xf numFmtId="43" fontId="3" fillId="2" borderId="0" xfId="1" applyFont="1" applyFill="1" applyBorder="1" applyAlignment="1">
      <alignment vertical="top" wrapText="1"/>
    </xf>
    <xf numFmtId="43" fontId="3" fillId="2" borderId="0" xfId="1" applyFont="1" applyFill="1" applyBorder="1"/>
    <xf numFmtId="43" fontId="3" fillId="2" borderId="0" xfId="1" applyFont="1" applyFill="1" applyAlignment="1">
      <alignment horizontal="center"/>
    </xf>
    <xf numFmtId="49" fontId="11" fillId="2" borderId="16" xfId="0" applyNumberFormat="1" applyFont="1" applyFill="1" applyBorder="1" applyAlignment="1"/>
    <xf numFmtId="3" fontId="11" fillId="2" borderId="0" xfId="0" applyNumberFormat="1" applyFont="1" applyFill="1"/>
    <xf numFmtId="3" fontId="11" fillId="2" borderId="0" xfId="0" applyNumberFormat="1" applyFont="1" applyFill="1" applyAlignment="1"/>
    <xf numFmtId="0" fontId="3" fillId="2" borderId="16" xfId="2" applyFont="1" applyFill="1" applyBorder="1"/>
    <xf numFmtId="3" fontId="13" fillId="2" borderId="0" xfId="0" applyNumberFormat="1" applyFont="1" applyFill="1" applyAlignment="1"/>
    <xf numFmtId="164" fontId="3" fillId="2" borderId="0" xfId="1" applyNumberFormat="1" applyFont="1" applyFill="1" applyBorder="1" applyAlignment="1">
      <alignment vertical="top" wrapText="1"/>
    </xf>
    <xf numFmtId="49" fontId="9" fillId="2" borderId="16" xfId="0" applyNumberFormat="1" applyFont="1" applyFill="1" applyBorder="1" applyAlignment="1"/>
    <xf numFmtId="3" fontId="9" fillId="2" borderId="0" xfId="0" applyNumberFormat="1" applyFont="1" applyFill="1"/>
    <xf numFmtId="3" fontId="14" fillId="2" borderId="0" xfId="0" applyNumberFormat="1" applyFont="1" applyFill="1"/>
    <xf numFmtId="3" fontId="9" fillId="2" borderId="0" xfId="0" applyNumberFormat="1" applyFont="1" applyFill="1" applyAlignment="1"/>
    <xf numFmtId="3" fontId="13" fillId="2" borderId="0" xfId="0" applyNumberFormat="1" applyFont="1" applyFill="1"/>
    <xf numFmtId="0" fontId="2" fillId="2" borderId="16" xfId="3" applyFont="1" applyFill="1" applyBorder="1"/>
    <xf numFmtId="0" fontId="3" fillId="2" borderId="16" xfId="3" applyFont="1" applyFill="1" applyBorder="1"/>
    <xf numFmtId="49" fontId="9" fillId="2" borderId="17" xfId="0" applyNumberFormat="1" applyFont="1" applyFill="1" applyBorder="1" applyAlignment="1"/>
    <xf numFmtId="49" fontId="11" fillId="2" borderId="0" xfId="0" applyNumberFormat="1" applyFont="1" applyFill="1" applyBorder="1" applyAlignment="1"/>
    <xf numFmtId="3" fontId="11" fillId="2" borderId="0" xfId="0" applyNumberFormat="1" applyFont="1" applyFill="1" applyBorder="1" applyAlignment="1"/>
    <xf numFmtId="3" fontId="11" fillId="2" borderId="0" xfId="0" applyNumberFormat="1" applyFont="1" applyFill="1" applyBorder="1"/>
    <xf numFmtId="37" fontId="13" fillId="2" borderId="0" xfId="0" applyNumberFormat="1" applyFont="1" applyFill="1" applyBorder="1" applyAlignment="1"/>
    <xf numFmtId="43" fontId="11" fillId="2" borderId="0" xfId="1" applyFont="1" applyFill="1" applyBorder="1"/>
    <xf numFmtId="49" fontId="9" fillId="2" borderId="0" xfId="0" applyNumberFormat="1" applyFont="1" applyFill="1" applyBorder="1" applyAlignment="1"/>
    <xf numFmtId="3" fontId="9" fillId="2" borderId="0" xfId="0" applyNumberFormat="1" applyFont="1" applyFill="1" applyBorder="1"/>
    <xf numFmtId="3" fontId="13" fillId="2" borderId="0" xfId="0" applyNumberFormat="1" applyFont="1" applyFill="1" applyBorder="1" applyAlignment="1"/>
    <xf numFmtId="49" fontId="9" fillId="2" borderId="0" xfId="0" applyNumberFormat="1" applyFont="1" applyFill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vertical="top" wrapText="1"/>
    </xf>
    <xf numFmtId="43" fontId="8" fillId="2" borderId="10" xfId="1" applyFont="1" applyFill="1" applyBorder="1"/>
    <xf numFmtId="164" fontId="2" fillId="2" borderId="21" xfId="1" applyNumberFormat="1" applyFont="1" applyFill="1" applyBorder="1" applyAlignment="1">
      <alignment wrapText="1"/>
    </xf>
    <xf numFmtId="43" fontId="9" fillId="2" borderId="8" xfId="1" applyFont="1" applyFill="1" applyBorder="1" applyAlignment="1"/>
    <xf numFmtId="43" fontId="11" fillId="2" borderId="9" xfId="1" applyFont="1" applyFill="1" applyBorder="1" applyAlignment="1"/>
    <xf numFmtId="43" fontId="9" fillId="2" borderId="10" xfId="1" applyFont="1" applyFill="1" applyBorder="1" applyAlignment="1"/>
    <xf numFmtId="164" fontId="3" fillId="2" borderId="0" xfId="1" applyNumberFormat="1" applyFont="1" applyFill="1" applyBorder="1"/>
    <xf numFmtId="43" fontId="7" fillId="2" borderId="9" xfId="1" applyFont="1" applyFill="1" applyBorder="1" applyAlignment="1"/>
    <xf numFmtId="164" fontId="3" fillId="2" borderId="20" xfId="1" applyNumberFormat="1" applyFont="1" applyFill="1" applyBorder="1" applyAlignment="1">
      <alignment horizontal="center" wrapText="1"/>
    </xf>
    <xf numFmtId="43" fontId="3" fillId="2" borderId="22" xfId="1" applyFont="1" applyFill="1" applyBorder="1" applyAlignment="1">
      <alignment vertical="top" wrapText="1"/>
    </xf>
    <xf numFmtId="164" fontId="3" fillId="2" borderId="23" xfId="1" applyNumberFormat="1" applyFont="1" applyFill="1" applyBorder="1" applyAlignment="1">
      <alignment vertical="top" wrapText="1"/>
    </xf>
    <xf numFmtId="164" fontId="3" fillId="2" borderId="24" xfId="1" applyNumberFormat="1" applyFont="1" applyFill="1" applyBorder="1" applyAlignment="1">
      <alignment vertical="top" wrapText="1"/>
    </xf>
    <xf numFmtId="43" fontId="7" fillId="2" borderId="9" xfId="1" applyFont="1" applyFill="1" applyBorder="1"/>
    <xf numFmtId="164" fontId="3" fillId="2" borderId="18" xfId="1" applyNumberFormat="1" applyFont="1" applyFill="1" applyBorder="1" applyAlignment="1">
      <alignment vertical="top" wrapText="1"/>
    </xf>
    <xf numFmtId="43" fontId="11" fillId="2" borderId="1" xfId="1" applyFont="1" applyFill="1" applyBorder="1" applyAlignment="1"/>
    <xf numFmtId="0" fontId="8" fillId="2" borderId="0" xfId="0" applyFont="1" applyFill="1" applyAlignment="1">
      <alignment horizontal="justify" vertical="center"/>
    </xf>
    <xf numFmtId="0" fontId="16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28" xfId="0" applyFont="1" applyFill="1" applyBorder="1" applyAlignment="1">
      <alignment vertical="center" wrapText="1"/>
    </xf>
    <xf numFmtId="3" fontId="9" fillId="2" borderId="28" xfId="0" applyNumberFormat="1" applyFont="1" applyFill="1" applyBorder="1" applyAlignment="1">
      <alignment horizontal="right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3" fontId="17" fillId="2" borderId="0" xfId="1" applyFont="1" applyFill="1" applyBorder="1" applyAlignment="1">
      <alignment vertical="center"/>
    </xf>
    <xf numFmtId="164" fontId="17" fillId="2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3" applyFont="1" applyFill="1" applyBorder="1" applyAlignment="1"/>
    <xf numFmtId="0" fontId="18" fillId="2" borderId="0" xfId="0" applyFont="1" applyFill="1"/>
    <xf numFmtId="0" fontId="17" fillId="2" borderId="0" xfId="0" applyFont="1" applyFill="1"/>
    <xf numFmtId="164" fontId="17" fillId="2" borderId="0" xfId="0" applyNumberFormat="1" applyFont="1" applyFill="1" applyBorder="1" applyAlignment="1">
      <alignment vertical="center"/>
    </xf>
    <xf numFmtId="43" fontId="7" fillId="2" borderId="30" xfId="1" applyFont="1" applyFill="1" applyBorder="1"/>
    <xf numFmtId="164" fontId="8" fillId="2" borderId="14" xfId="1" applyNumberFormat="1" applyFont="1" applyFill="1" applyBorder="1" applyAlignment="1">
      <alignment horizontal="right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11" fillId="2" borderId="0" xfId="1" applyNumberFormat="1" applyFont="1" applyFill="1" applyAlignment="1">
      <alignment horizontal="right" vertical="center" wrapText="1"/>
    </xf>
    <xf numFmtId="164" fontId="7" fillId="2" borderId="7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Alignment="1">
      <alignment horizontal="right" vertical="center" wrapText="1"/>
    </xf>
    <xf numFmtId="164" fontId="11" fillId="2" borderId="7" xfId="1" applyNumberFormat="1" applyFont="1" applyFill="1" applyBorder="1" applyAlignment="1">
      <alignment horizontal="right" vertical="center" wrapText="1"/>
    </xf>
    <xf numFmtId="164" fontId="8" fillId="2" borderId="27" xfId="1" applyNumberFormat="1" applyFont="1" applyFill="1" applyBorder="1" applyAlignment="1">
      <alignment horizontal="right" vertical="center" wrapText="1"/>
    </xf>
    <xf numFmtId="164" fontId="9" fillId="2" borderId="27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164" fontId="7" fillId="2" borderId="29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7" fillId="2" borderId="14" xfId="1" applyNumberFormat="1" applyFont="1" applyFill="1" applyBorder="1" applyAlignment="1">
      <alignment horizontal="right" vertical="center" wrapText="1"/>
    </xf>
    <xf numFmtId="164" fontId="9" fillId="2" borderId="28" xfId="1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0" xfId="0" quotePrefix="1" applyFont="1"/>
    <xf numFmtId="0" fontId="8" fillId="2" borderId="2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"/>
  <sheetViews>
    <sheetView tabSelected="1" workbookViewId="0"/>
  </sheetViews>
  <sheetFormatPr defaultColWidth="24" defaultRowHeight="15" x14ac:dyDescent="0.25"/>
  <cols>
    <col min="1" max="16384" width="24" style="175"/>
  </cols>
  <sheetData>
    <row r="1" spans="1:2" x14ac:dyDescent="0.25">
      <c r="A1" s="175" t="s">
        <v>187</v>
      </c>
    </row>
    <row r="3" spans="1:2" x14ac:dyDescent="0.25">
      <c r="A3" s="175" t="s">
        <v>188</v>
      </c>
      <c r="B3" s="175" t="s">
        <v>176</v>
      </c>
    </row>
    <row r="4" spans="1:2" x14ac:dyDescent="0.25">
      <c r="A4" s="175" t="s">
        <v>189</v>
      </c>
      <c r="B4" s="175" t="s">
        <v>190</v>
      </c>
    </row>
    <row r="5" spans="1:2" x14ac:dyDescent="0.25">
      <c r="A5" s="175" t="s">
        <v>191</v>
      </c>
      <c r="B5" s="176" t="s">
        <v>192</v>
      </c>
    </row>
    <row r="6" spans="1:2" x14ac:dyDescent="0.25">
      <c r="A6" s="175" t="s">
        <v>193</v>
      </c>
      <c r="B6" s="175" t="s">
        <v>194</v>
      </c>
    </row>
    <row r="7" spans="1:2" x14ac:dyDescent="0.25">
      <c r="B7" s="175" t="s">
        <v>195</v>
      </c>
    </row>
    <row r="8" spans="1:2" x14ac:dyDescent="0.25">
      <c r="B8" s="175" t="s">
        <v>196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49"/>
  <sheetViews>
    <sheetView zoomScaleNormal="100" workbookViewId="0"/>
  </sheetViews>
  <sheetFormatPr defaultColWidth="8.85546875" defaultRowHeight="14.25" x14ac:dyDescent="0.2"/>
  <cols>
    <col min="1" max="1" width="63.140625" style="22" bestFit="1" customWidth="1"/>
    <col min="2" max="3" width="12.7109375" style="52" customWidth="1"/>
    <col min="4" max="6" width="11.85546875" style="52" hidden="1" customWidth="1"/>
    <col min="7" max="7" width="3.7109375" style="1" customWidth="1"/>
    <col min="8" max="8" width="11.5703125" style="1" customWidth="1"/>
    <col min="9" max="9" width="27" style="1" customWidth="1"/>
    <col min="10" max="10" width="20.7109375" style="1" customWidth="1"/>
    <col min="11" max="16384" width="8.85546875" style="1"/>
  </cols>
  <sheetData>
    <row r="1" spans="1:10" ht="15" x14ac:dyDescent="0.2">
      <c r="A1" s="12" t="s">
        <v>18</v>
      </c>
      <c r="B1" s="68"/>
      <c r="C1" s="68"/>
      <c r="D1" s="68"/>
      <c r="E1" s="68"/>
      <c r="F1" s="68"/>
      <c r="G1" s="69"/>
      <c r="I1" s="50"/>
      <c r="J1" s="2"/>
    </row>
    <row r="2" spans="1:10" ht="15" x14ac:dyDescent="0.2">
      <c r="A2" s="13" t="s">
        <v>182</v>
      </c>
      <c r="B2" s="53"/>
      <c r="C2" s="53"/>
      <c r="D2" s="53"/>
      <c r="E2" s="53"/>
      <c r="F2" s="53"/>
      <c r="G2" s="70"/>
      <c r="I2" s="50"/>
      <c r="J2" s="2"/>
    </row>
    <row r="3" spans="1:10" ht="15" x14ac:dyDescent="0.2">
      <c r="A3" s="14" t="s">
        <v>157</v>
      </c>
      <c r="B3" s="54"/>
      <c r="C3" s="54"/>
      <c r="D3" s="54"/>
      <c r="E3" s="54"/>
      <c r="F3" s="54"/>
      <c r="G3" s="70"/>
      <c r="I3" s="50"/>
      <c r="J3" s="2"/>
    </row>
    <row r="4" spans="1:10" ht="15" x14ac:dyDescent="0.2">
      <c r="A4" s="15"/>
      <c r="B4" s="55" t="s">
        <v>177</v>
      </c>
      <c r="C4" s="55" t="s">
        <v>167</v>
      </c>
      <c r="D4" s="55" t="s">
        <v>156</v>
      </c>
      <c r="E4" s="55" t="s">
        <v>79</v>
      </c>
      <c r="F4" s="55" t="s">
        <v>62</v>
      </c>
      <c r="G4" s="70"/>
      <c r="I4" s="50"/>
      <c r="J4" s="2"/>
    </row>
    <row r="5" spans="1:10" ht="15" x14ac:dyDescent="0.2">
      <c r="A5" s="14" t="s">
        <v>26</v>
      </c>
      <c r="B5" s="56"/>
      <c r="C5" s="56"/>
      <c r="D5" s="56"/>
      <c r="E5" s="56"/>
      <c r="F5" s="56"/>
      <c r="G5" s="70"/>
      <c r="I5" s="50"/>
      <c r="J5" s="50"/>
    </row>
    <row r="6" spans="1:10" x14ac:dyDescent="0.2">
      <c r="A6" s="16" t="s">
        <v>30</v>
      </c>
      <c r="B6" s="32">
        <v>34331.318507999997</v>
      </c>
      <c r="C6" s="32">
        <v>24501.777683699995</v>
      </c>
      <c r="D6" s="32">
        <f>19164</f>
        <v>19164</v>
      </c>
      <c r="E6" s="32">
        <f>34201</f>
        <v>34201</v>
      </c>
      <c r="F6" s="32">
        <f>41612254.36/1000</f>
        <v>41612.254359999999</v>
      </c>
      <c r="G6" s="70"/>
      <c r="I6" s="50"/>
      <c r="J6" s="2"/>
    </row>
    <row r="7" spans="1:10" ht="15" x14ac:dyDescent="0.25">
      <c r="A7" s="16" t="s">
        <v>23</v>
      </c>
      <c r="B7" s="32">
        <v>369159.15958599997</v>
      </c>
      <c r="C7" s="32">
        <v>168029.12627500002</v>
      </c>
      <c r="D7" s="32">
        <f>141275</f>
        <v>141275</v>
      </c>
      <c r="E7" s="32">
        <f>65404</f>
        <v>65404</v>
      </c>
      <c r="F7" s="32">
        <f>45929114.5204/1000</f>
        <v>45929.114520400006</v>
      </c>
      <c r="G7" s="71"/>
      <c r="I7" s="50"/>
      <c r="J7" s="2"/>
    </row>
    <row r="8" spans="1:10" x14ac:dyDescent="0.2">
      <c r="A8" s="16" t="s">
        <v>22</v>
      </c>
      <c r="B8" s="32">
        <v>250836.08572900001</v>
      </c>
      <c r="C8" s="32">
        <v>309183.08369150001</v>
      </c>
      <c r="D8" s="32">
        <f>286594</f>
        <v>286594</v>
      </c>
      <c r="E8" s="32">
        <f>240916</f>
        <v>240916</v>
      </c>
      <c r="F8" s="32">
        <f>198058034.554/1000</f>
        <v>198058.03455399998</v>
      </c>
      <c r="G8" s="84"/>
      <c r="H8" s="85"/>
      <c r="I8" s="50"/>
      <c r="J8" s="86"/>
    </row>
    <row r="9" spans="1:10" ht="15" x14ac:dyDescent="0.25">
      <c r="A9" s="16" t="s">
        <v>9</v>
      </c>
      <c r="B9" s="32">
        <v>7034.5070859999996</v>
      </c>
      <c r="C9" s="32">
        <v>6894.1915477000002</v>
      </c>
      <c r="D9" s="32">
        <v>12281</v>
      </c>
      <c r="E9" s="32">
        <f>60313</f>
        <v>60313</v>
      </c>
      <c r="F9" s="32">
        <f>83550315.1217656/1000</f>
        <v>83550.315121765598</v>
      </c>
      <c r="G9" s="71"/>
      <c r="H9" s="85"/>
      <c r="I9" s="50"/>
      <c r="J9" s="86"/>
    </row>
    <row r="10" spans="1:10" x14ac:dyDescent="0.2">
      <c r="A10" s="16" t="s">
        <v>19</v>
      </c>
      <c r="B10" s="32">
        <v>9365.3989861632072</v>
      </c>
      <c r="C10" s="32">
        <v>5236.19425794376</v>
      </c>
      <c r="D10" s="32">
        <v>4326</v>
      </c>
      <c r="E10" s="32">
        <v>0</v>
      </c>
      <c r="F10" s="32">
        <f>1300533/1000</f>
        <v>1300.5329999999999</v>
      </c>
      <c r="G10" s="87"/>
      <c r="H10" s="85"/>
      <c r="I10" s="50"/>
      <c r="J10" s="86"/>
    </row>
    <row r="11" spans="1:10" ht="15" x14ac:dyDescent="0.25">
      <c r="A11" s="16" t="s">
        <v>3</v>
      </c>
      <c r="B11" s="65">
        <f>SUM(B6:B10)</f>
        <v>670726.4698951632</v>
      </c>
      <c r="C11" s="65">
        <f>SUM(C6:C10)</f>
        <v>513844.37345584377</v>
      </c>
      <c r="D11" s="65">
        <f>SUM(D6:D10)</f>
        <v>463640</v>
      </c>
      <c r="E11" s="65">
        <f>SUM(E6:E10)</f>
        <v>400834</v>
      </c>
      <c r="F11" s="65">
        <f>SUM(F6:F10)</f>
        <v>370450.25155616557</v>
      </c>
      <c r="G11" s="71"/>
      <c r="H11" s="85"/>
      <c r="I11" s="50"/>
      <c r="J11" s="86"/>
    </row>
    <row r="12" spans="1:10" x14ac:dyDescent="0.2">
      <c r="A12" s="17"/>
      <c r="B12" s="57"/>
      <c r="C12" s="57"/>
      <c r="D12" s="57"/>
      <c r="E12" s="57"/>
      <c r="F12" s="57"/>
      <c r="G12" s="84"/>
      <c r="H12" s="85"/>
      <c r="I12" s="50"/>
      <c r="J12" s="88"/>
    </row>
    <row r="13" spans="1:10" x14ac:dyDescent="0.2">
      <c r="A13" s="16" t="s">
        <v>63</v>
      </c>
      <c r="B13" s="57">
        <v>1937723.5821581299</v>
      </c>
      <c r="C13" s="57">
        <v>2116341.9746161001</v>
      </c>
      <c r="D13" s="57">
        <f>2286442</f>
        <v>2286442</v>
      </c>
      <c r="E13" s="57">
        <f>2266244</f>
        <v>2266244</v>
      </c>
      <c r="F13" s="57">
        <v>1516870.86302</v>
      </c>
      <c r="G13" s="84"/>
      <c r="H13" s="89"/>
      <c r="I13" s="50"/>
      <c r="J13" s="86"/>
    </row>
    <row r="14" spans="1:10" ht="15" x14ac:dyDescent="0.25">
      <c r="A14" s="16" t="s">
        <v>64</v>
      </c>
      <c r="B14" s="57">
        <v>20659.803115999999</v>
      </c>
      <c r="C14" s="57">
        <v>12594.563373200001</v>
      </c>
      <c r="D14" s="57">
        <f>2963</f>
        <v>2963</v>
      </c>
      <c r="E14" s="57">
        <f>3802</f>
        <v>3802</v>
      </c>
      <c r="F14" s="57">
        <f>3833928.55/1000</f>
        <v>3833.9285499999996</v>
      </c>
      <c r="G14" s="90"/>
      <c r="H14" s="91"/>
      <c r="I14" s="50"/>
      <c r="J14" s="86"/>
    </row>
    <row r="15" spans="1:10" ht="15" x14ac:dyDescent="0.25">
      <c r="A15" s="16" t="s">
        <v>4</v>
      </c>
      <c r="B15" s="66">
        <f>SUM(B13:B14)</f>
        <v>1958383.3852741299</v>
      </c>
      <c r="C15" s="66">
        <f>SUM(C13:C14)</f>
        <v>2128936.5379893002</v>
      </c>
      <c r="D15" s="66">
        <f>SUM(D13:D14)</f>
        <v>2289405</v>
      </c>
      <c r="E15" s="66">
        <f>SUM(E13:E14)</f>
        <v>2270046</v>
      </c>
      <c r="F15" s="66">
        <f>SUM(F13:F14)</f>
        <v>1520704.7915700001</v>
      </c>
      <c r="G15" s="90"/>
      <c r="H15" s="92"/>
      <c r="I15" s="50"/>
      <c r="J15" s="86"/>
    </row>
    <row r="16" spans="1:10" ht="15" x14ac:dyDescent="0.25">
      <c r="A16" s="18"/>
      <c r="B16" s="57"/>
      <c r="C16" s="57"/>
      <c r="D16" s="57"/>
      <c r="E16" s="57"/>
      <c r="F16" s="57"/>
      <c r="G16" s="90"/>
      <c r="H16" s="91"/>
      <c r="I16" s="50"/>
      <c r="J16" s="86"/>
    </row>
    <row r="17" spans="1:10" ht="15.75" thickBot="1" x14ac:dyDescent="0.3">
      <c r="A17" s="19" t="s">
        <v>20</v>
      </c>
      <c r="B17" s="64">
        <f>B11+B15</f>
        <v>2629109.855169293</v>
      </c>
      <c r="C17" s="64">
        <f>C11+C15</f>
        <v>2642780.9114451441</v>
      </c>
      <c r="D17" s="64">
        <f>D11+D15</f>
        <v>2753045</v>
      </c>
      <c r="E17" s="64">
        <f>E11+E15</f>
        <v>2670880</v>
      </c>
      <c r="F17" s="64">
        <f>F11+F15</f>
        <v>1891155.0431261656</v>
      </c>
      <c r="G17" s="90"/>
      <c r="H17" s="91"/>
      <c r="I17" s="50"/>
      <c r="J17" s="93"/>
    </row>
    <row r="18" spans="1:10" ht="15.75" thickTop="1" x14ac:dyDescent="0.25">
      <c r="A18" s="17"/>
      <c r="B18" s="57"/>
      <c r="C18" s="57"/>
      <c r="D18" s="57"/>
      <c r="E18" s="57"/>
      <c r="F18" s="57"/>
      <c r="G18" s="90"/>
      <c r="H18" s="85"/>
      <c r="I18" s="50"/>
      <c r="J18" s="79"/>
    </row>
    <row r="19" spans="1:10" ht="15" x14ac:dyDescent="0.2">
      <c r="A19" s="19" t="s">
        <v>5</v>
      </c>
      <c r="B19" s="56"/>
      <c r="C19" s="56"/>
      <c r="D19" s="56"/>
      <c r="E19" s="56"/>
      <c r="F19" s="56"/>
      <c r="G19" s="84"/>
      <c r="H19" s="89"/>
      <c r="I19" s="50"/>
      <c r="J19" s="79"/>
    </row>
    <row r="20" spans="1:10" x14ac:dyDescent="0.2">
      <c r="A20" s="16" t="s">
        <v>65</v>
      </c>
      <c r="B20" s="57">
        <v>280696.73953999998</v>
      </c>
      <c r="C20" s="57">
        <v>315710.82209590398</v>
      </c>
      <c r="D20" s="57">
        <f>383123</f>
        <v>383123</v>
      </c>
      <c r="E20" s="57">
        <f>388874</f>
        <v>388874</v>
      </c>
      <c r="F20" s="57">
        <f>307297255.59/1000</f>
        <v>307297.25558999996</v>
      </c>
      <c r="G20" s="84"/>
      <c r="H20" s="89"/>
      <c r="I20" s="50"/>
      <c r="J20" s="86"/>
    </row>
    <row r="21" spans="1:10" x14ac:dyDescent="0.2">
      <c r="A21" s="16" t="s">
        <v>24</v>
      </c>
      <c r="B21" s="57">
        <v>361874.78772000002</v>
      </c>
      <c r="C21" s="57">
        <v>268727.75764999999</v>
      </c>
      <c r="D21" s="57">
        <f>110188</f>
        <v>110188</v>
      </c>
      <c r="E21" s="57">
        <f>93047</f>
        <v>93047</v>
      </c>
      <c r="F21" s="57">
        <f>282170326.158114/1000-F27</f>
        <v>122712.32615811401</v>
      </c>
      <c r="G21" s="84"/>
      <c r="H21" s="89"/>
      <c r="I21" s="50"/>
      <c r="J21" s="88"/>
    </row>
    <row r="22" spans="1:10" x14ac:dyDescent="0.2">
      <c r="A22" s="16" t="s">
        <v>27</v>
      </c>
      <c r="B22" s="57">
        <v>0</v>
      </c>
      <c r="C22" s="57">
        <v>0</v>
      </c>
      <c r="D22" s="57">
        <v>0</v>
      </c>
      <c r="E22" s="57">
        <v>0</v>
      </c>
      <c r="F22" s="57">
        <f>1214177.81978082/1000</f>
        <v>1214.1778197808201</v>
      </c>
      <c r="G22" s="84"/>
      <c r="H22" s="85"/>
      <c r="I22" s="50"/>
      <c r="J22" s="86"/>
    </row>
    <row r="23" spans="1:10" x14ac:dyDescent="0.2">
      <c r="A23" s="16" t="s">
        <v>10</v>
      </c>
      <c r="B23" s="57">
        <v>96323.549957081996</v>
      </c>
      <c r="C23" s="57">
        <v>56007.128645456098</v>
      </c>
      <c r="D23" s="57">
        <f>44858</f>
        <v>44858</v>
      </c>
      <c r="E23" s="57">
        <f>28326</f>
        <v>28326</v>
      </c>
      <c r="F23" s="57">
        <f>38208220.68/1000</f>
        <v>38208.220679999999</v>
      </c>
      <c r="G23" s="84"/>
      <c r="H23" s="94"/>
      <c r="I23" s="50"/>
      <c r="J23" s="88"/>
    </row>
    <row r="24" spans="1:10" x14ac:dyDescent="0.2">
      <c r="A24" s="16" t="s">
        <v>82</v>
      </c>
      <c r="B24" s="57"/>
      <c r="C24" s="57"/>
      <c r="D24" s="57"/>
      <c r="E24" s="57">
        <f>1490</f>
        <v>1490</v>
      </c>
      <c r="F24" s="57">
        <v>0</v>
      </c>
      <c r="G24" s="84"/>
      <c r="H24" s="94"/>
      <c r="I24" s="50"/>
      <c r="J24" s="88"/>
    </row>
    <row r="25" spans="1:10" ht="15" x14ac:dyDescent="0.2">
      <c r="A25" s="19" t="s">
        <v>6</v>
      </c>
      <c r="B25" s="66">
        <f>SUM(B20:B24)</f>
        <v>738895.07721708203</v>
      </c>
      <c r="C25" s="66">
        <f>SUM(C20:C24)</f>
        <v>640445.70839136001</v>
      </c>
      <c r="D25" s="66">
        <f>SUM(D20:D24)</f>
        <v>538169</v>
      </c>
      <c r="E25" s="66">
        <f>SUM(E20:E24)</f>
        <v>511737</v>
      </c>
      <c r="F25" s="66">
        <f>SUM(F20:F24)</f>
        <v>469431.98024789477</v>
      </c>
      <c r="G25" s="84"/>
      <c r="I25" s="50"/>
      <c r="J25" s="88"/>
    </row>
    <row r="26" spans="1:10" ht="15" x14ac:dyDescent="0.25">
      <c r="A26" s="17"/>
      <c r="B26" s="57"/>
      <c r="C26" s="57"/>
      <c r="D26" s="57"/>
      <c r="E26" s="57"/>
      <c r="F26" s="57"/>
      <c r="G26" s="95"/>
      <c r="H26" s="85"/>
      <c r="I26" s="50"/>
      <c r="J26" s="2"/>
    </row>
    <row r="27" spans="1:10" x14ac:dyDescent="0.2">
      <c r="A27" s="16" t="s">
        <v>24</v>
      </c>
      <c r="B27" s="57">
        <v>1281.1476000000005</v>
      </c>
      <c r="C27" s="57">
        <v>4186.8624600000003</v>
      </c>
      <c r="D27" s="57">
        <f>7065</f>
        <v>7065</v>
      </c>
      <c r="E27" s="57">
        <f>66386</f>
        <v>66386</v>
      </c>
      <c r="F27" s="57">
        <f>159458</f>
        <v>159458</v>
      </c>
      <c r="G27" s="96"/>
      <c r="H27" s="89"/>
      <c r="I27" s="50"/>
      <c r="J27" s="86"/>
    </row>
    <row r="28" spans="1:10" ht="15" x14ac:dyDescent="0.2">
      <c r="A28" s="19" t="s">
        <v>7</v>
      </c>
      <c r="B28" s="66">
        <f>SUM(B27)</f>
        <v>1281.1476000000005</v>
      </c>
      <c r="C28" s="66">
        <f>SUM(C27)</f>
        <v>4186.8624600000003</v>
      </c>
      <c r="D28" s="66">
        <f>SUM(D27)</f>
        <v>7065</v>
      </c>
      <c r="E28" s="66">
        <f>SUM(E27)</f>
        <v>66386</v>
      </c>
      <c r="F28" s="66">
        <f>SUM(F27)</f>
        <v>159458</v>
      </c>
      <c r="G28" s="96"/>
      <c r="H28" s="89"/>
      <c r="I28" s="50"/>
      <c r="J28" s="86"/>
    </row>
    <row r="29" spans="1:10" x14ac:dyDescent="0.2">
      <c r="A29" s="16"/>
      <c r="B29" s="58"/>
      <c r="C29" s="58"/>
      <c r="D29" s="58"/>
      <c r="E29" s="58"/>
      <c r="F29" s="58"/>
      <c r="G29" s="96"/>
      <c r="H29" s="89"/>
      <c r="I29" s="50"/>
      <c r="J29" s="86"/>
    </row>
    <row r="30" spans="1:10" ht="15.75" thickBot="1" x14ac:dyDescent="0.25">
      <c r="A30" s="19" t="s">
        <v>83</v>
      </c>
      <c r="B30" s="64">
        <f>B25+B28</f>
        <v>740176.22481708205</v>
      </c>
      <c r="C30" s="64">
        <f>C25+C28</f>
        <v>644632.57085135998</v>
      </c>
      <c r="D30" s="64">
        <f>D25+D28</f>
        <v>545234</v>
      </c>
      <c r="E30" s="64">
        <f>E25+E28</f>
        <v>578123</v>
      </c>
      <c r="F30" s="64">
        <f>F25+F28</f>
        <v>628889.98024789477</v>
      </c>
      <c r="G30" s="96"/>
      <c r="H30" s="89"/>
      <c r="I30" s="50"/>
      <c r="J30" s="86"/>
    </row>
    <row r="31" spans="1:10" ht="15" thickTop="1" x14ac:dyDescent="0.2">
      <c r="A31" s="17"/>
      <c r="B31" s="57"/>
      <c r="C31" s="57"/>
      <c r="D31" s="57"/>
      <c r="E31" s="57"/>
      <c r="F31" s="57"/>
      <c r="G31" s="96"/>
      <c r="H31" s="89"/>
      <c r="I31" s="50"/>
      <c r="J31" s="86"/>
    </row>
    <row r="32" spans="1:10" ht="15" x14ac:dyDescent="0.25">
      <c r="A32" s="19" t="s">
        <v>8</v>
      </c>
      <c r="B32" s="56"/>
      <c r="C32" s="56"/>
      <c r="D32" s="56"/>
      <c r="E32" s="56"/>
      <c r="F32" s="56"/>
      <c r="G32" s="95"/>
      <c r="H32" s="89"/>
      <c r="I32" s="50"/>
      <c r="J32" s="86"/>
    </row>
    <row r="33" spans="1:10" x14ac:dyDescent="0.2">
      <c r="A33" s="16" t="s">
        <v>25</v>
      </c>
      <c r="B33" s="32">
        <v>2930951.89335</v>
      </c>
      <c r="C33" s="32">
        <v>2930951.89335</v>
      </c>
      <c r="D33" s="32">
        <f>2930952</f>
        <v>2930952</v>
      </c>
      <c r="E33" s="32">
        <f>2652219</f>
        <v>2652219</v>
      </c>
      <c r="F33" s="32">
        <f>2000000/1000+1678618644.01416/1000</f>
        <v>1680618.6440141599</v>
      </c>
      <c r="G33" s="84"/>
      <c r="H33" s="89"/>
      <c r="I33" s="50"/>
      <c r="J33" s="88"/>
    </row>
    <row r="34" spans="1:10" x14ac:dyDescent="0.2">
      <c r="A34" s="16" t="s">
        <v>28</v>
      </c>
      <c r="B34" s="32">
        <v>-1042018.26301346</v>
      </c>
      <c r="C34" s="32">
        <v>-932803.552555145</v>
      </c>
      <c r="D34" s="32">
        <v>-723141</v>
      </c>
      <c r="E34" s="32">
        <v>-559462</v>
      </c>
      <c r="F34" s="32">
        <v>-418353.12838797958</v>
      </c>
      <c r="G34" s="96"/>
      <c r="H34" s="89"/>
      <c r="I34" s="50"/>
      <c r="J34" s="86"/>
    </row>
    <row r="35" spans="1:10" ht="15" x14ac:dyDescent="0.2">
      <c r="A35" s="19" t="s">
        <v>21</v>
      </c>
      <c r="B35" s="67">
        <f>SUM(B33:B34)</f>
        <v>1888933.6303365401</v>
      </c>
      <c r="C35" s="67">
        <f>SUM(C33:C34)</f>
        <v>1998148.340794855</v>
      </c>
      <c r="D35" s="67">
        <f>SUM(D33:D34)</f>
        <v>2207811</v>
      </c>
      <c r="E35" s="67">
        <f>SUM(E33:E34)</f>
        <v>2092757</v>
      </c>
      <c r="F35" s="67">
        <f>SUM(F33:F34)</f>
        <v>1262265.5156261805</v>
      </c>
      <c r="G35" s="84"/>
      <c r="H35" s="89"/>
    </row>
    <row r="36" spans="1:10" x14ac:dyDescent="0.2">
      <c r="A36" s="17"/>
      <c r="B36" s="57"/>
      <c r="C36" s="57"/>
      <c r="D36" s="57"/>
      <c r="E36" s="57"/>
      <c r="F36" s="57"/>
      <c r="G36" s="70"/>
      <c r="H36" s="85"/>
    </row>
    <row r="37" spans="1:10" ht="15.75" thickBot="1" x14ac:dyDescent="0.25">
      <c r="A37" s="20" t="s">
        <v>29</v>
      </c>
      <c r="B37" s="64">
        <f>SUM(B25,B28,B35)</f>
        <v>2629109.8551536221</v>
      </c>
      <c r="C37" s="64">
        <f>SUM(C25,C28,C35)</f>
        <v>2642780.9116462152</v>
      </c>
      <c r="D37" s="64">
        <f>SUM(D25,D28,D35)</f>
        <v>2753045</v>
      </c>
      <c r="E37" s="64">
        <f>SUM(E25,E28,E35)</f>
        <v>2670880</v>
      </c>
      <c r="F37" s="64">
        <f>SUM(F25,F28,F35)</f>
        <v>1891155.4958740752</v>
      </c>
      <c r="G37" s="84"/>
      <c r="H37" s="85"/>
    </row>
    <row r="38" spans="1:10" ht="16.5" thickTop="1" thickBot="1" x14ac:dyDescent="0.3">
      <c r="A38" s="21"/>
      <c r="B38" s="72"/>
      <c r="C38" s="72"/>
      <c r="D38" s="72"/>
      <c r="E38" s="72"/>
      <c r="F38" s="72"/>
      <c r="G38" s="97"/>
      <c r="H38" s="91"/>
      <c r="I38" s="50"/>
      <c r="J38" s="2"/>
    </row>
    <row r="39" spans="1:10" s="59" customFormat="1" x14ac:dyDescent="0.2">
      <c r="A39" s="22"/>
      <c r="B39" s="52"/>
      <c r="C39" s="52"/>
      <c r="D39" s="52"/>
      <c r="E39" s="52"/>
      <c r="F39" s="52"/>
      <c r="I39" s="98"/>
      <c r="J39" s="99"/>
    </row>
    <row r="40" spans="1:10" s="59" customFormat="1" x14ac:dyDescent="0.2">
      <c r="A40" s="23" t="s">
        <v>0</v>
      </c>
      <c r="B40" s="60">
        <f>B17-B37</f>
        <v>1.5670899301767349E-5</v>
      </c>
      <c r="C40" s="60">
        <f>C17-C37</f>
        <v>-2.0107114687561989E-4</v>
      </c>
      <c r="D40" s="60">
        <f>D17-D37</f>
        <v>0</v>
      </c>
      <c r="E40" s="60">
        <f>E17-E37</f>
        <v>0</v>
      </c>
      <c r="F40" s="60">
        <f>F17-F37</f>
        <v>-0.45274790958501399</v>
      </c>
      <c r="G40" s="98"/>
      <c r="I40" s="98"/>
      <c r="J40" s="99"/>
    </row>
    <row r="41" spans="1:10" s="59" customFormat="1" x14ac:dyDescent="0.2">
      <c r="A41" s="22"/>
      <c r="B41" s="58">
        <f>B40/137.06</f>
        <v>1.1433605210686815E-7</v>
      </c>
      <c r="C41" s="58">
        <f>C40/137.06</f>
        <v>-1.467030109992849E-6</v>
      </c>
      <c r="D41" s="58">
        <f>D40/137.06</f>
        <v>0</v>
      </c>
      <c r="E41" s="58">
        <f>E40/137.06</f>
        <v>0</v>
      </c>
      <c r="F41" s="58">
        <f>F40/137.06</f>
        <v>-3.3032825739458191E-3</v>
      </c>
      <c r="G41" s="98"/>
      <c r="H41" s="100"/>
      <c r="I41" s="98"/>
      <c r="J41" s="101"/>
    </row>
    <row r="42" spans="1:10" s="59" customFormat="1" x14ac:dyDescent="0.2">
      <c r="A42" s="22"/>
      <c r="B42" s="52"/>
      <c r="C42" s="52"/>
      <c r="D42" s="52"/>
      <c r="E42" s="52"/>
      <c r="F42" s="52"/>
      <c r="G42" s="98"/>
      <c r="H42" s="100"/>
    </row>
    <row r="43" spans="1:10" s="59" customFormat="1" x14ac:dyDescent="0.2">
      <c r="A43" s="22"/>
      <c r="B43" s="52"/>
      <c r="C43" s="58"/>
      <c r="D43" s="52"/>
      <c r="E43" s="52"/>
      <c r="F43" s="52"/>
      <c r="G43" s="98"/>
      <c r="H43" s="102"/>
      <c r="I43" s="98"/>
      <c r="J43" s="99"/>
    </row>
    <row r="44" spans="1:10" s="62" customFormat="1" ht="15" x14ac:dyDescent="0.25">
      <c r="A44" s="22"/>
      <c r="B44" s="52"/>
      <c r="C44" s="58"/>
      <c r="D44" s="52"/>
      <c r="E44" s="52"/>
      <c r="F44" s="52"/>
      <c r="G44" s="103"/>
      <c r="H44" s="104"/>
      <c r="I44" s="103"/>
      <c r="J44" s="61"/>
    </row>
    <row r="45" spans="1:10" s="59" customFormat="1" ht="15" x14ac:dyDescent="0.25">
      <c r="A45" s="22"/>
      <c r="B45" s="52"/>
      <c r="C45" s="52"/>
      <c r="D45" s="52"/>
      <c r="E45" s="52"/>
      <c r="F45" s="52"/>
      <c r="G45" s="103"/>
      <c r="H45" s="104"/>
      <c r="I45" s="98"/>
      <c r="J45" s="105"/>
    </row>
    <row r="46" spans="1:10" s="59" customFormat="1" x14ac:dyDescent="0.2">
      <c r="A46" s="22"/>
      <c r="B46" s="52"/>
      <c r="C46" s="52"/>
      <c r="D46" s="52"/>
      <c r="E46" s="52"/>
      <c r="F46" s="52"/>
    </row>
    <row r="47" spans="1:10" s="59" customFormat="1" x14ac:dyDescent="0.2">
      <c r="A47" s="22"/>
      <c r="B47" s="52"/>
      <c r="C47" s="52"/>
      <c r="D47" s="52"/>
      <c r="E47" s="52"/>
      <c r="F47" s="52"/>
    </row>
    <row r="48" spans="1:10" s="59" customFormat="1" x14ac:dyDescent="0.2">
      <c r="A48" s="22"/>
      <c r="B48" s="52"/>
      <c r="C48" s="52"/>
      <c r="D48" s="52"/>
      <c r="E48" s="52"/>
      <c r="F48" s="52"/>
    </row>
    <row r="49" spans="1:10" s="59" customFormat="1" x14ac:dyDescent="0.2">
      <c r="A49" s="22"/>
      <c r="B49" s="52"/>
      <c r="C49" s="52"/>
      <c r="D49" s="52"/>
      <c r="E49" s="52"/>
      <c r="F49" s="52"/>
    </row>
    <row r="50" spans="1:10" s="59" customFormat="1" x14ac:dyDescent="0.2">
      <c r="A50" s="22"/>
      <c r="B50" s="52"/>
      <c r="C50" s="52"/>
      <c r="D50" s="52"/>
      <c r="E50" s="52"/>
      <c r="F50" s="52"/>
      <c r="I50" s="98"/>
      <c r="J50" s="63"/>
    </row>
    <row r="51" spans="1:10" s="59" customFormat="1" x14ac:dyDescent="0.2">
      <c r="A51" s="22"/>
      <c r="B51" s="52"/>
      <c r="C51" s="52"/>
      <c r="D51" s="52"/>
      <c r="E51" s="52"/>
      <c r="F51" s="52"/>
      <c r="I51" s="98"/>
      <c r="J51" s="63"/>
    </row>
    <row r="52" spans="1:10" s="59" customFormat="1" x14ac:dyDescent="0.2">
      <c r="A52" s="22"/>
      <c r="B52" s="52"/>
      <c r="C52" s="52"/>
      <c r="D52" s="52"/>
      <c r="E52" s="52"/>
      <c r="F52" s="52"/>
      <c r="I52" s="98"/>
      <c r="J52" s="63"/>
    </row>
    <row r="53" spans="1:10" s="59" customFormat="1" x14ac:dyDescent="0.2">
      <c r="A53" s="22"/>
      <c r="B53" s="52"/>
      <c r="C53" s="52"/>
      <c r="D53" s="52"/>
      <c r="E53" s="52"/>
      <c r="F53" s="52"/>
      <c r="I53" s="98"/>
      <c r="J53" s="63"/>
    </row>
    <row r="54" spans="1:10" s="59" customFormat="1" x14ac:dyDescent="0.2">
      <c r="A54" s="22"/>
      <c r="B54" s="52"/>
      <c r="C54" s="52"/>
      <c r="D54" s="52"/>
      <c r="E54" s="52"/>
      <c r="F54" s="52"/>
      <c r="I54" s="98"/>
      <c r="J54" s="63"/>
    </row>
    <row r="55" spans="1:10" s="59" customFormat="1" x14ac:dyDescent="0.2">
      <c r="A55" s="22"/>
      <c r="B55" s="52"/>
      <c r="C55" s="52"/>
      <c r="D55" s="52"/>
      <c r="E55" s="52"/>
      <c r="F55" s="52"/>
      <c r="I55" s="98"/>
      <c r="J55" s="98"/>
    </row>
    <row r="56" spans="1:10" s="59" customFormat="1" x14ac:dyDescent="0.2">
      <c r="A56" s="22"/>
      <c r="B56" s="52"/>
      <c r="C56" s="52"/>
      <c r="D56" s="52"/>
      <c r="E56" s="52"/>
      <c r="F56" s="52"/>
    </row>
    <row r="57" spans="1:10" s="59" customFormat="1" x14ac:dyDescent="0.2">
      <c r="A57" s="22"/>
      <c r="B57" s="52"/>
      <c r="C57" s="52"/>
      <c r="D57" s="52"/>
      <c r="E57" s="52"/>
      <c r="F57" s="52"/>
    </row>
    <row r="58" spans="1:10" s="59" customFormat="1" x14ac:dyDescent="0.2">
      <c r="A58" s="22"/>
      <c r="B58" s="52"/>
      <c r="C58" s="52"/>
      <c r="D58" s="52"/>
      <c r="E58" s="52"/>
      <c r="F58" s="52"/>
    </row>
    <row r="59" spans="1:10" s="59" customFormat="1" x14ac:dyDescent="0.2">
      <c r="A59" s="22"/>
      <c r="B59" s="52"/>
      <c r="C59" s="52"/>
      <c r="D59" s="52"/>
      <c r="E59" s="52"/>
      <c r="F59" s="52"/>
    </row>
    <row r="60" spans="1:10" s="59" customFormat="1" x14ac:dyDescent="0.2">
      <c r="A60" s="22"/>
      <c r="B60" s="52"/>
      <c r="C60" s="52"/>
      <c r="D60" s="52"/>
      <c r="E60" s="52"/>
      <c r="F60" s="52"/>
    </row>
    <row r="61" spans="1:10" s="59" customFormat="1" x14ac:dyDescent="0.2">
      <c r="A61" s="22"/>
      <c r="B61" s="52"/>
      <c r="C61" s="52"/>
      <c r="D61" s="52"/>
      <c r="E61" s="52"/>
      <c r="F61" s="52"/>
    </row>
    <row r="62" spans="1:10" s="59" customFormat="1" x14ac:dyDescent="0.2">
      <c r="A62" s="22"/>
      <c r="B62" s="52"/>
      <c r="C62" s="52"/>
      <c r="D62" s="52"/>
      <c r="E62" s="52"/>
      <c r="F62" s="52"/>
    </row>
    <row r="63" spans="1:10" s="59" customFormat="1" x14ac:dyDescent="0.2">
      <c r="A63" s="22"/>
      <c r="B63" s="52"/>
      <c r="C63" s="52"/>
      <c r="D63" s="52"/>
      <c r="E63" s="52"/>
      <c r="F63" s="52"/>
    </row>
    <row r="64" spans="1:10" s="59" customFormat="1" x14ac:dyDescent="0.2">
      <c r="A64" s="22"/>
      <c r="B64" s="52"/>
      <c r="C64" s="52"/>
      <c r="D64" s="52"/>
      <c r="E64" s="52"/>
      <c r="F64" s="52"/>
    </row>
    <row r="65" spans="1:6" s="59" customFormat="1" x14ac:dyDescent="0.2">
      <c r="A65" s="22"/>
      <c r="B65" s="52"/>
      <c r="C65" s="52"/>
      <c r="D65" s="52"/>
      <c r="E65" s="52"/>
      <c r="F65" s="52"/>
    </row>
    <row r="66" spans="1:6" s="59" customFormat="1" x14ac:dyDescent="0.2">
      <c r="A66" s="22"/>
      <c r="B66" s="52"/>
      <c r="C66" s="52"/>
      <c r="D66" s="52"/>
      <c r="E66" s="52"/>
      <c r="F66" s="52"/>
    </row>
    <row r="67" spans="1:6" s="59" customFormat="1" x14ac:dyDescent="0.2">
      <c r="A67" s="22"/>
      <c r="B67" s="52"/>
      <c r="C67" s="52"/>
      <c r="D67" s="52"/>
      <c r="E67" s="52"/>
      <c r="F67" s="52"/>
    </row>
    <row r="68" spans="1:6" s="59" customFormat="1" x14ac:dyDescent="0.2">
      <c r="A68" s="22"/>
      <c r="B68" s="52"/>
      <c r="C68" s="52"/>
      <c r="D68" s="52"/>
      <c r="E68" s="52"/>
      <c r="F68" s="52"/>
    </row>
    <row r="69" spans="1:6" s="59" customFormat="1" x14ac:dyDescent="0.2">
      <c r="A69" s="22"/>
      <c r="B69" s="52"/>
      <c r="C69" s="52"/>
      <c r="D69" s="52"/>
      <c r="E69" s="52"/>
      <c r="F69" s="52"/>
    </row>
    <row r="70" spans="1:6" s="59" customFormat="1" x14ac:dyDescent="0.2">
      <c r="A70" s="22"/>
      <c r="B70" s="52"/>
      <c r="C70" s="52"/>
      <c r="D70" s="52"/>
      <c r="E70" s="52"/>
      <c r="F70" s="52"/>
    </row>
    <row r="71" spans="1:6" s="59" customFormat="1" x14ac:dyDescent="0.2">
      <c r="A71" s="22"/>
      <c r="B71" s="52"/>
      <c r="C71" s="52"/>
      <c r="D71" s="52"/>
      <c r="E71" s="52"/>
      <c r="F71" s="52"/>
    </row>
    <row r="72" spans="1:6" s="59" customFormat="1" x14ac:dyDescent="0.2">
      <c r="A72" s="22"/>
      <c r="B72" s="52"/>
      <c r="C72" s="52"/>
      <c r="D72" s="52"/>
      <c r="E72" s="52"/>
      <c r="F72" s="52"/>
    </row>
    <row r="73" spans="1:6" s="59" customFormat="1" x14ac:dyDescent="0.2">
      <c r="A73" s="22"/>
      <c r="B73" s="52"/>
      <c r="C73" s="52"/>
      <c r="D73" s="52"/>
      <c r="E73" s="52"/>
      <c r="F73" s="52"/>
    </row>
    <row r="74" spans="1:6" s="59" customFormat="1" x14ac:dyDescent="0.2">
      <c r="A74" s="22"/>
      <c r="B74" s="52"/>
      <c r="C74" s="52"/>
      <c r="D74" s="52"/>
      <c r="E74" s="52"/>
      <c r="F74" s="52"/>
    </row>
    <row r="75" spans="1:6" s="59" customFormat="1" x14ac:dyDescent="0.2">
      <c r="A75" s="22"/>
      <c r="B75" s="52"/>
      <c r="C75" s="52"/>
      <c r="D75" s="52"/>
      <c r="E75" s="52"/>
      <c r="F75" s="52"/>
    </row>
    <row r="76" spans="1:6" s="59" customFormat="1" x14ac:dyDescent="0.2">
      <c r="A76" s="22"/>
      <c r="B76" s="52"/>
      <c r="C76" s="52"/>
      <c r="D76" s="52"/>
      <c r="E76" s="52"/>
      <c r="F76" s="52"/>
    </row>
    <row r="77" spans="1:6" s="59" customFormat="1" x14ac:dyDescent="0.2">
      <c r="A77" s="22"/>
      <c r="B77" s="52"/>
      <c r="C77" s="52"/>
      <c r="D77" s="52"/>
      <c r="E77" s="52"/>
      <c r="F77" s="52"/>
    </row>
    <row r="78" spans="1:6" s="59" customFormat="1" x14ac:dyDescent="0.2">
      <c r="A78" s="22"/>
      <c r="B78" s="52"/>
      <c r="C78" s="52"/>
      <c r="D78" s="52"/>
      <c r="E78" s="52"/>
      <c r="F78" s="52"/>
    </row>
    <row r="79" spans="1:6" s="59" customFormat="1" x14ac:dyDescent="0.2">
      <c r="A79" s="22"/>
      <c r="B79" s="52"/>
      <c r="C79" s="52"/>
      <c r="D79" s="52"/>
      <c r="E79" s="52"/>
      <c r="F79" s="52"/>
    </row>
    <row r="80" spans="1:6" s="59" customFormat="1" x14ac:dyDescent="0.2">
      <c r="A80" s="22"/>
      <c r="B80" s="52"/>
      <c r="C80" s="52"/>
      <c r="D80" s="52"/>
      <c r="E80" s="52"/>
      <c r="F80" s="52"/>
    </row>
    <row r="81" spans="1:6" s="59" customFormat="1" x14ac:dyDescent="0.2">
      <c r="A81" s="22"/>
      <c r="B81" s="52"/>
      <c r="C81" s="52"/>
      <c r="D81" s="52"/>
      <c r="E81" s="52"/>
      <c r="F81" s="52"/>
    </row>
    <row r="82" spans="1:6" s="59" customFormat="1" x14ac:dyDescent="0.2">
      <c r="A82" s="22"/>
      <c r="B82" s="52"/>
      <c r="C82" s="52"/>
      <c r="D82" s="52"/>
      <c r="E82" s="52"/>
      <c r="F82" s="52"/>
    </row>
    <row r="83" spans="1:6" s="59" customFormat="1" x14ac:dyDescent="0.2">
      <c r="A83" s="22"/>
      <c r="B83" s="52"/>
      <c r="C83" s="52"/>
      <c r="D83" s="52"/>
      <c r="E83" s="52"/>
      <c r="F83" s="52"/>
    </row>
    <row r="84" spans="1:6" s="59" customFormat="1" x14ac:dyDescent="0.2">
      <c r="A84" s="22"/>
      <c r="B84" s="52"/>
      <c r="C84" s="52"/>
      <c r="D84" s="52"/>
      <c r="E84" s="52"/>
      <c r="F84" s="52"/>
    </row>
    <row r="85" spans="1:6" s="59" customFormat="1" x14ac:dyDescent="0.2">
      <c r="A85" s="22"/>
      <c r="B85" s="52"/>
      <c r="C85" s="52"/>
      <c r="D85" s="52"/>
      <c r="E85" s="52"/>
      <c r="F85" s="52"/>
    </row>
    <row r="86" spans="1:6" s="59" customFormat="1" x14ac:dyDescent="0.2">
      <c r="A86" s="22"/>
      <c r="B86" s="52"/>
      <c r="C86" s="52"/>
      <c r="D86" s="52"/>
      <c r="E86" s="52"/>
      <c r="F86" s="52"/>
    </row>
    <row r="87" spans="1:6" s="59" customFormat="1" x14ac:dyDescent="0.2">
      <c r="A87" s="22"/>
      <c r="B87" s="52"/>
      <c r="C87" s="52"/>
      <c r="D87" s="52"/>
      <c r="E87" s="52"/>
      <c r="F87" s="52"/>
    </row>
    <row r="88" spans="1:6" s="59" customFormat="1" x14ac:dyDescent="0.2">
      <c r="A88" s="22"/>
      <c r="B88" s="52"/>
      <c r="C88" s="52"/>
      <c r="D88" s="52"/>
      <c r="E88" s="52"/>
      <c r="F88" s="52"/>
    </row>
    <row r="89" spans="1:6" s="59" customFormat="1" x14ac:dyDescent="0.2">
      <c r="A89" s="22"/>
      <c r="B89" s="52"/>
      <c r="C89" s="52"/>
      <c r="D89" s="52"/>
      <c r="E89" s="52"/>
      <c r="F89" s="52"/>
    </row>
    <row r="90" spans="1:6" s="59" customFormat="1" x14ac:dyDescent="0.2">
      <c r="A90" s="22"/>
      <c r="B90" s="52"/>
      <c r="C90" s="52"/>
      <c r="D90" s="52"/>
      <c r="E90" s="52"/>
      <c r="F90" s="52"/>
    </row>
    <row r="91" spans="1:6" s="59" customFormat="1" x14ac:dyDescent="0.2">
      <c r="A91" s="22"/>
      <c r="B91" s="52"/>
      <c r="C91" s="52"/>
      <c r="D91" s="52"/>
      <c r="E91" s="52"/>
      <c r="F91" s="52"/>
    </row>
    <row r="92" spans="1:6" s="59" customFormat="1" x14ac:dyDescent="0.2">
      <c r="A92" s="22"/>
      <c r="B92" s="52"/>
      <c r="C92" s="52"/>
      <c r="D92" s="52"/>
      <c r="E92" s="52"/>
      <c r="F92" s="52"/>
    </row>
    <row r="93" spans="1:6" s="59" customFormat="1" x14ac:dyDescent="0.2">
      <c r="A93" s="22"/>
      <c r="B93" s="52"/>
      <c r="C93" s="52"/>
      <c r="D93" s="52"/>
      <c r="E93" s="52"/>
      <c r="F93" s="52"/>
    </row>
    <row r="94" spans="1:6" s="59" customFormat="1" x14ac:dyDescent="0.2">
      <c r="A94" s="22"/>
      <c r="B94" s="52"/>
      <c r="C94" s="52"/>
      <c r="D94" s="52"/>
      <c r="E94" s="52"/>
      <c r="F94" s="52"/>
    </row>
    <row r="95" spans="1:6" s="59" customFormat="1" x14ac:dyDescent="0.2">
      <c r="A95" s="22"/>
      <c r="B95" s="52"/>
      <c r="C95" s="52"/>
      <c r="D95" s="52"/>
      <c r="E95" s="52"/>
      <c r="F95" s="52"/>
    </row>
    <row r="96" spans="1:6" s="59" customFormat="1" x14ac:dyDescent="0.2">
      <c r="A96" s="22"/>
      <c r="B96" s="52"/>
      <c r="C96" s="52"/>
      <c r="D96" s="52"/>
      <c r="E96" s="52"/>
      <c r="F96" s="52"/>
    </row>
    <row r="97" spans="1:6" s="59" customFormat="1" x14ac:dyDescent="0.2">
      <c r="A97" s="22"/>
      <c r="B97" s="52"/>
      <c r="C97" s="52"/>
      <c r="D97" s="52"/>
      <c r="E97" s="52"/>
      <c r="F97" s="52"/>
    </row>
    <row r="98" spans="1:6" s="59" customFormat="1" x14ac:dyDescent="0.2">
      <c r="A98" s="22"/>
      <c r="B98" s="52"/>
      <c r="C98" s="52"/>
      <c r="D98" s="52"/>
      <c r="E98" s="52"/>
      <c r="F98" s="52"/>
    </row>
    <row r="99" spans="1:6" s="59" customFormat="1" x14ac:dyDescent="0.2">
      <c r="A99" s="22"/>
      <c r="B99" s="52"/>
      <c r="C99" s="52"/>
      <c r="D99" s="52"/>
      <c r="E99" s="52"/>
      <c r="F99" s="52"/>
    </row>
    <row r="100" spans="1:6" s="59" customFormat="1" x14ac:dyDescent="0.2">
      <c r="A100" s="22"/>
      <c r="B100" s="52"/>
      <c r="C100" s="52"/>
      <c r="D100" s="52"/>
      <c r="E100" s="52"/>
      <c r="F100" s="52"/>
    </row>
    <row r="101" spans="1:6" s="59" customFormat="1" x14ac:dyDescent="0.2">
      <c r="A101" s="22"/>
      <c r="B101" s="52"/>
      <c r="C101" s="52"/>
      <c r="D101" s="52"/>
      <c r="E101" s="52"/>
      <c r="F101" s="52"/>
    </row>
    <row r="102" spans="1:6" s="59" customFormat="1" x14ac:dyDescent="0.2">
      <c r="A102" s="22"/>
      <c r="B102" s="52"/>
      <c r="C102" s="52"/>
      <c r="D102" s="52"/>
      <c r="E102" s="52"/>
      <c r="F102" s="52"/>
    </row>
    <row r="103" spans="1:6" s="59" customFormat="1" x14ac:dyDescent="0.2">
      <c r="A103" s="22"/>
      <c r="B103" s="52"/>
      <c r="C103" s="52"/>
      <c r="D103" s="52"/>
      <c r="E103" s="52"/>
      <c r="F103" s="52"/>
    </row>
    <row r="104" spans="1:6" s="59" customFormat="1" x14ac:dyDescent="0.2">
      <c r="A104" s="22"/>
      <c r="B104" s="52"/>
      <c r="C104" s="52"/>
      <c r="D104" s="52"/>
      <c r="E104" s="52"/>
      <c r="F104" s="52"/>
    </row>
    <row r="105" spans="1:6" s="59" customFormat="1" x14ac:dyDescent="0.2">
      <c r="A105" s="22"/>
      <c r="B105" s="52"/>
      <c r="C105" s="52"/>
      <c r="D105" s="52"/>
      <c r="E105" s="52"/>
      <c r="F105" s="52"/>
    </row>
    <row r="106" spans="1:6" s="59" customFormat="1" x14ac:dyDescent="0.2">
      <c r="A106" s="22"/>
      <c r="B106" s="52"/>
      <c r="C106" s="52"/>
      <c r="D106" s="52"/>
      <c r="E106" s="52"/>
      <c r="F106" s="52"/>
    </row>
    <row r="107" spans="1:6" s="59" customFormat="1" x14ac:dyDescent="0.2">
      <c r="A107" s="22"/>
      <c r="B107" s="52"/>
      <c r="C107" s="52"/>
      <c r="D107" s="52"/>
      <c r="E107" s="52"/>
      <c r="F107" s="52"/>
    </row>
    <row r="108" spans="1:6" s="59" customFormat="1" x14ac:dyDescent="0.2">
      <c r="A108" s="22"/>
      <c r="B108" s="52"/>
      <c r="C108" s="52"/>
      <c r="D108" s="52"/>
      <c r="E108" s="52"/>
      <c r="F108" s="52"/>
    </row>
    <row r="109" spans="1:6" s="59" customFormat="1" x14ac:dyDescent="0.2">
      <c r="A109" s="22"/>
      <c r="B109" s="52"/>
      <c r="C109" s="52"/>
      <c r="D109" s="52"/>
      <c r="E109" s="52"/>
      <c r="F109" s="52"/>
    </row>
    <row r="110" spans="1:6" s="59" customFormat="1" x14ac:dyDescent="0.2">
      <c r="A110" s="22"/>
      <c r="B110" s="52"/>
      <c r="C110" s="52"/>
      <c r="D110" s="52"/>
      <c r="E110" s="52"/>
      <c r="F110" s="52"/>
    </row>
    <row r="111" spans="1:6" s="59" customFormat="1" x14ac:dyDescent="0.2">
      <c r="A111" s="22"/>
      <c r="B111" s="52"/>
      <c r="C111" s="52"/>
      <c r="D111" s="52"/>
      <c r="E111" s="52"/>
      <c r="F111" s="52"/>
    </row>
    <row r="112" spans="1:6" s="59" customFormat="1" x14ac:dyDescent="0.2">
      <c r="A112" s="22"/>
      <c r="B112" s="52"/>
      <c r="C112" s="52"/>
      <c r="D112" s="52"/>
      <c r="E112" s="52"/>
      <c r="F112" s="52"/>
    </row>
    <row r="113" spans="1:6" s="59" customFormat="1" x14ac:dyDescent="0.2">
      <c r="A113" s="22"/>
      <c r="B113" s="52"/>
      <c r="C113" s="52"/>
      <c r="D113" s="52"/>
      <c r="E113" s="52"/>
      <c r="F113" s="52"/>
    </row>
    <row r="114" spans="1:6" s="59" customFormat="1" x14ac:dyDescent="0.2">
      <c r="A114" s="22"/>
      <c r="B114" s="52"/>
      <c r="C114" s="52"/>
      <c r="D114" s="52"/>
      <c r="E114" s="52"/>
      <c r="F114" s="52"/>
    </row>
    <row r="115" spans="1:6" s="59" customFormat="1" x14ac:dyDescent="0.2">
      <c r="A115" s="22"/>
      <c r="B115" s="52"/>
      <c r="C115" s="52"/>
      <c r="D115" s="52"/>
      <c r="E115" s="52"/>
      <c r="F115" s="52"/>
    </row>
    <row r="116" spans="1:6" s="59" customFormat="1" x14ac:dyDescent="0.2">
      <c r="A116" s="22"/>
      <c r="B116" s="52"/>
      <c r="C116" s="52"/>
      <c r="D116" s="52"/>
      <c r="E116" s="52"/>
      <c r="F116" s="52"/>
    </row>
    <row r="117" spans="1:6" s="59" customFormat="1" x14ac:dyDescent="0.2">
      <c r="A117" s="22"/>
      <c r="B117" s="52"/>
      <c r="C117" s="52"/>
      <c r="D117" s="52"/>
      <c r="E117" s="52"/>
      <c r="F117" s="52"/>
    </row>
    <row r="118" spans="1:6" s="59" customFormat="1" x14ac:dyDescent="0.2">
      <c r="A118" s="22"/>
      <c r="B118" s="52"/>
      <c r="C118" s="52"/>
      <c r="D118" s="52"/>
      <c r="E118" s="52"/>
      <c r="F118" s="52"/>
    </row>
    <row r="119" spans="1:6" s="59" customFormat="1" x14ac:dyDescent="0.2">
      <c r="A119" s="22"/>
      <c r="B119" s="52"/>
      <c r="C119" s="52"/>
      <c r="D119" s="52"/>
      <c r="E119" s="52"/>
      <c r="F119" s="52"/>
    </row>
    <row r="120" spans="1:6" s="59" customFormat="1" x14ac:dyDescent="0.2">
      <c r="A120" s="22"/>
      <c r="B120" s="52"/>
      <c r="C120" s="52"/>
      <c r="D120" s="52"/>
      <c r="E120" s="52"/>
      <c r="F120" s="52"/>
    </row>
    <row r="121" spans="1:6" s="59" customFormat="1" x14ac:dyDescent="0.2">
      <c r="A121" s="22"/>
      <c r="B121" s="52"/>
      <c r="C121" s="52"/>
      <c r="D121" s="52"/>
      <c r="E121" s="52"/>
      <c r="F121" s="52"/>
    </row>
    <row r="122" spans="1:6" s="59" customFormat="1" x14ac:dyDescent="0.2">
      <c r="A122" s="22"/>
      <c r="B122" s="52"/>
      <c r="C122" s="52"/>
      <c r="D122" s="52"/>
      <c r="E122" s="52"/>
      <c r="F122" s="52"/>
    </row>
    <row r="123" spans="1:6" s="59" customFormat="1" x14ac:dyDescent="0.2">
      <c r="A123" s="22"/>
      <c r="B123" s="52"/>
      <c r="C123" s="52"/>
      <c r="D123" s="52"/>
      <c r="E123" s="52"/>
      <c r="F123" s="52"/>
    </row>
    <row r="124" spans="1:6" s="59" customFormat="1" x14ac:dyDescent="0.2">
      <c r="A124" s="22"/>
      <c r="B124" s="52"/>
      <c r="C124" s="52"/>
      <c r="D124" s="52"/>
      <c r="E124" s="52"/>
      <c r="F124" s="52"/>
    </row>
    <row r="125" spans="1:6" s="59" customFormat="1" x14ac:dyDescent="0.2">
      <c r="A125" s="22"/>
      <c r="B125" s="52"/>
      <c r="C125" s="52"/>
      <c r="D125" s="52"/>
      <c r="E125" s="52"/>
      <c r="F125" s="52"/>
    </row>
    <row r="126" spans="1:6" s="59" customFormat="1" x14ac:dyDescent="0.2">
      <c r="A126" s="22"/>
      <c r="B126" s="52"/>
      <c r="C126" s="52"/>
      <c r="D126" s="52"/>
      <c r="E126" s="52"/>
      <c r="F126" s="52"/>
    </row>
    <row r="127" spans="1:6" s="59" customFormat="1" x14ac:dyDescent="0.2">
      <c r="A127" s="22"/>
      <c r="B127" s="52"/>
      <c r="C127" s="52"/>
      <c r="D127" s="52"/>
      <c r="E127" s="52"/>
      <c r="F127" s="52"/>
    </row>
    <row r="128" spans="1:6" s="59" customFormat="1" x14ac:dyDescent="0.2">
      <c r="A128" s="22"/>
      <c r="B128" s="52"/>
      <c r="C128" s="52"/>
      <c r="D128" s="52"/>
      <c r="E128" s="52"/>
      <c r="F128" s="52"/>
    </row>
    <row r="129" spans="1:6" s="59" customFormat="1" x14ac:dyDescent="0.2">
      <c r="A129" s="22"/>
      <c r="B129" s="52"/>
      <c r="C129" s="52"/>
      <c r="D129" s="52"/>
      <c r="E129" s="52"/>
      <c r="F129" s="52"/>
    </row>
    <row r="130" spans="1:6" s="59" customFormat="1" x14ac:dyDescent="0.2">
      <c r="A130" s="22"/>
      <c r="B130" s="52"/>
      <c r="C130" s="52"/>
      <c r="D130" s="52"/>
      <c r="E130" s="52"/>
      <c r="F130" s="52"/>
    </row>
    <row r="131" spans="1:6" s="59" customFormat="1" x14ac:dyDescent="0.2">
      <c r="A131" s="22"/>
      <c r="B131" s="52"/>
      <c r="C131" s="52"/>
      <c r="D131" s="52"/>
      <c r="E131" s="52"/>
      <c r="F131" s="52"/>
    </row>
    <row r="132" spans="1:6" s="59" customFormat="1" x14ac:dyDescent="0.2">
      <c r="A132" s="22"/>
      <c r="B132" s="52"/>
      <c r="C132" s="52"/>
      <c r="D132" s="52"/>
      <c r="E132" s="52"/>
      <c r="F132" s="52"/>
    </row>
    <row r="133" spans="1:6" s="59" customFormat="1" x14ac:dyDescent="0.2">
      <c r="A133" s="22"/>
      <c r="B133" s="52"/>
      <c r="C133" s="52"/>
      <c r="D133" s="52"/>
      <c r="E133" s="52"/>
      <c r="F133" s="52"/>
    </row>
    <row r="134" spans="1:6" s="59" customFormat="1" x14ac:dyDescent="0.2">
      <c r="A134" s="22"/>
      <c r="B134" s="52"/>
      <c r="C134" s="52"/>
      <c r="D134" s="52"/>
      <c r="E134" s="52"/>
      <c r="F134" s="52"/>
    </row>
    <row r="135" spans="1:6" s="59" customFormat="1" x14ac:dyDescent="0.2">
      <c r="A135" s="22"/>
      <c r="B135" s="52"/>
      <c r="C135" s="52"/>
      <c r="D135" s="52"/>
      <c r="E135" s="52"/>
      <c r="F135" s="52"/>
    </row>
    <row r="136" spans="1:6" s="59" customFormat="1" x14ac:dyDescent="0.2">
      <c r="A136" s="22"/>
      <c r="B136" s="52"/>
      <c r="C136" s="52"/>
      <c r="D136" s="52"/>
      <c r="E136" s="52"/>
      <c r="F136" s="52"/>
    </row>
    <row r="137" spans="1:6" s="59" customFormat="1" x14ac:dyDescent="0.2">
      <c r="A137" s="22"/>
      <c r="B137" s="52"/>
      <c r="C137" s="52"/>
      <c r="D137" s="52"/>
      <c r="E137" s="52"/>
      <c r="F137" s="52"/>
    </row>
    <row r="138" spans="1:6" s="59" customFormat="1" x14ac:dyDescent="0.2">
      <c r="A138" s="22"/>
      <c r="B138" s="52"/>
      <c r="C138" s="52"/>
      <c r="D138" s="52"/>
      <c r="E138" s="52"/>
      <c r="F138" s="52"/>
    </row>
    <row r="139" spans="1:6" s="59" customFormat="1" x14ac:dyDescent="0.2">
      <c r="A139" s="22"/>
      <c r="B139" s="52"/>
      <c r="C139" s="52"/>
      <c r="D139" s="52"/>
      <c r="E139" s="52"/>
      <c r="F139" s="52"/>
    </row>
    <row r="140" spans="1:6" s="59" customFormat="1" x14ac:dyDescent="0.2">
      <c r="A140" s="22"/>
      <c r="B140" s="52"/>
      <c r="C140" s="52"/>
      <c r="D140" s="52"/>
      <c r="E140" s="52"/>
      <c r="F140" s="52"/>
    </row>
    <row r="141" spans="1:6" s="59" customFormat="1" x14ac:dyDescent="0.2">
      <c r="A141" s="22"/>
      <c r="B141" s="52"/>
      <c r="C141" s="52"/>
      <c r="D141" s="52"/>
      <c r="E141" s="52"/>
      <c r="F141" s="52"/>
    </row>
    <row r="142" spans="1:6" s="59" customFormat="1" x14ac:dyDescent="0.2">
      <c r="A142" s="22"/>
      <c r="B142" s="52"/>
      <c r="C142" s="52"/>
      <c r="D142" s="52"/>
      <c r="E142" s="52"/>
      <c r="F142" s="52"/>
    </row>
    <row r="143" spans="1:6" s="59" customFormat="1" x14ac:dyDescent="0.2">
      <c r="A143" s="22"/>
      <c r="B143" s="52"/>
      <c r="C143" s="52"/>
      <c r="D143" s="52"/>
      <c r="E143" s="52"/>
      <c r="F143" s="52"/>
    </row>
    <row r="144" spans="1:6" s="59" customFormat="1" x14ac:dyDescent="0.2">
      <c r="A144" s="22"/>
      <c r="B144" s="52"/>
      <c r="C144" s="52"/>
      <c r="D144" s="52"/>
      <c r="E144" s="52"/>
      <c r="F144" s="52"/>
    </row>
    <row r="145" spans="1:6" s="59" customFormat="1" x14ac:dyDescent="0.2">
      <c r="A145" s="22"/>
      <c r="B145" s="52"/>
      <c r="C145" s="52"/>
      <c r="D145" s="52"/>
      <c r="E145" s="52"/>
      <c r="F145" s="52"/>
    </row>
    <row r="146" spans="1:6" s="59" customFormat="1" x14ac:dyDescent="0.2">
      <c r="A146" s="22"/>
      <c r="B146" s="52"/>
      <c r="C146" s="52"/>
      <c r="D146" s="52"/>
      <c r="E146" s="52"/>
      <c r="F146" s="52"/>
    </row>
    <row r="147" spans="1:6" s="59" customFormat="1" x14ac:dyDescent="0.2">
      <c r="A147" s="22"/>
      <c r="B147" s="52"/>
      <c r="C147" s="52"/>
      <c r="D147" s="52"/>
      <c r="E147" s="52"/>
      <c r="F147" s="52"/>
    </row>
    <row r="148" spans="1:6" s="59" customFormat="1" x14ac:dyDescent="0.2">
      <c r="A148" s="22"/>
      <c r="B148" s="52"/>
      <c r="C148" s="52"/>
      <c r="D148" s="52"/>
      <c r="E148" s="52"/>
      <c r="F148" s="52"/>
    </row>
    <row r="149" spans="1:6" s="59" customFormat="1" x14ac:dyDescent="0.2">
      <c r="A149" s="22"/>
      <c r="B149" s="52"/>
      <c r="C149" s="52"/>
      <c r="D149" s="52"/>
      <c r="E149" s="52"/>
      <c r="F149" s="52"/>
    </row>
    <row r="150" spans="1:6" s="59" customFormat="1" x14ac:dyDescent="0.2">
      <c r="A150" s="22"/>
      <c r="B150" s="52"/>
      <c r="C150" s="52"/>
      <c r="D150" s="52"/>
      <c r="E150" s="52"/>
      <c r="F150" s="52"/>
    </row>
    <row r="151" spans="1:6" s="59" customFormat="1" x14ac:dyDescent="0.2">
      <c r="A151" s="22"/>
      <c r="B151" s="52"/>
      <c r="C151" s="52"/>
      <c r="D151" s="52"/>
      <c r="E151" s="52"/>
      <c r="F151" s="52"/>
    </row>
    <row r="152" spans="1:6" s="59" customFormat="1" x14ac:dyDescent="0.2">
      <c r="A152" s="22"/>
      <c r="B152" s="52"/>
      <c r="C152" s="52"/>
      <c r="D152" s="52"/>
      <c r="E152" s="52"/>
      <c r="F152" s="52"/>
    </row>
    <row r="153" spans="1:6" s="59" customFormat="1" x14ac:dyDescent="0.2">
      <c r="A153" s="22"/>
      <c r="B153" s="52"/>
      <c r="C153" s="52"/>
      <c r="D153" s="52"/>
      <c r="E153" s="52"/>
      <c r="F153" s="52"/>
    </row>
    <row r="154" spans="1:6" s="59" customFormat="1" x14ac:dyDescent="0.2">
      <c r="A154" s="22"/>
      <c r="B154" s="52"/>
      <c r="C154" s="52"/>
      <c r="D154" s="52"/>
      <c r="E154" s="52"/>
      <c r="F154" s="52"/>
    </row>
    <row r="155" spans="1:6" s="59" customFormat="1" x14ac:dyDescent="0.2">
      <c r="A155" s="22"/>
      <c r="B155" s="52"/>
      <c r="C155" s="52"/>
      <c r="D155" s="52"/>
      <c r="E155" s="52"/>
      <c r="F155" s="52"/>
    </row>
    <row r="156" spans="1:6" s="59" customFormat="1" x14ac:dyDescent="0.2">
      <c r="A156" s="22"/>
      <c r="B156" s="52"/>
      <c r="C156" s="52"/>
      <c r="D156" s="52"/>
      <c r="E156" s="52"/>
      <c r="F156" s="52"/>
    </row>
    <row r="157" spans="1:6" s="59" customFormat="1" x14ac:dyDescent="0.2">
      <c r="A157" s="22"/>
      <c r="B157" s="52"/>
      <c r="C157" s="52"/>
      <c r="D157" s="52"/>
      <c r="E157" s="52"/>
      <c r="F157" s="52"/>
    </row>
    <row r="158" spans="1:6" s="59" customFormat="1" x14ac:dyDescent="0.2">
      <c r="A158" s="22"/>
      <c r="B158" s="52"/>
      <c r="C158" s="52"/>
      <c r="D158" s="52"/>
      <c r="E158" s="52"/>
      <c r="F158" s="52"/>
    </row>
    <row r="159" spans="1:6" s="59" customFormat="1" x14ac:dyDescent="0.2">
      <c r="A159" s="22"/>
      <c r="B159" s="52"/>
      <c r="C159" s="52"/>
      <c r="D159" s="52"/>
      <c r="E159" s="52"/>
      <c r="F159" s="52"/>
    </row>
    <row r="160" spans="1:6" s="59" customFormat="1" x14ac:dyDescent="0.2">
      <c r="A160" s="22"/>
      <c r="B160" s="52"/>
      <c r="C160" s="52"/>
      <c r="D160" s="52"/>
      <c r="E160" s="52"/>
      <c r="F160" s="52"/>
    </row>
    <row r="161" spans="1:6" s="59" customFormat="1" x14ac:dyDescent="0.2">
      <c r="A161" s="22"/>
      <c r="B161" s="52"/>
      <c r="C161" s="52"/>
      <c r="D161" s="52"/>
      <c r="E161" s="52"/>
      <c r="F161" s="52"/>
    </row>
    <row r="162" spans="1:6" s="59" customFormat="1" x14ac:dyDescent="0.2">
      <c r="A162" s="22"/>
      <c r="B162" s="52"/>
      <c r="C162" s="52"/>
      <c r="D162" s="52"/>
      <c r="E162" s="52"/>
      <c r="F162" s="52"/>
    </row>
    <row r="163" spans="1:6" s="59" customFormat="1" x14ac:dyDescent="0.2">
      <c r="A163" s="22"/>
      <c r="B163" s="52"/>
      <c r="C163" s="52"/>
      <c r="D163" s="52"/>
      <c r="E163" s="52"/>
      <c r="F163" s="52"/>
    </row>
    <row r="164" spans="1:6" s="59" customFormat="1" x14ac:dyDescent="0.2">
      <c r="A164" s="22"/>
      <c r="B164" s="52"/>
      <c r="C164" s="52"/>
      <c r="D164" s="52"/>
      <c r="E164" s="52"/>
      <c r="F164" s="52"/>
    </row>
    <row r="165" spans="1:6" s="59" customFormat="1" x14ac:dyDescent="0.2">
      <c r="A165" s="22"/>
      <c r="B165" s="52"/>
      <c r="C165" s="52"/>
      <c r="D165" s="52"/>
      <c r="E165" s="52"/>
      <c r="F165" s="52"/>
    </row>
    <row r="166" spans="1:6" s="59" customFormat="1" x14ac:dyDescent="0.2">
      <c r="A166" s="22"/>
      <c r="B166" s="52"/>
      <c r="C166" s="52"/>
      <c r="D166" s="52"/>
      <c r="E166" s="52"/>
      <c r="F166" s="52"/>
    </row>
    <row r="167" spans="1:6" s="59" customFormat="1" x14ac:dyDescent="0.2">
      <c r="A167" s="22"/>
      <c r="B167" s="52"/>
      <c r="C167" s="52"/>
      <c r="D167" s="52"/>
      <c r="E167" s="52"/>
      <c r="F167" s="52"/>
    </row>
    <row r="168" spans="1:6" s="59" customFormat="1" x14ac:dyDescent="0.2">
      <c r="A168" s="22"/>
      <c r="B168" s="52"/>
      <c r="C168" s="52"/>
      <c r="D168" s="52"/>
      <c r="E168" s="52"/>
      <c r="F168" s="52"/>
    </row>
    <row r="169" spans="1:6" s="59" customFormat="1" x14ac:dyDescent="0.2">
      <c r="A169" s="22"/>
      <c r="B169" s="52"/>
      <c r="C169" s="52"/>
      <c r="D169" s="52"/>
      <c r="E169" s="52"/>
      <c r="F169" s="52"/>
    </row>
    <row r="170" spans="1:6" s="59" customFormat="1" x14ac:dyDescent="0.2">
      <c r="A170" s="22"/>
      <c r="B170" s="52"/>
      <c r="C170" s="52"/>
      <c r="D170" s="52"/>
      <c r="E170" s="52"/>
      <c r="F170" s="52"/>
    </row>
    <row r="171" spans="1:6" s="59" customFormat="1" x14ac:dyDescent="0.2">
      <c r="A171" s="22"/>
      <c r="B171" s="52"/>
      <c r="C171" s="52"/>
      <c r="D171" s="52"/>
      <c r="E171" s="52"/>
      <c r="F171" s="52"/>
    </row>
    <row r="172" spans="1:6" s="59" customFormat="1" x14ac:dyDescent="0.2">
      <c r="A172" s="22"/>
      <c r="B172" s="52"/>
      <c r="C172" s="52"/>
      <c r="D172" s="52"/>
      <c r="E172" s="52"/>
      <c r="F172" s="52"/>
    </row>
    <row r="173" spans="1:6" s="59" customFormat="1" x14ac:dyDescent="0.2">
      <c r="A173" s="22"/>
      <c r="B173" s="52"/>
      <c r="C173" s="52"/>
      <c r="D173" s="52"/>
      <c r="E173" s="52"/>
      <c r="F173" s="52"/>
    </row>
    <row r="174" spans="1:6" s="59" customFormat="1" x14ac:dyDescent="0.2">
      <c r="A174" s="22"/>
      <c r="B174" s="52"/>
      <c r="C174" s="52"/>
      <c r="D174" s="52"/>
      <c r="E174" s="52"/>
      <c r="F174" s="52"/>
    </row>
    <row r="175" spans="1:6" s="59" customFormat="1" x14ac:dyDescent="0.2">
      <c r="A175" s="22"/>
      <c r="B175" s="52"/>
      <c r="C175" s="52"/>
      <c r="D175" s="52"/>
      <c r="E175" s="52"/>
      <c r="F175" s="52"/>
    </row>
    <row r="176" spans="1:6" s="59" customFormat="1" x14ac:dyDescent="0.2">
      <c r="A176" s="22"/>
      <c r="B176" s="52"/>
      <c r="C176" s="52"/>
      <c r="D176" s="52"/>
      <c r="E176" s="52"/>
      <c r="F176" s="52"/>
    </row>
    <row r="177" spans="1:6" s="59" customFormat="1" x14ac:dyDescent="0.2">
      <c r="A177" s="22"/>
      <c r="B177" s="52"/>
      <c r="C177" s="52"/>
      <c r="D177" s="52"/>
      <c r="E177" s="52"/>
      <c r="F177" s="52"/>
    </row>
    <row r="178" spans="1:6" s="59" customFormat="1" x14ac:dyDescent="0.2">
      <c r="A178" s="22"/>
      <c r="B178" s="52"/>
      <c r="C178" s="52"/>
      <c r="D178" s="52"/>
      <c r="E178" s="52"/>
      <c r="F178" s="52"/>
    </row>
    <row r="179" spans="1:6" s="59" customFormat="1" x14ac:dyDescent="0.2">
      <c r="A179" s="22"/>
      <c r="B179" s="52"/>
      <c r="C179" s="52"/>
      <c r="D179" s="52"/>
      <c r="E179" s="52"/>
      <c r="F179" s="52"/>
    </row>
    <row r="180" spans="1:6" s="59" customFormat="1" x14ac:dyDescent="0.2">
      <c r="A180" s="22"/>
      <c r="B180" s="52"/>
      <c r="C180" s="52"/>
      <c r="D180" s="52"/>
      <c r="E180" s="52"/>
      <c r="F180" s="52"/>
    </row>
    <row r="181" spans="1:6" s="59" customFormat="1" x14ac:dyDescent="0.2">
      <c r="A181" s="22"/>
      <c r="B181" s="52"/>
      <c r="C181" s="52"/>
      <c r="D181" s="52"/>
      <c r="E181" s="52"/>
      <c r="F181" s="52"/>
    </row>
    <row r="182" spans="1:6" s="59" customFormat="1" x14ac:dyDescent="0.2">
      <c r="A182" s="22"/>
      <c r="B182" s="52"/>
      <c r="C182" s="52"/>
      <c r="D182" s="52"/>
      <c r="E182" s="52"/>
      <c r="F182" s="52"/>
    </row>
    <row r="183" spans="1:6" s="59" customFormat="1" x14ac:dyDescent="0.2">
      <c r="A183" s="22"/>
      <c r="B183" s="52"/>
      <c r="C183" s="52"/>
      <c r="D183" s="52"/>
      <c r="E183" s="52"/>
      <c r="F183" s="52"/>
    </row>
    <row r="184" spans="1:6" s="59" customFormat="1" x14ac:dyDescent="0.2">
      <c r="A184" s="22"/>
      <c r="B184" s="52"/>
      <c r="C184" s="52"/>
      <c r="D184" s="52"/>
      <c r="E184" s="52"/>
      <c r="F184" s="52"/>
    </row>
    <row r="185" spans="1:6" s="59" customFormat="1" x14ac:dyDescent="0.2">
      <c r="A185" s="22"/>
      <c r="B185" s="52"/>
      <c r="C185" s="52"/>
      <c r="D185" s="52"/>
      <c r="E185" s="52"/>
      <c r="F185" s="52"/>
    </row>
    <row r="186" spans="1:6" s="59" customFormat="1" x14ac:dyDescent="0.2">
      <c r="A186" s="22"/>
      <c r="B186" s="52"/>
      <c r="C186" s="52"/>
      <c r="D186" s="52"/>
      <c r="E186" s="52"/>
      <c r="F186" s="52"/>
    </row>
    <row r="187" spans="1:6" s="59" customFormat="1" x14ac:dyDescent="0.2">
      <c r="A187" s="22"/>
      <c r="B187" s="52"/>
      <c r="C187" s="52"/>
      <c r="D187" s="52"/>
      <c r="E187" s="52"/>
      <c r="F187" s="52"/>
    </row>
    <row r="188" spans="1:6" s="59" customFormat="1" x14ac:dyDescent="0.2">
      <c r="A188" s="22"/>
      <c r="B188" s="52"/>
      <c r="C188" s="52"/>
      <c r="D188" s="52"/>
      <c r="E188" s="52"/>
      <c r="F188" s="52"/>
    </row>
    <row r="189" spans="1:6" s="59" customFormat="1" x14ac:dyDescent="0.2">
      <c r="A189" s="22"/>
      <c r="B189" s="52"/>
      <c r="C189" s="52"/>
      <c r="D189" s="52"/>
      <c r="E189" s="52"/>
      <c r="F189" s="52"/>
    </row>
    <row r="190" spans="1:6" s="59" customFormat="1" x14ac:dyDescent="0.2">
      <c r="A190" s="22"/>
      <c r="B190" s="52"/>
      <c r="C190" s="52"/>
      <c r="D190" s="52"/>
      <c r="E190" s="52"/>
      <c r="F190" s="52"/>
    </row>
    <row r="191" spans="1:6" s="59" customFormat="1" x14ac:dyDescent="0.2">
      <c r="A191" s="22"/>
      <c r="B191" s="52"/>
      <c r="C191" s="52"/>
      <c r="D191" s="52"/>
      <c r="E191" s="52"/>
      <c r="F191" s="52"/>
    </row>
    <row r="192" spans="1:6" s="59" customFormat="1" x14ac:dyDescent="0.2">
      <c r="A192" s="22"/>
      <c r="B192" s="52"/>
      <c r="C192" s="52"/>
      <c r="D192" s="52"/>
      <c r="E192" s="52"/>
      <c r="F192" s="52"/>
    </row>
    <row r="193" spans="1:6" s="59" customFormat="1" x14ac:dyDescent="0.2">
      <c r="A193" s="22"/>
      <c r="B193" s="52"/>
      <c r="C193" s="52"/>
      <c r="D193" s="52"/>
      <c r="E193" s="52"/>
      <c r="F193" s="52"/>
    </row>
    <row r="194" spans="1:6" s="59" customFormat="1" x14ac:dyDescent="0.2">
      <c r="A194" s="22"/>
      <c r="B194" s="52"/>
      <c r="C194" s="52"/>
      <c r="D194" s="52"/>
      <c r="E194" s="52"/>
      <c r="F194" s="52"/>
    </row>
    <row r="195" spans="1:6" s="59" customFormat="1" x14ac:dyDescent="0.2">
      <c r="A195" s="22"/>
      <c r="B195" s="52"/>
      <c r="C195" s="52"/>
      <c r="D195" s="52"/>
      <c r="E195" s="52"/>
      <c r="F195" s="52"/>
    </row>
    <row r="196" spans="1:6" s="59" customFormat="1" x14ac:dyDescent="0.2">
      <c r="A196" s="22"/>
      <c r="B196" s="52"/>
      <c r="C196" s="52"/>
      <c r="D196" s="52"/>
      <c r="E196" s="52"/>
      <c r="F196" s="52"/>
    </row>
    <row r="197" spans="1:6" s="59" customFormat="1" x14ac:dyDescent="0.2">
      <c r="A197" s="22"/>
      <c r="B197" s="52"/>
      <c r="C197" s="52"/>
      <c r="D197" s="52"/>
      <c r="E197" s="52"/>
      <c r="F197" s="52"/>
    </row>
    <row r="198" spans="1:6" s="59" customFormat="1" x14ac:dyDescent="0.2">
      <c r="A198" s="22"/>
      <c r="B198" s="52"/>
      <c r="C198" s="52"/>
      <c r="D198" s="52"/>
      <c r="E198" s="52"/>
      <c r="F198" s="52"/>
    </row>
    <row r="199" spans="1:6" s="59" customFormat="1" x14ac:dyDescent="0.2">
      <c r="A199" s="22"/>
      <c r="B199" s="52"/>
      <c r="C199" s="52"/>
      <c r="D199" s="52"/>
      <c r="E199" s="52"/>
      <c r="F199" s="52"/>
    </row>
    <row r="200" spans="1:6" s="59" customFormat="1" x14ac:dyDescent="0.2">
      <c r="A200" s="22"/>
      <c r="B200" s="52"/>
      <c r="C200" s="52"/>
      <c r="D200" s="52"/>
      <c r="E200" s="52"/>
      <c r="F200" s="52"/>
    </row>
    <row r="201" spans="1:6" s="59" customFormat="1" x14ac:dyDescent="0.2">
      <c r="A201" s="22"/>
      <c r="B201" s="52"/>
      <c r="C201" s="52"/>
      <c r="D201" s="52"/>
      <c r="E201" s="52"/>
      <c r="F201" s="52"/>
    </row>
    <row r="202" spans="1:6" s="59" customFormat="1" x14ac:dyDescent="0.2">
      <c r="A202" s="22"/>
      <c r="B202" s="52"/>
      <c r="C202" s="52"/>
      <c r="D202" s="52"/>
      <c r="E202" s="52"/>
      <c r="F202" s="52"/>
    </row>
    <row r="203" spans="1:6" s="59" customFormat="1" x14ac:dyDescent="0.2">
      <c r="A203" s="22"/>
      <c r="B203" s="52"/>
      <c r="C203" s="52"/>
      <c r="D203" s="52"/>
      <c r="E203" s="52"/>
      <c r="F203" s="52"/>
    </row>
    <row r="204" spans="1:6" s="59" customFormat="1" x14ac:dyDescent="0.2">
      <c r="A204" s="22"/>
      <c r="B204" s="52"/>
      <c r="C204" s="52"/>
      <c r="D204" s="52"/>
      <c r="E204" s="52"/>
      <c r="F204" s="52"/>
    </row>
    <row r="205" spans="1:6" s="59" customFormat="1" x14ac:dyDescent="0.2">
      <c r="A205" s="22"/>
      <c r="B205" s="52"/>
      <c r="C205" s="52"/>
      <c r="D205" s="52"/>
      <c r="E205" s="52"/>
      <c r="F205" s="52"/>
    </row>
    <row r="206" spans="1:6" s="59" customFormat="1" x14ac:dyDescent="0.2">
      <c r="A206" s="22"/>
      <c r="B206" s="52"/>
      <c r="C206" s="52"/>
      <c r="D206" s="52"/>
      <c r="E206" s="52"/>
      <c r="F206" s="52"/>
    </row>
    <row r="207" spans="1:6" s="59" customFormat="1" x14ac:dyDescent="0.2">
      <c r="A207" s="22"/>
      <c r="B207" s="52"/>
      <c r="C207" s="52"/>
      <c r="D207" s="52"/>
      <c r="E207" s="52"/>
      <c r="F207" s="52"/>
    </row>
    <row r="208" spans="1:6" s="59" customFormat="1" x14ac:dyDescent="0.2">
      <c r="A208" s="22"/>
      <c r="B208" s="52"/>
      <c r="C208" s="52"/>
      <c r="D208" s="52"/>
      <c r="E208" s="52"/>
      <c r="F208" s="52"/>
    </row>
    <row r="209" spans="1:6" s="59" customFormat="1" x14ac:dyDescent="0.2">
      <c r="A209" s="22"/>
      <c r="B209" s="52"/>
      <c r="C209" s="52"/>
      <c r="D209" s="52"/>
      <c r="E209" s="52"/>
      <c r="F209" s="52"/>
    </row>
    <row r="210" spans="1:6" s="59" customFormat="1" x14ac:dyDescent="0.2">
      <c r="A210" s="22"/>
      <c r="B210" s="52"/>
      <c r="C210" s="52"/>
      <c r="D210" s="52"/>
      <c r="E210" s="52"/>
      <c r="F210" s="52"/>
    </row>
    <row r="211" spans="1:6" s="59" customFormat="1" x14ac:dyDescent="0.2">
      <c r="A211" s="22"/>
      <c r="B211" s="52"/>
      <c r="C211" s="52"/>
      <c r="D211" s="52"/>
      <c r="E211" s="52"/>
      <c r="F211" s="52"/>
    </row>
    <row r="212" spans="1:6" s="59" customFormat="1" x14ac:dyDescent="0.2">
      <c r="A212" s="22"/>
      <c r="B212" s="52"/>
      <c r="C212" s="52"/>
      <c r="D212" s="52"/>
      <c r="E212" s="52"/>
      <c r="F212" s="52"/>
    </row>
    <row r="213" spans="1:6" s="59" customFormat="1" x14ac:dyDescent="0.2">
      <c r="A213" s="22"/>
      <c r="B213" s="52"/>
      <c r="C213" s="52"/>
      <c r="D213" s="52"/>
      <c r="E213" s="52"/>
      <c r="F213" s="52"/>
    </row>
    <row r="214" spans="1:6" s="59" customFormat="1" x14ac:dyDescent="0.2">
      <c r="A214" s="22"/>
      <c r="B214" s="52"/>
      <c r="C214" s="52"/>
      <c r="D214" s="52"/>
      <c r="E214" s="52"/>
      <c r="F214" s="52"/>
    </row>
    <row r="215" spans="1:6" s="59" customFormat="1" x14ac:dyDescent="0.2">
      <c r="A215" s="22"/>
      <c r="B215" s="52"/>
      <c r="C215" s="52"/>
      <c r="D215" s="52"/>
      <c r="E215" s="52"/>
      <c r="F215" s="52"/>
    </row>
    <row r="216" spans="1:6" s="59" customFormat="1" x14ac:dyDescent="0.2">
      <c r="A216" s="22"/>
      <c r="B216" s="52"/>
      <c r="C216" s="52"/>
      <c r="D216" s="52"/>
      <c r="E216" s="52"/>
      <c r="F216" s="52"/>
    </row>
    <row r="217" spans="1:6" s="59" customFormat="1" x14ac:dyDescent="0.2">
      <c r="A217" s="22"/>
      <c r="B217" s="52"/>
      <c r="C217" s="52"/>
      <c r="D217" s="52"/>
      <c r="E217" s="52"/>
      <c r="F217" s="52"/>
    </row>
    <row r="218" spans="1:6" s="59" customFormat="1" x14ac:dyDescent="0.2">
      <c r="A218" s="22"/>
      <c r="B218" s="52"/>
      <c r="C218" s="52"/>
      <c r="D218" s="52"/>
      <c r="E218" s="52"/>
      <c r="F218" s="52"/>
    </row>
    <row r="219" spans="1:6" s="59" customFormat="1" x14ac:dyDescent="0.2">
      <c r="A219" s="22"/>
      <c r="B219" s="52"/>
      <c r="C219" s="52"/>
      <c r="D219" s="52"/>
      <c r="E219" s="52"/>
      <c r="F219" s="52"/>
    </row>
    <row r="220" spans="1:6" s="59" customFormat="1" x14ac:dyDescent="0.2">
      <c r="A220" s="22"/>
      <c r="B220" s="52"/>
      <c r="C220" s="52"/>
      <c r="D220" s="52"/>
      <c r="E220" s="52"/>
      <c r="F220" s="52"/>
    </row>
    <row r="221" spans="1:6" s="59" customFormat="1" x14ac:dyDescent="0.2">
      <c r="A221" s="22"/>
      <c r="B221" s="52"/>
      <c r="C221" s="52"/>
      <c r="D221" s="52"/>
      <c r="E221" s="52"/>
      <c r="F221" s="52"/>
    </row>
    <row r="222" spans="1:6" s="59" customFormat="1" x14ac:dyDescent="0.2">
      <c r="A222" s="22"/>
      <c r="B222" s="52"/>
      <c r="C222" s="52"/>
      <c r="D222" s="52"/>
      <c r="E222" s="52"/>
      <c r="F222" s="52"/>
    </row>
    <row r="223" spans="1:6" s="59" customFormat="1" x14ac:dyDescent="0.2">
      <c r="A223" s="22"/>
      <c r="B223" s="52"/>
      <c r="C223" s="52"/>
      <c r="D223" s="52"/>
      <c r="E223" s="52"/>
      <c r="F223" s="52"/>
    </row>
    <row r="224" spans="1:6" s="59" customFormat="1" x14ac:dyDescent="0.2">
      <c r="A224" s="22"/>
      <c r="B224" s="52"/>
      <c r="C224" s="52"/>
      <c r="D224" s="52"/>
      <c r="E224" s="52"/>
      <c r="F224" s="52"/>
    </row>
    <row r="225" spans="1:6" s="59" customFormat="1" x14ac:dyDescent="0.2">
      <c r="A225" s="22"/>
      <c r="B225" s="52"/>
      <c r="C225" s="52"/>
      <c r="D225" s="52"/>
      <c r="E225" s="52"/>
      <c r="F225" s="52"/>
    </row>
    <row r="226" spans="1:6" s="59" customFormat="1" x14ac:dyDescent="0.2">
      <c r="A226" s="22"/>
      <c r="B226" s="52"/>
      <c r="C226" s="52"/>
      <c r="D226" s="52"/>
      <c r="E226" s="52"/>
      <c r="F226" s="52"/>
    </row>
    <row r="227" spans="1:6" s="59" customFormat="1" x14ac:dyDescent="0.2">
      <c r="A227" s="22"/>
      <c r="B227" s="52"/>
      <c r="C227" s="52"/>
      <c r="D227" s="52"/>
      <c r="E227" s="52"/>
      <c r="F227" s="52"/>
    </row>
    <row r="228" spans="1:6" s="59" customFormat="1" x14ac:dyDescent="0.2">
      <c r="A228" s="22"/>
      <c r="B228" s="52"/>
      <c r="C228" s="52"/>
      <c r="D228" s="52"/>
      <c r="E228" s="52"/>
      <c r="F228" s="52"/>
    </row>
    <row r="229" spans="1:6" s="59" customFormat="1" x14ac:dyDescent="0.2">
      <c r="A229" s="22"/>
      <c r="B229" s="52"/>
      <c r="C229" s="52"/>
      <c r="D229" s="52"/>
      <c r="E229" s="52"/>
      <c r="F229" s="52"/>
    </row>
    <row r="230" spans="1:6" s="59" customFormat="1" x14ac:dyDescent="0.2">
      <c r="A230" s="22"/>
      <c r="B230" s="52"/>
      <c r="C230" s="52"/>
      <c r="D230" s="52"/>
      <c r="E230" s="52"/>
      <c r="F230" s="52"/>
    </row>
    <row r="231" spans="1:6" s="59" customFormat="1" x14ac:dyDescent="0.2">
      <c r="A231" s="22"/>
      <c r="B231" s="52"/>
      <c r="C231" s="52"/>
      <c r="D231" s="52"/>
      <c r="E231" s="52"/>
      <c r="F231" s="52"/>
    </row>
    <row r="232" spans="1:6" s="59" customFormat="1" x14ac:dyDescent="0.2">
      <c r="A232" s="22"/>
      <c r="B232" s="52"/>
      <c r="C232" s="52"/>
      <c r="D232" s="52"/>
      <c r="E232" s="52"/>
      <c r="F232" s="52"/>
    </row>
    <row r="233" spans="1:6" s="59" customFormat="1" x14ac:dyDescent="0.2">
      <c r="A233" s="22"/>
      <c r="B233" s="52"/>
      <c r="C233" s="52"/>
      <c r="D233" s="52"/>
      <c r="E233" s="52"/>
      <c r="F233" s="52"/>
    </row>
    <row r="234" spans="1:6" s="59" customFormat="1" x14ac:dyDescent="0.2">
      <c r="A234" s="22"/>
      <c r="B234" s="52"/>
      <c r="C234" s="52"/>
      <c r="D234" s="52"/>
      <c r="E234" s="52"/>
      <c r="F234" s="52"/>
    </row>
    <row r="235" spans="1:6" s="59" customFormat="1" x14ac:dyDescent="0.2">
      <c r="A235" s="22"/>
      <c r="B235" s="52"/>
      <c r="C235" s="52"/>
      <c r="D235" s="52"/>
      <c r="E235" s="52"/>
      <c r="F235" s="52"/>
    </row>
    <row r="236" spans="1:6" s="59" customFormat="1" x14ac:dyDescent="0.2">
      <c r="A236" s="22"/>
      <c r="B236" s="52"/>
      <c r="C236" s="52"/>
      <c r="D236" s="52"/>
      <c r="E236" s="52"/>
      <c r="F236" s="52"/>
    </row>
    <row r="237" spans="1:6" s="59" customFormat="1" x14ac:dyDescent="0.2">
      <c r="A237" s="22"/>
      <c r="B237" s="52"/>
      <c r="C237" s="52"/>
      <c r="D237" s="52"/>
      <c r="E237" s="52"/>
      <c r="F237" s="52"/>
    </row>
    <row r="238" spans="1:6" s="59" customFormat="1" x14ac:dyDescent="0.2">
      <c r="A238" s="22"/>
      <c r="B238" s="52"/>
      <c r="C238" s="52"/>
      <c r="D238" s="52"/>
      <c r="E238" s="52"/>
      <c r="F238" s="52"/>
    </row>
    <row r="239" spans="1:6" s="59" customFormat="1" x14ac:dyDescent="0.2">
      <c r="A239" s="22"/>
      <c r="B239" s="52"/>
      <c r="C239" s="52"/>
      <c r="D239" s="52"/>
      <c r="E239" s="52"/>
      <c r="F239" s="52"/>
    </row>
    <row r="240" spans="1:6" s="59" customFormat="1" x14ac:dyDescent="0.2">
      <c r="A240" s="22"/>
      <c r="B240" s="52"/>
      <c r="C240" s="52"/>
      <c r="D240" s="52"/>
      <c r="E240" s="52"/>
      <c r="F240" s="52"/>
    </row>
    <row r="241" spans="1:6" s="59" customFormat="1" x14ac:dyDescent="0.2">
      <c r="A241" s="22"/>
      <c r="B241" s="52"/>
      <c r="C241" s="52"/>
      <c r="D241" s="52"/>
      <c r="E241" s="52"/>
      <c r="F241" s="52"/>
    </row>
    <row r="242" spans="1:6" s="59" customFormat="1" x14ac:dyDescent="0.2">
      <c r="A242" s="22"/>
      <c r="B242" s="52"/>
      <c r="C242" s="52"/>
      <c r="D242" s="52"/>
      <c r="E242" s="52"/>
      <c r="F242" s="52"/>
    </row>
    <row r="243" spans="1:6" s="59" customFormat="1" x14ac:dyDescent="0.2">
      <c r="A243" s="22"/>
      <c r="B243" s="52"/>
      <c r="C243" s="52"/>
      <c r="D243" s="52"/>
      <c r="E243" s="52"/>
      <c r="F243" s="52"/>
    </row>
    <row r="244" spans="1:6" s="59" customFormat="1" x14ac:dyDescent="0.2">
      <c r="A244" s="22"/>
      <c r="B244" s="52"/>
      <c r="C244" s="52"/>
      <c r="D244" s="52"/>
      <c r="E244" s="52"/>
      <c r="F244" s="52"/>
    </row>
    <row r="245" spans="1:6" s="59" customFormat="1" x14ac:dyDescent="0.2">
      <c r="A245" s="22"/>
      <c r="B245" s="52"/>
      <c r="C245" s="52"/>
      <c r="D245" s="52"/>
      <c r="E245" s="52"/>
      <c r="F245" s="52"/>
    </row>
    <row r="246" spans="1:6" s="59" customFormat="1" x14ac:dyDescent="0.2">
      <c r="A246" s="22"/>
      <c r="B246" s="52"/>
      <c r="C246" s="52"/>
      <c r="D246" s="52"/>
      <c r="E246" s="52"/>
      <c r="F246" s="52"/>
    </row>
    <row r="247" spans="1:6" s="59" customFormat="1" x14ac:dyDescent="0.2">
      <c r="A247" s="22"/>
      <c r="B247" s="52"/>
      <c r="C247" s="52"/>
      <c r="D247" s="52"/>
      <c r="E247" s="52"/>
      <c r="F247" s="52"/>
    </row>
    <row r="248" spans="1:6" s="59" customFormat="1" x14ac:dyDescent="0.2">
      <c r="A248" s="22"/>
      <c r="B248" s="52"/>
      <c r="C248" s="52"/>
      <c r="D248" s="52"/>
      <c r="E248" s="52"/>
      <c r="F248" s="52"/>
    </row>
    <row r="249" spans="1:6" s="59" customFormat="1" x14ac:dyDescent="0.2">
      <c r="A249" s="22"/>
      <c r="B249" s="52"/>
      <c r="C249" s="52"/>
      <c r="D249" s="52"/>
      <c r="E249" s="52"/>
      <c r="F249" s="52"/>
    </row>
    <row r="250" spans="1:6" s="59" customFormat="1" x14ac:dyDescent="0.2">
      <c r="A250" s="22"/>
      <c r="B250" s="52"/>
      <c r="C250" s="52"/>
      <c r="D250" s="52"/>
      <c r="E250" s="52"/>
      <c r="F250" s="52"/>
    </row>
    <row r="251" spans="1:6" s="59" customFormat="1" x14ac:dyDescent="0.2">
      <c r="A251" s="22"/>
      <c r="B251" s="52"/>
      <c r="C251" s="52"/>
      <c r="D251" s="52"/>
      <c r="E251" s="52"/>
      <c r="F251" s="52"/>
    </row>
    <row r="252" spans="1:6" s="59" customFormat="1" x14ac:dyDescent="0.2">
      <c r="A252" s="22"/>
      <c r="B252" s="52"/>
      <c r="C252" s="52"/>
      <c r="D252" s="52"/>
      <c r="E252" s="52"/>
      <c r="F252" s="52"/>
    </row>
    <row r="253" spans="1:6" s="59" customFormat="1" x14ac:dyDescent="0.2">
      <c r="A253" s="22"/>
      <c r="B253" s="52"/>
      <c r="C253" s="52"/>
      <c r="D253" s="52"/>
      <c r="E253" s="52"/>
      <c r="F253" s="52"/>
    </row>
    <row r="254" spans="1:6" s="59" customFormat="1" x14ac:dyDescent="0.2">
      <c r="A254" s="22"/>
      <c r="B254" s="52"/>
      <c r="C254" s="52"/>
      <c r="D254" s="52"/>
      <c r="E254" s="52"/>
      <c r="F254" s="52"/>
    </row>
    <row r="255" spans="1:6" s="59" customFormat="1" x14ac:dyDescent="0.2">
      <c r="A255" s="22"/>
      <c r="B255" s="52"/>
      <c r="C255" s="52"/>
      <c r="D255" s="52"/>
      <c r="E255" s="52"/>
      <c r="F255" s="52"/>
    </row>
    <row r="256" spans="1:6" s="59" customFormat="1" x14ac:dyDescent="0.2">
      <c r="A256" s="22"/>
      <c r="B256" s="52"/>
      <c r="C256" s="52"/>
      <c r="D256" s="52"/>
      <c r="E256" s="52"/>
      <c r="F256" s="52"/>
    </row>
    <row r="257" spans="1:6" s="59" customFormat="1" x14ac:dyDescent="0.2">
      <c r="A257" s="22"/>
      <c r="B257" s="52"/>
      <c r="C257" s="52"/>
      <c r="D257" s="52"/>
      <c r="E257" s="52"/>
      <c r="F257" s="52"/>
    </row>
    <row r="258" spans="1:6" s="59" customFormat="1" x14ac:dyDescent="0.2">
      <c r="A258" s="22"/>
      <c r="B258" s="52"/>
      <c r="C258" s="52"/>
      <c r="D258" s="52"/>
      <c r="E258" s="52"/>
      <c r="F258" s="52"/>
    </row>
    <row r="259" spans="1:6" s="59" customFormat="1" x14ac:dyDescent="0.2">
      <c r="A259" s="22"/>
      <c r="B259" s="52"/>
      <c r="C259" s="52"/>
      <c r="D259" s="52"/>
      <c r="E259" s="52"/>
      <c r="F259" s="52"/>
    </row>
    <row r="260" spans="1:6" s="59" customFormat="1" x14ac:dyDescent="0.2">
      <c r="A260" s="22"/>
      <c r="B260" s="52"/>
      <c r="C260" s="52"/>
      <c r="D260" s="52"/>
      <c r="E260" s="52"/>
      <c r="F260" s="52"/>
    </row>
    <row r="261" spans="1:6" s="59" customFormat="1" x14ac:dyDescent="0.2">
      <c r="A261" s="22"/>
      <c r="B261" s="52"/>
      <c r="C261" s="52"/>
      <c r="D261" s="52"/>
      <c r="E261" s="52"/>
      <c r="F261" s="52"/>
    </row>
    <row r="262" spans="1:6" s="59" customFormat="1" x14ac:dyDescent="0.2">
      <c r="A262" s="22"/>
      <c r="B262" s="52"/>
      <c r="C262" s="52"/>
      <c r="D262" s="52"/>
      <c r="E262" s="52"/>
      <c r="F262" s="52"/>
    </row>
    <row r="263" spans="1:6" s="59" customFormat="1" x14ac:dyDescent="0.2">
      <c r="A263" s="22"/>
      <c r="B263" s="52"/>
      <c r="C263" s="52"/>
      <c r="D263" s="52"/>
      <c r="E263" s="52"/>
      <c r="F263" s="52"/>
    </row>
    <row r="264" spans="1:6" s="59" customFormat="1" x14ac:dyDescent="0.2">
      <c r="A264" s="22"/>
      <c r="B264" s="52"/>
      <c r="C264" s="52"/>
      <c r="D264" s="52"/>
      <c r="E264" s="52"/>
      <c r="F264" s="52"/>
    </row>
    <row r="265" spans="1:6" s="59" customFormat="1" x14ac:dyDescent="0.2">
      <c r="A265" s="22"/>
      <c r="B265" s="52"/>
      <c r="C265" s="52"/>
      <c r="D265" s="52"/>
      <c r="E265" s="52"/>
      <c r="F265" s="52"/>
    </row>
    <row r="266" spans="1:6" s="59" customFormat="1" x14ac:dyDescent="0.2">
      <c r="A266" s="22"/>
      <c r="B266" s="52"/>
      <c r="C266" s="52"/>
      <c r="D266" s="52"/>
      <c r="E266" s="52"/>
      <c r="F266" s="52"/>
    </row>
    <row r="267" spans="1:6" s="59" customFormat="1" x14ac:dyDescent="0.2">
      <c r="A267" s="22"/>
      <c r="B267" s="52"/>
      <c r="C267" s="52"/>
      <c r="D267" s="52"/>
      <c r="E267" s="52"/>
      <c r="F267" s="52"/>
    </row>
    <row r="268" spans="1:6" s="59" customFormat="1" x14ac:dyDescent="0.2">
      <c r="A268" s="22"/>
      <c r="B268" s="52"/>
      <c r="C268" s="52"/>
      <c r="D268" s="52"/>
      <c r="E268" s="52"/>
      <c r="F268" s="52"/>
    </row>
    <row r="269" spans="1:6" s="59" customFormat="1" x14ac:dyDescent="0.2">
      <c r="A269" s="22"/>
      <c r="B269" s="52"/>
      <c r="C269" s="52"/>
      <c r="D269" s="52"/>
      <c r="E269" s="52"/>
      <c r="F269" s="52"/>
    </row>
    <row r="270" spans="1:6" s="59" customFormat="1" x14ac:dyDescent="0.2">
      <c r="A270" s="22"/>
      <c r="B270" s="52"/>
      <c r="C270" s="52"/>
      <c r="D270" s="52"/>
      <c r="E270" s="52"/>
      <c r="F270" s="52"/>
    </row>
    <row r="271" spans="1:6" s="59" customFormat="1" x14ac:dyDescent="0.2">
      <c r="A271" s="22"/>
      <c r="B271" s="52"/>
      <c r="C271" s="52"/>
      <c r="D271" s="52"/>
      <c r="E271" s="52"/>
      <c r="F271" s="52"/>
    </row>
    <row r="272" spans="1:6" s="59" customFormat="1" x14ac:dyDescent="0.2">
      <c r="A272" s="22"/>
      <c r="B272" s="52"/>
      <c r="C272" s="52"/>
      <c r="D272" s="52"/>
      <c r="E272" s="52"/>
      <c r="F272" s="52"/>
    </row>
    <row r="273" spans="1:6" s="59" customFormat="1" x14ac:dyDescent="0.2">
      <c r="A273" s="22"/>
      <c r="B273" s="52"/>
      <c r="C273" s="52"/>
      <c r="D273" s="52"/>
      <c r="E273" s="52"/>
      <c r="F273" s="52"/>
    </row>
    <row r="274" spans="1:6" s="59" customFormat="1" x14ac:dyDescent="0.2">
      <c r="A274" s="22"/>
      <c r="B274" s="52"/>
      <c r="C274" s="52"/>
      <c r="D274" s="52"/>
      <c r="E274" s="52"/>
      <c r="F274" s="52"/>
    </row>
    <row r="275" spans="1:6" s="59" customFormat="1" x14ac:dyDescent="0.2">
      <c r="A275" s="22"/>
      <c r="B275" s="52"/>
      <c r="C275" s="52"/>
      <c r="D275" s="52"/>
      <c r="E275" s="52"/>
      <c r="F275" s="52"/>
    </row>
    <row r="276" spans="1:6" s="59" customFormat="1" x14ac:dyDescent="0.2">
      <c r="A276" s="22"/>
      <c r="B276" s="52"/>
      <c r="C276" s="52"/>
      <c r="D276" s="52"/>
      <c r="E276" s="52"/>
      <c r="F276" s="52"/>
    </row>
    <row r="277" spans="1:6" s="59" customFormat="1" x14ac:dyDescent="0.2">
      <c r="A277" s="22"/>
      <c r="B277" s="52"/>
      <c r="C277" s="52"/>
      <c r="D277" s="52"/>
      <c r="E277" s="52"/>
      <c r="F277" s="52"/>
    </row>
    <row r="278" spans="1:6" s="59" customFormat="1" x14ac:dyDescent="0.2">
      <c r="A278" s="22"/>
      <c r="B278" s="52"/>
      <c r="C278" s="52"/>
      <c r="D278" s="52"/>
      <c r="E278" s="52"/>
      <c r="F278" s="52"/>
    </row>
    <row r="279" spans="1:6" s="59" customFormat="1" x14ac:dyDescent="0.2">
      <c r="A279" s="22"/>
      <c r="B279" s="52"/>
      <c r="C279" s="52"/>
      <c r="D279" s="52"/>
      <c r="E279" s="52"/>
      <c r="F279" s="52"/>
    </row>
    <row r="280" spans="1:6" s="59" customFormat="1" x14ac:dyDescent="0.2">
      <c r="A280" s="22"/>
      <c r="B280" s="52"/>
      <c r="C280" s="52"/>
      <c r="D280" s="52"/>
      <c r="E280" s="52"/>
      <c r="F280" s="52"/>
    </row>
    <row r="281" spans="1:6" s="59" customFormat="1" x14ac:dyDescent="0.2">
      <c r="A281" s="22"/>
      <c r="B281" s="52"/>
      <c r="C281" s="52"/>
      <c r="D281" s="52"/>
      <c r="E281" s="52"/>
      <c r="F281" s="52"/>
    </row>
    <row r="282" spans="1:6" s="59" customFormat="1" x14ac:dyDescent="0.2">
      <c r="A282" s="22"/>
      <c r="B282" s="52"/>
      <c r="C282" s="52"/>
      <c r="D282" s="52"/>
      <c r="E282" s="52"/>
      <c r="F282" s="52"/>
    </row>
    <row r="283" spans="1:6" s="59" customFormat="1" x14ac:dyDescent="0.2">
      <c r="A283" s="22"/>
      <c r="B283" s="52"/>
      <c r="C283" s="52"/>
      <c r="D283" s="52"/>
      <c r="E283" s="52"/>
      <c r="F283" s="52"/>
    </row>
    <row r="284" spans="1:6" s="59" customFormat="1" x14ac:dyDescent="0.2">
      <c r="A284" s="22"/>
      <c r="B284" s="52"/>
      <c r="C284" s="52"/>
      <c r="D284" s="52"/>
      <c r="E284" s="52"/>
      <c r="F284" s="52"/>
    </row>
    <row r="285" spans="1:6" s="59" customFormat="1" x14ac:dyDescent="0.2">
      <c r="A285" s="22"/>
      <c r="B285" s="52"/>
      <c r="C285" s="52"/>
      <c r="D285" s="52"/>
      <c r="E285" s="52"/>
      <c r="F285" s="52"/>
    </row>
    <row r="286" spans="1:6" s="59" customFormat="1" x14ac:dyDescent="0.2">
      <c r="A286" s="22"/>
      <c r="B286" s="52"/>
      <c r="C286" s="52"/>
      <c r="D286" s="52"/>
      <c r="E286" s="52"/>
      <c r="F286" s="52"/>
    </row>
    <row r="287" spans="1:6" s="59" customFormat="1" x14ac:dyDescent="0.2">
      <c r="A287" s="22"/>
      <c r="B287" s="52"/>
      <c r="C287" s="52"/>
      <c r="D287" s="52"/>
      <c r="E287" s="52"/>
      <c r="F287" s="52"/>
    </row>
    <row r="288" spans="1:6" s="59" customFormat="1" x14ac:dyDescent="0.2">
      <c r="A288" s="22"/>
      <c r="B288" s="52"/>
      <c r="C288" s="52"/>
      <c r="D288" s="52"/>
      <c r="E288" s="52"/>
      <c r="F288" s="52"/>
    </row>
    <row r="289" spans="1:6" s="59" customFormat="1" x14ac:dyDescent="0.2">
      <c r="A289" s="22"/>
      <c r="B289" s="52"/>
      <c r="C289" s="52"/>
      <c r="D289" s="52"/>
      <c r="E289" s="52"/>
      <c r="F289" s="52"/>
    </row>
    <row r="290" spans="1:6" s="59" customFormat="1" x14ac:dyDescent="0.2">
      <c r="A290" s="22"/>
      <c r="B290" s="52"/>
      <c r="C290" s="52"/>
      <c r="D290" s="52"/>
      <c r="E290" s="52"/>
      <c r="F290" s="52"/>
    </row>
    <row r="291" spans="1:6" s="59" customFormat="1" x14ac:dyDescent="0.2">
      <c r="A291" s="22"/>
      <c r="B291" s="52"/>
      <c r="C291" s="52"/>
      <c r="D291" s="52"/>
      <c r="E291" s="52"/>
      <c r="F291" s="52"/>
    </row>
    <row r="292" spans="1:6" s="59" customFormat="1" x14ac:dyDescent="0.2">
      <c r="A292" s="22"/>
      <c r="B292" s="52"/>
      <c r="C292" s="52"/>
      <c r="D292" s="52"/>
      <c r="E292" s="52"/>
      <c r="F292" s="52"/>
    </row>
    <row r="293" spans="1:6" s="59" customFormat="1" x14ac:dyDescent="0.2">
      <c r="A293" s="22"/>
      <c r="B293" s="52"/>
      <c r="C293" s="52"/>
      <c r="D293" s="52"/>
      <c r="E293" s="52"/>
      <c r="F293" s="52"/>
    </row>
    <row r="294" spans="1:6" s="59" customFormat="1" x14ac:dyDescent="0.2">
      <c r="A294" s="22"/>
      <c r="B294" s="52"/>
      <c r="C294" s="52"/>
      <c r="D294" s="52"/>
      <c r="E294" s="52"/>
      <c r="F294" s="52"/>
    </row>
    <row r="295" spans="1:6" s="59" customFormat="1" x14ac:dyDescent="0.2">
      <c r="A295" s="22"/>
      <c r="B295" s="52"/>
      <c r="C295" s="52"/>
      <c r="D295" s="52"/>
      <c r="E295" s="52"/>
      <c r="F295" s="52"/>
    </row>
    <row r="296" spans="1:6" s="59" customFormat="1" x14ac:dyDescent="0.2">
      <c r="A296" s="22"/>
      <c r="B296" s="52"/>
      <c r="C296" s="52"/>
      <c r="D296" s="52"/>
      <c r="E296" s="52"/>
      <c r="F296" s="52"/>
    </row>
    <row r="297" spans="1:6" s="59" customFormat="1" x14ac:dyDescent="0.2">
      <c r="A297" s="22"/>
      <c r="B297" s="52"/>
      <c r="C297" s="52"/>
      <c r="D297" s="52"/>
      <c r="E297" s="52"/>
      <c r="F297" s="52"/>
    </row>
    <row r="298" spans="1:6" s="59" customFormat="1" x14ac:dyDescent="0.2">
      <c r="A298" s="22"/>
      <c r="B298" s="52"/>
      <c r="C298" s="52"/>
      <c r="D298" s="52"/>
      <c r="E298" s="52"/>
      <c r="F298" s="52"/>
    </row>
    <row r="299" spans="1:6" s="59" customFormat="1" x14ac:dyDescent="0.2">
      <c r="A299" s="22"/>
      <c r="B299" s="52"/>
      <c r="C299" s="52"/>
      <c r="D299" s="52"/>
      <c r="E299" s="52"/>
      <c r="F299" s="52"/>
    </row>
    <row r="300" spans="1:6" s="59" customFormat="1" x14ac:dyDescent="0.2">
      <c r="A300" s="22"/>
      <c r="B300" s="52"/>
      <c r="C300" s="52"/>
      <c r="D300" s="52"/>
      <c r="E300" s="52"/>
      <c r="F300" s="52"/>
    </row>
    <row r="301" spans="1:6" s="59" customFormat="1" x14ac:dyDescent="0.2">
      <c r="A301" s="22"/>
      <c r="B301" s="52"/>
      <c r="C301" s="52"/>
      <c r="D301" s="52"/>
      <c r="E301" s="52"/>
      <c r="F301" s="52"/>
    </row>
    <row r="302" spans="1:6" s="59" customFormat="1" x14ac:dyDescent="0.2">
      <c r="A302" s="22"/>
      <c r="B302" s="52"/>
      <c r="C302" s="52"/>
      <c r="D302" s="52"/>
      <c r="E302" s="52"/>
      <c r="F302" s="52"/>
    </row>
    <row r="303" spans="1:6" s="59" customFormat="1" x14ac:dyDescent="0.2">
      <c r="A303" s="22"/>
      <c r="B303" s="52"/>
      <c r="C303" s="52"/>
      <c r="D303" s="52"/>
      <c r="E303" s="52"/>
      <c r="F303" s="52"/>
    </row>
    <row r="304" spans="1:6" s="59" customFormat="1" x14ac:dyDescent="0.2">
      <c r="A304" s="22"/>
      <c r="B304" s="52"/>
      <c r="C304" s="52"/>
      <c r="D304" s="52"/>
      <c r="E304" s="52"/>
      <c r="F304" s="52"/>
    </row>
    <row r="305" spans="1:6" s="59" customFormat="1" x14ac:dyDescent="0.2">
      <c r="A305" s="22"/>
      <c r="B305" s="52"/>
      <c r="C305" s="52"/>
      <c r="D305" s="52"/>
      <c r="E305" s="52"/>
      <c r="F305" s="52"/>
    </row>
    <row r="306" spans="1:6" s="59" customFormat="1" x14ac:dyDescent="0.2">
      <c r="A306" s="22"/>
      <c r="B306" s="52"/>
      <c r="C306" s="52"/>
      <c r="D306" s="52"/>
      <c r="E306" s="52"/>
      <c r="F306" s="52"/>
    </row>
    <row r="307" spans="1:6" s="59" customFormat="1" x14ac:dyDescent="0.2">
      <c r="A307" s="22"/>
      <c r="B307" s="52"/>
      <c r="C307" s="52"/>
      <c r="D307" s="52"/>
      <c r="E307" s="52"/>
      <c r="F307" s="52"/>
    </row>
    <row r="308" spans="1:6" s="59" customFormat="1" x14ac:dyDescent="0.2">
      <c r="A308" s="22"/>
      <c r="B308" s="52"/>
      <c r="C308" s="52"/>
      <c r="D308" s="52"/>
      <c r="E308" s="52"/>
      <c r="F308" s="52"/>
    </row>
    <row r="309" spans="1:6" s="59" customFormat="1" x14ac:dyDescent="0.2">
      <c r="A309" s="22"/>
      <c r="B309" s="52"/>
      <c r="C309" s="52"/>
      <c r="D309" s="52"/>
      <c r="E309" s="52"/>
      <c r="F309" s="52"/>
    </row>
    <row r="310" spans="1:6" s="59" customFormat="1" x14ac:dyDescent="0.2">
      <c r="A310" s="22"/>
      <c r="B310" s="52"/>
      <c r="C310" s="52"/>
      <c r="D310" s="52"/>
      <c r="E310" s="52"/>
      <c r="F310" s="52"/>
    </row>
    <row r="311" spans="1:6" s="59" customFormat="1" x14ac:dyDescent="0.2">
      <c r="A311" s="22"/>
      <c r="B311" s="52"/>
      <c r="C311" s="52"/>
      <c r="D311" s="52"/>
      <c r="E311" s="52"/>
      <c r="F311" s="52"/>
    </row>
    <row r="312" spans="1:6" s="59" customFormat="1" x14ac:dyDescent="0.2">
      <c r="A312" s="22"/>
      <c r="B312" s="52"/>
      <c r="C312" s="52"/>
      <c r="D312" s="52"/>
      <c r="E312" s="52"/>
      <c r="F312" s="52"/>
    </row>
    <row r="313" spans="1:6" s="59" customFormat="1" x14ac:dyDescent="0.2">
      <c r="A313" s="22"/>
      <c r="B313" s="52"/>
      <c r="C313" s="52"/>
      <c r="D313" s="52"/>
      <c r="E313" s="52"/>
      <c r="F313" s="52"/>
    </row>
    <row r="314" spans="1:6" s="59" customFormat="1" x14ac:dyDescent="0.2">
      <c r="A314" s="22"/>
      <c r="B314" s="52"/>
      <c r="C314" s="52"/>
      <c r="D314" s="52"/>
      <c r="E314" s="52"/>
      <c r="F314" s="52"/>
    </row>
    <row r="315" spans="1:6" s="59" customFormat="1" x14ac:dyDescent="0.2">
      <c r="A315" s="22"/>
      <c r="B315" s="52"/>
      <c r="C315" s="52"/>
      <c r="D315" s="52"/>
      <c r="E315" s="52"/>
      <c r="F315" s="52"/>
    </row>
    <row r="316" spans="1:6" s="59" customFormat="1" x14ac:dyDescent="0.2">
      <c r="A316" s="22"/>
      <c r="B316" s="52"/>
      <c r="C316" s="52"/>
      <c r="D316" s="52"/>
      <c r="E316" s="52"/>
      <c r="F316" s="52"/>
    </row>
    <row r="317" spans="1:6" s="59" customFormat="1" x14ac:dyDescent="0.2">
      <c r="A317" s="22"/>
      <c r="B317" s="52"/>
      <c r="C317" s="52"/>
      <c r="D317" s="52"/>
      <c r="E317" s="52"/>
      <c r="F317" s="52"/>
    </row>
    <row r="318" spans="1:6" s="59" customFormat="1" x14ac:dyDescent="0.2">
      <c r="A318" s="22"/>
      <c r="B318" s="52"/>
      <c r="C318" s="52"/>
      <c r="D318" s="52"/>
      <c r="E318" s="52"/>
      <c r="F318" s="52"/>
    </row>
    <row r="319" spans="1:6" s="59" customFormat="1" x14ac:dyDescent="0.2">
      <c r="A319" s="22"/>
      <c r="B319" s="52"/>
      <c r="C319" s="52"/>
      <c r="D319" s="52"/>
      <c r="E319" s="52"/>
      <c r="F319" s="52"/>
    </row>
    <row r="320" spans="1:6" s="59" customFormat="1" x14ac:dyDescent="0.2">
      <c r="A320" s="22"/>
      <c r="B320" s="52"/>
      <c r="C320" s="52"/>
      <c r="D320" s="52"/>
      <c r="E320" s="52"/>
      <c r="F320" s="52"/>
    </row>
    <row r="321" spans="1:6" s="59" customFormat="1" x14ac:dyDescent="0.2">
      <c r="A321" s="22"/>
      <c r="B321" s="52"/>
      <c r="C321" s="52"/>
      <c r="D321" s="52"/>
      <c r="E321" s="52"/>
      <c r="F321" s="52"/>
    </row>
    <row r="322" spans="1:6" s="59" customFormat="1" x14ac:dyDescent="0.2">
      <c r="A322" s="22"/>
      <c r="B322" s="52"/>
      <c r="C322" s="52"/>
      <c r="D322" s="52"/>
      <c r="E322" s="52"/>
      <c r="F322" s="52"/>
    </row>
    <row r="323" spans="1:6" s="59" customFormat="1" x14ac:dyDescent="0.2">
      <c r="A323" s="22"/>
      <c r="B323" s="52"/>
      <c r="C323" s="52"/>
      <c r="D323" s="52"/>
      <c r="E323" s="52"/>
      <c r="F323" s="52"/>
    </row>
    <row r="324" spans="1:6" s="59" customFormat="1" x14ac:dyDescent="0.2">
      <c r="A324" s="22"/>
      <c r="B324" s="52"/>
      <c r="C324" s="52"/>
      <c r="D324" s="52"/>
      <c r="E324" s="52"/>
      <c r="F324" s="52"/>
    </row>
    <row r="325" spans="1:6" s="59" customFormat="1" x14ac:dyDescent="0.2">
      <c r="A325" s="22"/>
      <c r="B325" s="52"/>
      <c r="C325" s="52"/>
      <c r="D325" s="52"/>
      <c r="E325" s="52"/>
      <c r="F325" s="52"/>
    </row>
    <row r="326" spans="1:6" s="59" customFormat="1" x14ac:dyDescent="0.2">
      <c r="A326" s="22"/>
      <c r="B326" s="52"/>
      <c r="C326" s="52"/>
      <c r="D326" s="52"/>
      <c r="E326" s="52"/>
      <c r="F326" s="52"/>
    </row>
    <row r="327" spans="1:6" s="59" customFormat="1" x14ac:dyDescent="0.2">
      <c r="A327" s="22"/>
      <c r="B327" s="52"/>
      <c r="C327" s="52"/>
      <c r="D327" s="52"/>
      <c r="E327" s="52"/>
      <c r="F327" s="52"/>
    </row>
    <row r="328" spans="1:6" s="59" customFormat="1" x14ac:dyDescent="0.2">
      <c r="A328" s="22"/>
      <c r="B328" s="52"/>
      <c r="C328" s="52"/>
      <c r="D328" s="52"/>
      <c r="E328" s="52"/>
      <c r="F328" s="52"/>
    </row>
    <row r="329" spans="1:6" s="59" customFormat="1" x14ac:dyDescent="0.2">
      <c r="A329" s="22"/>
      <c r="B329" s="52"/>
      <c r="C329" s="52"/>
      <c r="D329" s="52"/>
      <c r="E329" s="52"/>
      <c r="F329" s="52"/>
    </row>
    <row r="330" spans="1:6" s="59" customFormat="1" x14ac:dyDescent="0.2">
      <c r="A330" s="22"/>
      <c r="B330" s="52"/>
      <c r="C330" s="52"/>
      <c r="D330" s="52"/>
      <c r="E330" s="52"/>
      <c r="F330" s="52"/>
    </row>
    <row r="331" spans="1:6" s="59" customFormat="1" x14ac:dyDescent="0.2">
      <c r="A331" s="22"/>
      <c r="B331" s="52"/>
      <c r="C331" s="52"/>
      <c r="D331" s="52"/>
      <c r="E331" s="52"/>
      <c r="F331" s="52"/>
    </row>
    <row r="332" spans="1:6" s="59" customFormat="1" x14ac:dyDescent="0.2">
      <c r="A332" s="22"/>
      <c r="B332" s="52"/>
      <c r="C332" s="52"/>
      <c r="D332" s="52"/>
      <c r="E332" s="52"/>
      <c r="F332" s="52"/>
    </row>
    <row r="333" spans="1:6" s="59" customFormat="1" x14ac:dyDescent="0.2">
      <c r="A333" s="22"/>
      <c r="B333" s="52"/>
      <c r="C333" s="52"/>
      <c r="D333" s="52"/>
      <c r="E333" s="52"/>
      <c r="F333" s="52"/>
    </row>
    <row r="334" spans="1:6" s="59" customFormat="1" x14ac:dyDescent="0.2">
      <c r="A334" s="22"/>
      <c r="B334" s="52"/>
      <c r="C334" s="52"/>
      <c r="D334" s="52"/>
      <c r="E334" s="52"/>
      <c r="F334" s="52"/>
    </row>
    <row r="335" spans="1:6" s="59" customFormat="1" x14ac:dyDescent="0.2">
      <c r="A335" s="22"/>
      <c r="B335" s="52"/>
      <c r="C335" s="52"/>
      <c r="D335" s="52"/>
      <c r="E335" s="52"/>
      <c r="F335" s="52"/>
    </row>
    <row r="336" spans="1:6" s="59" customFormat="1" x14ac:dyDescent="0.2">
      <c r="A336" s="22"/>
      <c r="B336" s="52"/>
      <c r="C336" s="52"/>
      <c r="D336" s="52"/>
      <c r="E336" s="52"/>
      <c r="F336" s="52"/>
    </row>
    <row r="337" spans="1:6" s="59" customFormat="1" x14ac:dyDescent="0.2">
      <c r="A337" s="22"/>
      <c r="B337" s="52"/>
      <c r="C337" s="52"/>
      <c r="D337" s="52"/>
      <c r="E337" s="52"/>
      <c r="F337" s="52"/>
    </row>
    <row r="338" spans="1:6" s="59" customFormat="1" x14ac:dyDescent="0.2">
      <c r="A338" s="22"/>
      <c r="B338" s="52"/>
      <c r="C338" s="52"/>
      <c r="D338" s="52"/>
      <c r="E338" s="52"/>
      <c r="F338" s="52"/>
    </row>
    <row r="339" spans="1:6" s="59" customFormat="1" x14ac:dyDescent="0.2">
      <c r="A339" s="22"/>
      <c r="B339" s="52"/>
      <c r="C339" s="52"/>
      <c r="D339" s="52"/>
      <c r="E339" s="52"/>
      <c r="F339" s="52"/>
    </row>
    <row r="340" spans="1:6" s="59" customFormat="1" x14ac:dyDescent="0.2">
      <c r="A340" s="22"/>
      <c r="B340" s="52"/>
      <c r="C340" s="52"/>
      <c r="D340" s="52"/>
      <c r="E340" s="52"/>
      <c r="F340" s="52"/>
    </row>
    <row r="341" spans="1:6" s="59" customFormat="1" x14ac:dyDescent="0.2">
      <c r="A341" s="22"/>
      <c r="B341" s="52"/>
      <c r="C341" s="52"/>
      <c r="D341" s="52"/>
      <c r="E341" s="52"/>
      <c r="F341" s="52"/>
    </row>
    <row r="342" spans="1:6" s="59" customFormat="1" x14ac:dyDescent="0.2">
      <c r="A342" s="22"/>
      <c r="B342" s="52"/>
      <c r="C342" s="52"/>
      <c r="D342" s="52"/>
      <c r="E342" s="52"/>
      <c r="F342" s="52"/>
    </row>
    <row r="343" spans="1:6" s="59" customFormat="1" x14ac:dyDescent="0.2">
      <c r="A343" s="22"/>
      <c r="B343" s="52"/>
      <c r="C343" s="52"/>
      <c r="D343" s="52"/>
      <c r="E343" s="52"/>
      <c r="F343" s="52"/>
    </row>
    <row r="344" spans="1:6" s="59" customFormat="1" x14ac:dyDescent="0.2">
      <c r="A344" s="22"/>
      <c r="B344" s="52"/>
      <c r="C344" s="52"/>
      <c r="D344" s="52"/>
      <c r="E344" s="52"/>
      <c r="F344" s="52"/>
    </row>
    <row r="345" spans="1:6" s="59" customFormat="1" x14ac:dyDescent="0.2">
      <c r="A345" s="22"/>
      <c r="B345" s="52"/>
      <c r="C345" s="52"/>
      <c r="D345" s="52"/>
      <c r="E345" s="52"/>
      <c r="F345" s="52"/>
    </row>
    <row r="346" spans="1:6" s="59" customFormat="1" x14ac:dyDescent="0.2">
      <c r="A346" s="22"/>
      <c r="B346" s="52"/>
      <c r="C346" s="52"/>
      <c r="D346" s="52"/>
      <c r="E346" s="52"/>
      <c r="F346" s="52"/>
    </row>
    <row r="347" spans="1:6" s="59" customFormat="1" x14ac:dyDescent="0.2">
      <c r="A347" s="22"/>
      <c r="B347" s="52"/>
      <c r="C347" s="52"/>
      <c r="D347" s="52"/>
      <c r="E347" s="52"/>
      <c r="F347" s="52"/>
    </row>
    <row r="348" spans="1:6" s="59" customFormat="1" x14ac:dyDescent="0.2">
      <c r="A348" s="22"/>
      <c r="B348" s="52"/>
      <c r="C348" s="52"/>
      <c r="D348" s="52"/>
      <c r="E348" s="52"/>
      <c r="F348" s="52"/>
    </row>
    <row r="349" spans="1:6" s="59" customFormat="1" x14ac:dyDescent="0.2">
      <c r="A349" s="22"/>
      <c r="B349" s="52"/>
      <c r="C349" s="52"/>
      <c r="D349" s="52"/>
      <c r="E349" s="52"/>
      <c r="F349" s="52"/>
    </row>
    <row r="350" spans="1:6" s="59" customFormat="1" x14ac:dyDescent="0.2">
      <c r="A350" s="22"/>
      <c r="B350" s="52"/>
      <c r="C350" s="52"/>
      <c r="D350" s="52"/>
      <c r="E350" s="52"/>
      <c r="F350" s="52"/>
    </row>
    <row r="351" spans="1:6" s="59" customFormat="1" x14ac:dyDescent="0.2">
      <c r="A351" s="22"/>
      <c r="B351" s="52"/>
      <c r="C351" s="52"/>
      <c r="D351" s="52"/>
      <c r="E351" s="52"/>
      <c r="F351" s="52"/>
    </row>
    <row r="352" spans="1:6" s="59" customFormat="1" x14ac:dyDescent="0.2">
      <c r="A352" s="22"/>
      <c r="B352" s="52"/>
      <c r="C352" s="52"/>
      <c r="D352" s="52"/>
      <c r="E352" s="52"/>
      <c r="F352" s="52"/>
    </row>
    <row r="353" spans="1:6" s="59" customFormat="1" x14ac:dyDescent="0.2">
      <c r="A353" s="22"/>
      <c r="B353" s="52"/>
      <c r="C353" s="52"/>
      <c r="D353" s="52"/>
      <c r="E353" s="52"/>
      <c r="F353" s="52"/>
    </row>
    <row r="354" spans="1:6" s="59" customFormat="1" x14ac:dyDescent="0.2">
      <c r="A354" s="22"/>
      <c r="B354" s="52"/>
      <c r="C354" s="52"/>
      <c r="D354" s="52"/>
      <c r="E354" s="52"/>
      <c r="F354" s="52"/>
    </row>
    <row r="355" spans="1:6" s="59" customFormat="1" x14ac:dyDescent="0.2">
      <c r="A355" s="22"/>
      <c r="B355" s="52"/>
      <c r="C355" s="52"/>
      <c r="D355" s="52"/>
      <c r="E355" s="52"/>
      <c r="F355" s="52"/>
    </row>
    <row r="356" spans="1:6" s="59" customFormat="1" x14ac:dyDescent="0.2">
      <c r="A356" s="22"/>
      <c r="B356" s="52"/>
      <c r="C356" s="52"/>
      <c r="D356" s="52"/>
      <c r="E356" s="52"/>
      <c r="F356" s="52"/>
    </row>
    <row r="357" spans="1:6" s="59" customFormat="1" x14ac:dyDescent="0.2">
      <c r="A357" s="22"/>
      <c r="B357" s="52"/>
      <c r="C357" s="52"/>
      <c r="D357" s="52"/>
      <c r="E357" s="52"/>
      <c r="F357" s="52"/>
    </row>
    <row r="358" spans="1:6" s="59" customFormat="1" x14ac:dyDescent="0.2">
      <c r="A358" s="22"/>
      <c r="B358" s="52"/>
      <c r="C358" s="52"/>
      <c r="D358" s="52"/>
      <c r="E358" s="52"/>
      <c r="F358" s="52"/>
    </row>
    <row r="359" spans="1:6" s="59" customFormat="1" x14ac:dyDescent="0.2">
      <c r="A359" s="22"/>
      <c r="B359" s="52"/>
      <c r="C359" s="52"/>
      <c r="D359" s="52"/>
      <c r="E359" s="52"/>
      <c r="F359" s="52"/>
    </row>
    <row r="360" spans="1:6" s="59" customFormat="1" x14ac:dyDescent="0.2">
      <c r="A360" s="22"/>
      <c r="B360" s="52"/>
      <c r="C360" s="52"/>
      <c r="D360" s="52"/>
      <c r="E360" s="52"/>
      <c r="F360" s="52"/>
    </row>
    <row r="361" spans="1:6" s="59" customFormat="1" x14ac:dyDescent="0.2">
      <c r="A361" s="22"/>
      <c r="B361" s="52"/>
      <c r="C361" s="52"/>
      <c r="D361" s="52"/>
      <c r="E361" s="52"/>
      <c r="F361" s="52"/>
    </row>
    <row r="362" spans="1:6" s="59" customFormat="1" x14ac:dyDescent="0.2">
      <c r="A362" s="22"/>
      <c r="B362" s="52"/>
      <c r="C362" s="52"/>
      <c r="D362" s="52"/>
      <c r="E362" s="52"/>
      <c r="F362" s="52"/>
    </row>
    <row r="363" spans="1:6" s="59" customFormat="1" x14ac:dyDescent="0.2">
      <c r="A363" s="22"/>
      <c r="B363" s="52"/>
      <c r="C363" s="52"/>
      <c r="D363" s="52"/>
      <c r="E363" s="52"/>
      <c r="F363" s="52"/>
    </row>
    <row r="364" spans="1:6" s="59" customFormat="1" x14ac:dyDescent="0.2">
      <c r="A364" s="22"/>
      <c r="B364" s="52"/>
      <c r="C364" s="52"/>
      <c r="D364" s="52"/>
      <c r="E364" s="52"/>
      <c r="F364" s="52"/>
    </row>
    <row r="365" spans="1:6" s="59" customFormat="1" x14ac:dyDescent="0.2">
      <c r="A365" s="22"/>
      <c r="B365" s="52"/>
      <c r="C365" s="52"/>
      <c r="D365" s="52"/>
      <c r="E365" s="52"/>
      <c r="F365" s="52"/>
    </row>
    <row r="366" spans="1:6" s="59" customFormat="1" x14ac:dyDescent="0.2">
      <c r="A366" s="22"/>
      <c r="B366" s="52"/>
      <c r="C366" s="52"/>
      <c r="D366" s="52"/>
      <c r="E366" s="52"/>
      <c r="F366" s="52"/>
    </row>
    <row r="367" spans="1:6" s="59" customFormat="1" x14ac:dyDescent="0.2">
      <c r="A367" s="22"/>
      <c r="B367" s="52"/>
      <c r="C367" s="52"/>
      <c r="D367" s="52"/>
      <c r="E367" s="52"/>
      <c r="F367" s="52"/>
    </row>
    <row r="368" spans="1:6" s="59" customFormat="1" x14ac:dyDescent="0.2">
      <c r="A368" s="22"/>
      <c r="B368" s="52"/>
      <c r="C368" s="52"/>
      <c r="D368" s="52"/>
      <c r="E368" s="52"/>
      <c r="F368" s="52"/>
    </row>
    <row r="369" spans="1:6" s="59" customFormat="1" x14ac:dyDescent="0.2">
      <c r="A369" s="22"/>
      <c r="B369" s="52"/>
      <c r="C369" s="52"/>
      <c r="D369" s="52"/>
      <c r="E369" s="52"/>
      <c r="F369" s="52"/>
    </row>
    <row r="370" spans="1:6" s="59" customFormat="1" x14ac:dyDescent="0.2">
      <c r="A370" s="22"/>
      <c r="B370" s="52"/>
      <c r="C370" s="52"/>
      <c r="D370" s="52"/>
      <c r="E370" s="52"/>
      <c r="F370" s="52"/>
    </row>
    <row r="371" spans="1:6" s="59" customFormat="1" x14ac:dyDescent="0.2">
      <c r="A371" s="22"/>
      <c r="B371" s="52"/>
      <c r="C371" s="52"/>
      <c r="D371" s="52"/>
      <c r="E371" s="52"/>
      <c r="F371" s="52"/>
    </row>
    <row r="372" spans="1:6" s="59" customFormat="1" x14ac:dyDescent="0.2">
      <c r="A372" s="22"/>
      <c r="B372" s="52"/>
      <c r="C372" s="52"/>
      <c r="D372" s="52"/>
      <c r="E372" s="52"/>
      <c r="F372" s="52"/>
    </row>
    <row r="373" spans="1:6" s="59" customFormat="1" x14ac:dyDescent="0.2">
      <c r="A373" s="22"/>
      <c r="B373" s="52"/>
      <c r="C373" s="52"/>
      <c r="D373" s="52"/>
      <c r="E373" s="52"/>
      <c r="F373" s="52"/>
    </row>
    <row r="374" spans="1:6" s="59" customFormat="1" x14ac:dyDescent="0.2">
      <c r="A374" s="22"/>
      <c r="B374" s="52"/>
      <c r="C374" s="52"/>
      <c r="D374" s="52"/>
      <c r="E374" s="52"/>
      <c r="F374" s="52"/>
    </row>
    <row r="375" spans="1:6" s="59" customFormat="1" x14ac:dyDescent="0.2">
      <c r="A375" s="22"/>
      <c r="B375" s="52"/>
      <c r="C375" s="52"/>
      <c r="D375" s="52"/>
      <c r="E375" s="52"/>
      <c r="F375" s="52"/>
    </row>
    <row r="376" spans="1:6" s="59" customFormat="1" x14ac:dyDescent="0.2">
      <c r="A376" s="22"/>
      <c r="B376" s="52"/>
      <c r="C376" s="52"/>
      <c r="D376" s="52"/>
      <c r="E376" s="52"/>
      <c r="F376" s="52"/>
    </row>
    <row r="377" spans="1:6" s="59" customFormat="1" x14ac:dyDescent="0.2">
      <c r="A377" s="22"/>
      <c r="B377" s="52"/>
      <c r="C377" s="52"/>
      <c r="D377" s="52"/>
      <c r="E377" s="52"/>
      <c r="F377" s="52"/>
    </row>
    <row r="378" spans="1:6" s="59" customFormat="1" x14ac:dyDescent="0.2">
      <c r="A378" s="22"/>
      <c r="B378" s="52"/>
      <c r="C378" s="52"/>
      <c r="D378" s="52"/>
      <c r="E378" s="52"/>
      <c r="F378" s="52"/>
    </row>
    <row r="379" spans="1:6" s="59" customFormat="1" x14ac:dyDescent="0.2">
      <c r="A379" s="22"/>
      <c r="B379" s="52"/>
      <c r="C379" s="52"/>
      <c r="D379" s="52"/>
      <c r="E379" s="52"/>
      <c r="F379" s="52"/>
    </row>
    <row r="380" spans="1:6" s="59" customFormat="1" x14ac:dyDescent="0.2">
      <c r="A380" s="22"/>
      <c r="B380" s="52"/>
      <c r="C380" s="52"/>
      <c r="D380" s="52"/>
      <c r="E380" s="52"/>
      <c r="F380" s="52"/>
    </row>
    <row r="381" spans="1:6" s="59" customFormat="1" x14ac:dyDescent="0.2">
      <c r="A381" s="22"/>
      <c r="B381" s="52"/>
      <c r="C381" s="52"/>
      <c r="D381" s="52"/>
      <c r="E381" s="52"/>
      <c r="F381" s="52"/>
    </row>
    <row r="382" spans="1:6" s="59" customFormat="1" x14ac:dyDescent="0.2">
      <c r="A382" s="22"/>
      <c r="B382" s="52"/>
      <c r="C382" s="52"/>
      <c r="D382" s="52"/>
      <c r="E382" s="52"/>
      <c r="F382" s="52"/>
    </row>
    <row r="383" spans="1:6" s="59" customFormat="1" x14ac:dyDescent="0.2">
      <c r="A383" s="22"/>
      <c r="B383" s="52"/>
      <c r="C383" s="52"/>
      <c r="D383" s="52"/>
      <c r="E383" s="52"/>
      <c r="F383" s="52"/>
    </row>
    <row r="384" spans="1:6" s="59" customFormat="1" x14ac:dyDescent="0.2">
      <c r="A384" s="22"/>
      <c r="B384" s="52"/>
      <c r="C384" s="52"/>
      <c r="D384" s="52"/>
      <c r="E384" s="52"/>
      <c r="F384" s="52"/>
    </row>
    <row r="385" spans="1:6" s="59" customFormat="1" x14ac:dyDescent="0.2">
      <c r="A385" s="22"/>
      <c r="B385" s="52"/>
      <c r="C385" s="52"/>
      <c r="D385" s="52"/>
      <c r="E385" s="52"/>
      <c r="F385" s="52"/>
    </row>
    <row r="386" spans="1:6" s="59" customFormat="1" x14ac:dyDescent="0.2">
      <c r="A386" s="22"/>
      <c r="B386" s="52"/>
      <c r="C386" s="52"/>
      <c r="D386" s="52"/>
      <c r="E386" s="52"/>
      <c r="F386" s="52"/>
    </row>
    <row r="387" spans="1:6" s="59" customFormat="1" x14ac:dyDescent="0.2">
      <c r="A387" s="22"/>
      <c r="B387" s="52"/>
      <c r="C387" s="52"/>
      <c r="D387" s="52"/>
      <c r="E387" s="52"/>
      <c r="F387" s="52"/>
    </row>
    <row r="388" spans="1:6" s="59" customFormat="1" x14ac:dyDescent="0.2">
      <c r="A388" s="22"/>
      <c r="B388" s="52"/>
      <c r="C388" s="52"/>
      <c r="D388" s="52"/>
      <c r="E388" s="52"/>
      <c r="F388" s="52"/>
    </row>
    <row r="389" spans="1:6" s="59" customFormat="1" x14ac:dyDescent="0.2">
      <c r="A389" s="22"/>
      <c r="B389" s="52"/>
      <c r="C389" s="52"/>
      <c r="D389" s="52"/>
      <c r="E389" s="52"/>
      <c r="F389" s="52"/>
    </row>
    <row r="390" spans="1:6" s="59" customFormat="1" x14ac:dyDescent="0.2">
      <c r="A390" s="22"/>
      <c r="B390" s="52"/>
      <c r="C390" s="52"/>
      <c r="D390" s="52"/>
      <c r="E390" s="52"/>
      <c r="F390" s="52"/>
    </row>
    <row r="391" spans="1:6" s="59" customFormat="1" x14ac:dyDescent="0.2">
      <c r="A391" s="22"/>
      <c r="B391" s="52"/>
      <c r="C391" s="52"/>
      <c r="D391" s="52"/>
      <c r="E391" s="52"/>
      <c r="F391" s="52"/>
    </row>
    <row r="392" spans="1:6" s="59" customFormat="1" x14ac:dyDescent="0.2">
      <c r="A392" s="22"/>
      <c r="B392" s="52"/>
      <c r="C392" s="52"/>
      <c r="D392" s="52"/>
      <c r="E392" s="52"/>
      <c r="F392" s="52"/>
    </row>
    <row r="393" spans="1:6" s="59" customFormat="1" x14ac:dyDescent="0.2">
      <c r="A393" s="22"/>
      <c r="B393" s="52"/>
      <c r="C393" s="52"/>
      <c r="D393" s="52"/>
      <c r="E393" s="52"/>
      <c r="F393" s="52"/>
    </row>
    <row r="394" spans="1:6" s="59" customFormat="1" x14ac:dyDescent="0.2">
      <c r="A394" s="22"/>
      <c r="B394" s="52"/>
      <c r="C394" s="52"/>
      <c r="D394" s="52"/>
      <c r="E394" s="52"/>
      <c r="F394" s="52"/>
    </row>
    <row r="395" spans="1:6" s="59" customFormat="1" x14ac:dyDescent="0.2">
      <c r="A395" s="22"/>
      <c r="B395" s="52"/>
      <c r="C395" s="52"/>
      <c r="D395" s="52"/>
      <c r="E395" s="52"/>
      <c r="F395" s="52"/>
    </row>
    <row r="396" spans="1:6" s="59" customFormat="1" x14ac:dyDescent="0.2">
      <c r="A396" s="22"/>
      <c r="B396" s="52"/>
      <c r="C396" s="52"/>
      <c r="D396" s="52"/>
      <c r="E396" s="52"/>
      <c r="F396" s="52"/>
    </row>
    <row r="397" spans="1:6" s="59" customFormat="1" x14ac:dyDescent="0.2">
      <c r="A397" s="22"/>
      <c r="B397" s="52"/>
      <c r="C397" s="52"/>
      <c r="D397" s="52"/>
      <c r="E397" s="52"/>
      <c r="F397" s="52"/>
    </row>
    <row r="398" spans="1:6" s="59" customFormat="1" x14ac:dyDescent="0.2">
      <c r="A398" s="22"/>
      <c r="B398" s="52"/>
      <c r="C398" s="52"/>
      <c r="D398" s="52"/>
      <c r="E398" s="52"/>
      <c r="F398" s="52"/>
    </row>
    <row r="399" spans="1:6" s="59" customFormat="1" x14ac:dyDescent="0.2">
      <c r="A399" s="22"/>
      <c r="B399" s="52"/>
      <c r="C399" s="52"/>
      <c r="D399" s="52"/>
      <c r="E399" s="52"/>
      <c r="F399" s="52"/>
    </row>
    <row r="400" spans="1:6" s="59" customFormat="1" x14ac:dyDescent="0.2">
      <c r="A400" s="22"/>
      <c r="B400" s="52"/>
      <c r="C400" s="52"/>
      <c r="D400" s="52"/>
      <c r="E400" s="52"/>
      <c r="F400" s="52"/>
    </row>
    <row r="401" spans="1:6" s="59" customFormat="1" x14ac:dyDescent="0.2">
      <c r="A401" s="22"/>
      <c r="B401" s="52"/>
      <c r="C401" s="52"/>
      <c r="D401" s="52"/>
      <c r="E401" s="52"/>
      <c r="F401" s="52"/>
    </row>
    <row r="402" spans="1:6" s="59" customFormat="1" x14ac:dyDescent="0.2">
      <c r="A402" s="22"/>
      <c r="B402" s="52"/>
      <c r="C402" s="52"/>
      <c r="D402" s="52"/>
      <c r="E402" s="52"/>
      <c r="F402" s="52"/>
    </row>
    <row r="403" spans="1:6" s="59" customFormat="1" x14ac:dyDescent="0.2">
      <c r="A403" s="22"/>
      <c r="B403" s="52"/>
      <c r="C403" s="52"/>
      <c r="D403" s="52"/>
      <c r="E403" s="52"/>
      <c r="F403" s="52"/>
    </row>
    <row r="404" spans="1:6" s="59" customFormat="1" x14ac:dyDescent="0.2">
      <c r="A404" s="22"/>
      <c r="B404" s="52"/>
      <c r="C404" s="52"/>
      <c r="D404" s="52"/>
      <c r="E404" s="52"/>
      <c r="F404" s="52"/>
    </row>
    <row r="405" spans="1:6" s="59" customFormat="1" x14ac:dyDescent="0.2">
      <c r="A405" s="22"/>
      <c r="B405" s="52"/>
      <c r="C405" s="52"/>
      <c r="D405" s="52"/>
      <c r="E405" s="52"/>
      <c r="F405" s="52"/>
    </row>
    <row r="406" spans="1:6" s="59" customFormat="1" x14ac:dyDescent="0.2">
      <c r="A406" s="22"/>
      <c r="B406" s="52"/>
      <c r="C406" s="52"/>
      <c r="D406" s="52"/>
      <c r="E406" s="52"/>
      <c r="F406" s="52"/>
    </row>
    <row r="407" spans="1:6" s="59" customFormat="1" x14ac:dyDescent="0.2">
      <c r="A407" s="22"/>
      <c r="B407" s="52"/>
      <c r="C407" s="52"/>
      <c r="D407" s="52"/>
      <c r="E407" s="52"/>
      <c r="F407" s="52"/>
    </row>
    <row r="408" spans="1:6" s="59" customFormat="1" x14ac:dyDescent="0.2">
      <c r="A408" s="22"/>
      <c r="B408" s="52"/>
      <c r="C408" s="52"/>
      <c r="D408" s="52"/>
      <c r="E408" s="52"/>
      <c r="F408" s="52"/>
    </row>
    <row r="409" spans="1:6" s="59" customFormat="1" x14ac:dyDescent="0.2">
      <c r="A409" s="22"/>
      <c r="B409" s="52"/>
      <c r="C409" s="52"/>
      <c r="D409" s="52"/>
      <c r="E409" s="52"/>
      <c r="F409" s="52"/>
    </row>
    <row r="410" spans="1:6" s="59" customFormat="1" x14ac:dyDescent="0.2">
      <c r="A410" s="22"/>
      <c r="B410" s="52"/>
      <c r="C410" s="52"/>
      <c r="D410" s="52"/>
      <c r="E410" s="52"/>
      <c r="F410" s="52"/>
    </row>
    <row r="411" spans="1:6" s="59" customFormat="1" x14ac:dyDescent="0.2">
      <c r="A411" s="22"/>
      <c r="B411" s="52"/>
      <c r="C411" s="52"/>
      <c r="D411" s="52"/>
      <c r="E411" s="52"/>
      <c r="F411" s="52"/>
    </row>
    <row r="412" spans="1:6" s="59" customFormat="1" x14ac:dyDescent="0.2">
      <c r="A412" s="22"/>
      <c r="B412" s="52"/>
      <c r="C412" s="52"/>
      <c r="D412" s="52"/>
      <c r="E412" s="52"/>
      <c r="F412" s="52"/>
    </row>
    <row r="413" spans="1:6" s="59" customFormat="1" x14ac:dyDescent="0.2">
      <c r="A413" s="22"/>
      <c r="B413" s="52"/>
      <c r="C413" s="52"/>
      <c r="D413" s="52"/>
      <c r="E413" s="52"/>
      <c r="F413" s="52"/>
    </row>
    <row r="414" spans="1:6" s="59" customFormat="1" x14ac:dyDescent="0.2">
      <c r="A414" s="22"/>
      <c r="B414" s="52"/>
      <c r="C414" s="52"/>
      <c r="D414" s="52"/>
      <c r="E414" s="52"/>
      <c r="F414" s="52"/>
    </row>
    <row r="415" spans="1:6" s="59" customFormat="1" x14ac:dyDescent="0.2">
      <c r="A415" s="22"/>
      <c r="B415" s="52"/>
      <c r="C415" s="52"/>
      <c r="D415" s="52"/>
      <c r="E415" s="52"/>
      <c r="F415" s="52"/>
    </row>
    <row r="416" spans="1:6" s="59" customFormat="1" x14ac:dyDescent="0.2">
      <c r="A416" s="22"/>
      <c r="B416" s="52"/>
      <c r="C416" s="52"/>
      <c r="D416" s="52"/>
      <c r="E416" s="52"/>
      <c r="F416" s="52"/>
    </row>
    <row r="417" spans="1:6" s="59" customFormat="1" x14ac:dyDescent="0.2">
      <c r="A417" s="22"/>
      <c r="B417" s="52"/>
      <c r="C417" s="52"/>
      <c r="D417" s="52"/>
      <c r="E417" s="52"/>
      <c r="F417" s="52"/>
    </row>
    <row r="418" spans="1:6" s="59" customFormat="1" x14ac:dyDescent="0.2">
      <c r="A418" s="22"/>
      <c r="B418" s="52"/>
      <c r="C418" s="52"/>
      <c r="D418" s="52"/>
      <c r="E418" s="52"/>
      <c r="F418" s="52"/>
    </row>
    <row r="419" spans="1:6" s="59" customFormat="1" x14ac:dyDescent="0.2">
      <c r="A419" s="22"/>
      <c r="B419" s="52"/>
      <c r="C419" s="52"/>
      <c r="D419" s="52"/>
      <c r="E419" s="52"/>
      <c r="F419" s="52"/>
    </row>
    <row r="420" spans="1:6" s="59" customFormat="1" x14ac:dyDescent="0.2">
      <c r="A420" s="22"/>
      <c r="B420" s="52"/>
      <c r="C420" s="52"/>
      <c r="D420" s="52"/>
      <c r="E420" s="52"/>
      <c r="F420" s="52"/>
    </row>
    <row r="421" spans="1:6" s="59" customFormat="1" x14ac:dyDescent="0.2">
      <c r="A421" s="22"/>
      <c r="B421" s="52"/>
      <c r="C421" s="52"/>
      <c r="D421" s="52"/>
      <c r="E421" s="52"/>
      <c r="F421" s="52"/>
    </row>
    <row r="422" spans="1:6" s="59" customFormat="1" x14ac:dyDescent="0.2">
      <c r="A422" s="22"/>
      <c r="B422" s="52"/>
      <c r="C422" s="52"/>
      <c r="D422" s="52"/>
      <c r="E422" s="52"/>
      <c r="F422" s="52"/>
    </row>
    <row r="423" spans="1:6" s="59" customFormat="1" x14ac:dyDescent="0.2">
      <c r="A423" s="22"/>
      <c r="B423" s="52"/>
      <c r="C423" s="52"/>
      <c r="D423" s="52"/>
      <c r="E423" s="52"/>
      <c r="F423" s="52"/>
    </row>
    <row r="424" spans="1:6" s="59" customFormat="1" x14ac:dyDescent="0.2">
      <c r="A424" s="22"/>
      <c r="B424" s="52"/>
      <c r="C424" s="52"/>
      <c r="D424" s="52"/>
      <c r="E424" s="52"/>
      <c r="F424" s="52"/>
    </row>
    <row r="425" spans="1:6" s="59" customFormat="1" x14ac:dyDescent="0.2">
      <c r="A425" s="22"/>
      <c r="B425" s="52"/>
      <c r="C425" s="52"/>
      <c r="D425" s="52"/>
      <c r="E425" s="52"/>
      <c r="F425" s="52"/>
    </row>
    <row r="426" spans="1:6" s="59" customFormat="1" x14ac:dyDescent="0.2">
      <c r="A426" s="22"/>
      <c r="B426" s="52"/>
      <c r="C426" s="52"/>
      <c r="D426" s="52"/>
      <c r="E426" s="52"/>
      <c r="F426" s="52"/>
    </row>
    <row r="427" spans="1:6" s="59" customFormat="1" x14ac:dyDescent="0.2">
      <c r="A427" s="22"/>
      <c r="B427" s="52"/>
      <c r="C427" s="52"/>
      <c r="D427" s="52"/>
      <c r="E427" s="52"/>
      <c r="F427" s="52"/>
    </row>
    <row r="428" spans="1:6" s="59" customFormat="1" x14ac:dyDescent="0.2">
      <c r="A428" s="22"/>
      <c r="B428" s="52"/>
      <c r="C428" s="52"/>
      <c r="D428" s="52"/>
      <c r="E428" s="52"/>
      <c r="F428" s="52"/>
    </row>
    <row r="429" spans="1:6" s="59" customFormat="1" x14ac:dyDescent="0.2">
      <c r="A429" s="22"/>
      <c r="B429" s="52"/>
      <c r="C429" s="52"/>
      <c r="D429" s="52"/>
      <c r="E429" s="52"/>
      <c r="F429" s="52"/>
    </row>
    <row r="430" spans="1:6" s="59" customFormat="1" x14ac:dyDescent="0.2">
      <c r="A430" s="22"/>
      <c r="B430" s="52"/>
      <c r="C430" s="52"/>
      <c r="D430" s="52"/>
      <c r="E430" s="52"/>
      <c r="F430" s="52"/>
    </row>
    <row r="431" spans="1:6" s="59" customFormat="1" x14ac:dyDescent="0.2">
      <c r="A431" s="22"/>
      <c r="B431" s="52"/>
      <c r="C431" s="52"/>
      <c r="D431" s="52"/>
      <c r="E431" s="52"/>
      <c r="F431" s="52"/>
    </row>
    <row r="432" spans="1:6" s="59" customFormat="1" x14ac:dyDescent="0.2">
      <c r="A432" s="22"/>
      <c r="B432" s="52"/>
      <c r="C432" s="52"/>
      <c r="D432" s="52"/>
      <c r="E432" s="52"/>
      <c r="F432" s="52"/>
    </row>
    <row r="433" spans="1:6" s="59" customFormat="1" x14ac:dyDescent="0.2">
      <c r="A433" s="22"/>
      <c r="B433" s="52"/>
      <c r="C433" s="52"/>
      <c r="D433" s="52"/>
      <c r="E433" s="52"/>
      <c r="F433" s="52"/>
    </row>
    <row r="434" spans="1:6" s="59" customFormat="1" x14ac:dyDescent="0.2">
      <c r="A434" s="22"/>
      <c r="B434" s="52"/>
      <c r="C434" s="52"/>
      <c r="D434" s="52"/>
      <c r="E434" s="52"/>
      <c r="F434" s="52"/>
    </row>
    <row r="435" spans="1:6" s="59" customFormat="1" x14ac:dyDescent="0.2">
      <c r="A435" s="22"/>
      <c r="B435" s="52"/>
      <c r="C435" s="52"/>
      <c r="D435" s="52"/>
      <c r="E435" s="52"/>
      <c r="F435" s="52"/>
    </row>
    <row r="436" spans="1:6" s="59" customFormat="1" x14ac:dyDescent="0.2">
      <c r="A436" s="22"/>
      <c r="B436" s="52"/>
      <c r="C436" s="52"/>
      <c r="D436" s="52"/>
      <c r="E436" s="52"/>
      <c r="F436" s="52"/>
    </row>
    <row r="437" spans="1:6" s="59" customFormat="1" x14ac:dyDescent="0.2">
      <c r="A437" s="22"/>
      <c r="B437" s="52"/>
      <c r="C437" s="52"/>
      <c r="D437" s="52"/>
      <c r="E437" s="52"/>
      <c r="F437" s="52"/>
    </row>
    <row r="438" spans="1:6" s="59" customFormat="1" x14ac:dyDescent="0.2">
      <c r="A438" s="22"/>
      <c r="B438" s="52"/>
      <c r="C438" s="52"/>
      <c r="D438" s="52"/>
      <c r="E438" s="52"/>
      <c r="F438" s="52"/>
    </row>
    <row r="439" spans="1:6" s="59" customFormat="1" x14ac:dyDescent="0.2">
      <c r="A439" s="22"/>
      <c r="B439" s="52"/>
      <c r="C439" s="52"/>
      <c r="D439" s="52"/>
      <c r="E439" s="52"/>
      <c r="F439" s="52"/>
    </row>
    <row r="440" spans="1:6" s="59" customFormat="1" x14ac:dyDescent="0.2">
      <c r="A440" s="22"/>
      <c r="B440" s="52"/>
      <c r="C440" s="52"/>
      <c r="D440" s="52"/>
      <c r="E440" s="52"/>
      <c r="F440" s="52"/>
    </row>
    <row r="441" spans="1:6" s="59" customFormat="1" x14ac:dyDescent="0.2">
      <c r="A441" s="22"/>
      <c r="B441" s="52"/>
      <c r="C441" s="52"/>
      <c r="D441" s="52"/>
      <c r="E441" s="52"/>
      <c r="F441" s="52"/>
    </row>
    <row r="442" spans="1:6" s="59" customFormat="1" x14ac:dyDescent="0.2">
      <c r="A442" s="22"/>
      <c r="B442" s="52"/>
      <c r="C442" s="52"/>
      <c r="D442" s="52"/>
      <c r="E442" s="52"/>
      <c r="F442" s="52"/>
    </row>
    <row r="443" spans="1:6" s="59" customFormat="1" x14ac:dyDescent="0.2">
      <c r="A443" s="22"/>
      <c r="B443" s="52"/>
      <c r="C443" s="52"/>
      <c r="D443" s="52"/>
      <c r="E443" s="52"/>
      <c r="F443" s="52"/>
    </row>
    <row r="444" spans="1:6" s="59" customFormat="1" x14ac:dyDescent="0.2">
      <c r="A444" s="22"/>
      <c r="B444" s="52"/>
      <c r="C444" s="52"/>
      <c r="D444" s="52"/>
      <c r="E444" s="52"/>
      <c r="F444" s="52"/>
    </row>
    <row r="445" spans="1:6" s="59" customFormat="1" x14ac:dyDescent="0.2">
      <c r="A445" s="22"/>
      <c r="B445" s="52"/>
      <c r="C445" s="52"/>
      <c r="D445" s="52"/>
      <c r="E445" s="52"/>
      <c r="F445" s="52"/>
    </row>
    <row r="446" spans="1:6" s="59" customFormat="1" x14ac:dyDescent="0.2">
      <c r="A446" s="22"/>
      <c r="B446" s="52"/>
      <c r="C446" s="52"/>
      <c r="D446" s="52"/>
      <c r="E446" s="52"/>
      <c r="F446" s="52"/>
    </row>
    <row r="447" spans="1:6" s="59" customFormat="1" x14ac:dyDescent="0.2">
      <c r="A447" s="22"/>
      <c r="B447" s="52"/>
      <c r="C447" s="52"/>
      <c r="D447" s="52"/>
      <c r="E447" s="52"/>
      <c r="F447" s="52"/>
    </row>
    <row r="448" spans="1:6" s="59" customFormat="1" x14ac:dyDescent="0.2">
      <c r="A448" s="22"/>
      <c r="B448" s="52"/>
      <c r="C448" s="52"/>
      <c r="D448" s="52"/>
      <c r="E448" s="52"/>
      <c r="F448" s="52"/>
    </row>
    <row r="449" spans="1:6" s="59" customFormat="1" x14ac:dyDescent="0.2">
      <c r="A449" s="22"/>
      <c r="B449" s="52"/>
      <c r="C449" s="52"/>
      <c r="D449" s="52"/>
      <c r="E449" s="52"/>
      <c r="F449" s="52"/>
    </row>
    <row r="450" spans="1:6" s="59" customFormat="1" x14ac:dyDescent="0.2">
      <c r="A450" s="22"/>
      <c r="B450" s="52"/>
      <c r="C450" s="52"/>
      <c r="D450" s="52"/>
      <c r="E450" s="52"/>
      <c r="F450" s="52"/>
    </row>
    <row r="451" spans="1:6" s="59" customFormat="1" x14ac:dyDescent="0.2">
      <c r="A451" s="22"/>
      <c r="B451" s="52"/>
      <c r="C451" s="52"/>
      <c r="D451" s="52"/>
      <c r="E451" s="52"/>
      <c r="F451" s="52"/>
    </row>
    <row r="452" spans="1:6" s="59" customFormat="1" x14ac:dyDescent="0.2">
      <c r="A452" s="22"/>
      <c r="B452" s="52"/>
      <c r="C452" s="52"/>
      <c r="D452" s="52"/>
      <c r="E452" s="52"/>
      <c r="F452" s="52"/>
    </row>
    <row r="453" spans="1:6" s="59" customFormat="1" x14ac:dyDescent="0.2">
      <c r="A453" s="22"/>
      <c r="B453" s="52"/>
      <c r="C453" s="52"/>
      <c r="D453" s="52"/>
      <c r="E453" s="52"/>
      <c r="F453" s="52"/>
    </row>
    <row r="454" spans="1:6" s="59" customFormat="1" x14ac:dyDescent="0.2">
      <c r="A454" s="22"/>
      <c r="B454" s="52"/>
      <c r="C454" s="52"/>
      <c r="D454" s="52"/>
      <c r="E454" s="52"/>
      <c r="F454" s="52"/>
    </row>
    <row r="455" spans="1:6" s="59" customFormat="1" x14ac:dyDescent="0.2">
      <c r="A455" s="22"/>
      <c r="B455" s="52"/>
      <c r="C455" s="52"/>
      <c r="D455" s="52"/>
      <c r="E455" s="52"/>
      <c r="F455" s="52"/>
    </row>
    <row r="456" spans="1:6" s="59" customFormat="1" x14ac:dyDescent="0.2">
      <c r="A456" s="22"/>
      <c r="B456" s="52"/>
      <c r="C456" s="52"/>
      <c r="D456" s="52"/>
      <c r="E456" s="52"/>
      <c r="F456" s="52"/>
    </row>
    <row r="457" spans="1:6" s="59" customFormat="1" x14ac:dyDescent="0.2">
      <c r="A457" s="22"/>
      <c r="B457" s="52"/>
      <c r="C457" s="52"/>
      <c r="D457" s="52"/>
      <c r="E457" s="52"/>
      <c r="F457" s="52"/>
    </row>
    <row r="458" spans="1:6" s="59" customFormat="1" x14ac:dyDescent="0.2">
      <c r="A458" s="22"/>
      <c r="B458" s="52"/>
      <c r="C458" s="52"/>
      <c r="D458" s="52"/>
      <c r="E458" s="52"/>
      <c r="F458" s="52"/>
    </row>
    <row r="459" spans="1:6" s="59" customFormat="1" x14ac:dyDescent="0.2">
      <c r="A459" s="22"/>
      <c r="B459" s="52"/>
      <c r="C459" s="52"/>
      <c r="D459" s="52"/>
      <c r="E459" s="52"/>
      <c r="F459" s="52"/>
    </row>
    <row r="460" spans="1:6" s="59" customFormat="1" x14ac:dyDescent="0.2">
      <c r="A460" s="22"/>
      <c r="B460" s="52"/>
      <c r="C460" s="52"/>
      <c r="D460" s="52"/>
      <c r="E460" s="52"/>
      <c r="F460" s="52"/>
    </row>
    <row r="461" spans="1:6" s="59" customFormat="1" x14ac:dyDescent="0.2">
      <c r="A461" s="22"/>
      <c r="B461" s="52"/>
      <c r="C461" s="52"/>
      <c r="D461" s="52"/>
      <c r="E461" s="52"/>
      <c r="F461" s="52"/>
    </row>
    <row r="462" spans="1:6" s="59" customFormat="1" x14ac:dyDescent="0.2">
      <c r="A462" s="22"/>
      <c r="B462" s="52"/>
      <c r="C462" s="52"/>
      <c r="D462" s="52"/>
      <c r="E462" s="52"/>
      <c r="F462" s="52"/>
    </row>
    <row r="463" spans="1:6" s="59" customFormat="1" x14ac:dyDescent="0.2">
      <c r="A463" s="22"/>
      <c r="B463" s="52"/>
      <c r="C463" s="52"/>
      <c r="D463" s="52"/>
      <c r="E463" s="52"/>
      <c r="F463" s="52"/>
    </row>
    <row r="464" spans="1:6" s="59" customFormat="1" x14ac:dyDescent="0.2">
      <c r="A464" s="22"/>
      <c r="B464" s="52"/>
      <c r="C464" s="52"/>
      <c r="D464" s="52"/>
      <c r="E464" s="52"/>
      <c r="F464" s="52"/>
    </row>
    <row r="465" spans="1:6" s="59" customFormat="1" x14ac:dyDescent="0.2">
      <c r="A465" s="22"/>
      <c r="B465" s="52"/>
      <c r="C465" s="52"/>
      <c r="D465" s="52"/>
      <c r="E465" s="52"/>
      <c r="F465" s="52"/>
    </row>
    <row r="466" spans="1:6" s="59" customFormat="1" x14ac:dyDescent="0.2">
      <c r="A466" s="22"/>
      <c r="B466" s="52"/>
      <c r="C466" s="52"/>
      <c r="D466" s="52"/>
      <c r="E466" s="52"/>
      <c r="F466" s="52"/>
    </row>
    <row r="467" spans="1:6" s="59" customFormat="1" x14ac:dyDescent="0.2">
      <c r="A467" s="22"/>
      <c r="B467" s="52"/>
      <c r="C467" s="52"/>
      <c r="D467" s="52"/>
      <c r="E467" s="52"/>
      <c r="F467" s="52"/>
    </row>
    <row r="468" spans="1:6" s="59" customFormat="1" x14ac:dyDescent="0.2">
      <c r="A468" s="22"/>
      <c r="B468" s="52"/>
      <c r="C468" s="52"/>
      <c r="D468" s="52"/>
      <c r="E468" s="52"/>
      <c r="F468" s="52"/>
    </row>
    <row r="469" spans="1:6" s="59" customFormat="1" x14ac:dyDescent="0.2">
      <c r="A469" s="22"/>
      <c r="B469" s="52"/>
      <c r="C469" s="52"/>
      <c r="D469" s="52"/>
      <c r="E469" s="52"/>
      <c r="F469" s="52"/>
    </row>
    <row r="470" spans="1:6" s="59" customFormat="1" x14ac:dyDescent="0.2">
      <c r="A470" s="22"/>
      <c r="B470" s="52"/>
      <c r="C470" s="52"/>
      <c r="D470" s="52"/>
      <c r="E470" s="52"/>
      <c r="F470" s="52"/>
    </row>
    <row r="471" spans="1:6" s="59" customFormat="1" x14ac:dyDescent="0.2">
      <c r="A471" s="22"/>
      <c r="B471" s="52"/>
      <c r="C471" s="52"/>
      <c r="D471" s="52"/>
      <c r="E471" s="52"/>
      <c r="F471" s="52"/>
    </row>
    <row r="472" spans="1:6" s="59" customFormat="1" x14ac:dyDescent="0.2">
      <c r="A472" s="22"/>
      <c r="B472" s="52"/>
      <c r="C472" s="52"/>
      <c r="D472" s="52"/>
      <c r="E472" s="52"/>
      <c r="F472" s="52"/>
    </row>
    <row r="473" spans="1:6" s="59" customFormat="1" x14ac:dyDescent="0.2">
      <c r="A473" s="22"/>
      <c r="B473" s="52"/>
      <c r="C473" s="52"/>
      <c r="D473" s="52"/>
      <c r="E473" s="52"/>
      <c r="F473" s="52"/>
    </row>
    <row r="474" spans="1:6" s="59" customFormat="1" x14ac:dyDescent="0.2">
      <c r="A474" s="22"/>
      <c r="B474" s="52"/>
      <c r="C474" s="52"/>
      <c r="D474" s="52"/>
      <c r="E474" s="52"/>
      <c r="F474" s="52"/>
    </row>
    <row r="475" spans="1:6" s="59" customFormat="1" x14ac:dyDescent="0.2">
      <c r="A475" s="22"/>
      <c r="B475" s="52"/>
      <c r="C475" s="52"/>
      <c r="D475" s="52"/>
      <c r="E475" s="52"/>
      <c r="F475" s="52"/>
    </row>
    <row r="476" spans="1:6" s="59" customFormat="1" x14ac:dyDescent="0.2">
      <c r="A476" s="22"/>
      <c r="B476" s="52"/>
      <c r="C476" s="52"/>
      <c r="D476" s="52"/>
      <c r="E476" s="52"/>
      <c r="F476" s="52"/>
    </row>
    <row r="477" spans="1:6" s="59" customFormat="1" x14ac:dyDescent="0.2">
      <c r="A477" s="22"/>
      <c r="B477" s="52"/>
      <c r="C477" s="52"/>
      <c r="D477" s="52"/>
      <c r="E477" s="52"/>
      <c r="F477" s="52"/>
    </row>
    <row r="478" spans="1:6" s="59" customFormat="1" x14ac:dyDescent="0.2">
      <c r="A478" s="22"/>
      <c r="B478" s="52"/>
      <c r="C478" s="52"/>
      <c r="D478" s="52"/>
      <c r="E478" s="52"/>
      <c r="F478" s="52"/>
    </row>
    <row r="479" spans="1:6" s="59" customFormat="1" x14ac:dyDescent="0.2">
      <c r="A479" s="22"/>
      <c r="B479" s="52"/>
      <c r="C479" s="52"/>
      <c r="D479" s="52"/>
      <c r="E479" s="52"/>
      <c r="F479" s="52"/>
    </row>
    <row r="480" spans="1:6" s="59" customFormat="1" x14ac:dyDescent="0.2">
      <c r="A480" s="22"/>
      <c r="B480" s="52"/>
      <c r="C480" s="52"/>
      <c r="D480" s="52"/>
      <c r="E480" s="52"/>
      <c r="F480" s="52"/>
    </row>
    <row r="481" spans="1:6" s="59" customFormat="1" x14ac:dyDescent="0.2">
      <c r="A481" s="22"/>
      <c r="B481" s="52"/>
      <c r="C481" s="52"/>
      <c r="D481" s="52"/>
      <c r="E481" s="52"/>
      <c r="F481" s="52"/>
    </row>
    <row r="482" spans="1:6" s="59" customFormat="1" x14ac:dyDescent="0.2">
      <c r="A482" s="22"/>
      <c r="B482" s="52"/>
      <c r="C482" s="52"/>
      <c r="D482" s="52"/>
      <c r="E482" s="52"/>
      <c r="F482" s="52"/>
    </row>
    <row r="483" spans="1:6" s="59" customFormat="1" x14ac:dyDescent="0.2">
      <c r="A483" s="22"/>
      <c r="B483" s="52"/>
      <c r="C483" s="52"/>
      <c r="D483" s="52"/>
      <c r="E483" s="52"/>
      <c r="F483" s="52"/>
    </row>
    <row r="484" spans="1:6" s="59" customFormat="1" x14ac:dyDescent="0.2">
      <c r="A484" s="22"/>
      <c r="B484" s="52"/>
      <c r="C484" s="52"/>
      <c r="D484" s="52"/>
      <c r="E484" s="52"/>
      <c r="F484" s="52"/>
    </row>
    <row r="485" spans="1:6" s="59" customFormat="1" x14ac:dyDescent="0.2">
      <c r="A485" s="22"/>
      <c r="B485" s="52"/>
      <c r="C485" s="52"/>
      <c r="D485" s="52"/>
      <c r="E485" s="52"/>
      <c r="F485" s="52"/>
    </row>
    <row r="486" spans="1:6" s="59" customFormat="1" x14ac:dyDescent="0.2">
      <c r="A486" s="22"/>
      <c r="B486" s="52"/>
      <c r="C486" s="52"/>
      <c r="D486" s="52"/>
      <c r="E486" s="52"/>
      <c r="F486" s="52"/>
    </row>
    <row r="487" spans="1:6" s="59" customFormat="1" x14ac:dyDescent="0.2">
      <c r="A487" s="22"/>
      <c r="B487" s="52"/>
      <c r="C487" s="52"/>
      <c r="D487" s="52"/>
      <c r="E487" s="52"/>
      <c r="F487" s="52"/>
    </row>
    <row r="488" spans="1:6" s="59" customFormat="1" x14ac:dyDescent="0.2">
      <c r="A488" s="22"/>
      <c r="B488" s="52"/>
      <c r="C488" s="52"/>
      <c r="D488" s="52"/>
      <c r="E488" s="52"/>
      <c r="F488" s="52"/>
    </row>
    <row r="489" spans="1:6" s="59" customFormat="1" x14ac:dyDescent="0.2">
      <c r="A489" s="22"/>
      <c r="B489" s="52"/>
      <c r="C489" s="52"/>
      <c r="D489" s="52"/>
      <c r="E489" s="52"/>
      <c r="F489" s="52"/>
    </row>
    <row r="490" spans="1:6" s="59" customFormat="1" x14ac:dyDescent="0.2">
      <c r="A490" s="22"/>
      <c r="B490" s="52"/>
      <c r="C490" s="52"/>
      <c r="D490" s="52"/>
      <c r="E490" s="52"/>
      <c r="F490" s="52"/>
    </row>
    <row r="491" spans="1:6" s="59" customFormat="1" x14ac:dyDescent="0.2">
      <c r="A491" s="22"/>
      <c r="B491" s="52"/>
      <c r="C491" s="52"/>
      <c r="D491" s="52"/>
      <c r="E491" s="52"/>
      <c r="F491" s="52"/>
    </row>
    <row r="492" spans="1:6" s="59" customFormat="1" x14ac:dyDescent="0.2">
      <c r="A492" s="22"/>
      <c r="B492" s="52"/>
      <c r="C492" s="52"/>
      <c r="D492" s="52"/>
      <c r="E492" s="52"/>
      <c r="F492" s="52"/>
    </row>
    <row r="493" spans="1:6" s="59" customFormat="1" x14ac:dyDescent="0.2">
      <c r="A493" s="22"/>
      <c r="B493" s="52"/>
      <c r="C493" s="52"/>
      <c r="D493" s="52"/>
      <c r="E493" s="52"/>
      <c r="F493" s="52"/>
    </row>
    <row r="494" spans="1:6" s="59" customFormat="1" x14ac:dyDescent="0.2">
      <c r="A494" s="22"/>
      <c r="B494" s="52"/>
      <c r="C494" s="52"/>
      <c r="D494" s="52"/>
      <c r="E494" s="52"/>
      <c r="F494" s="52"/>
    </row>
    <row r="495" spans="1:6" s="59" customFormat="1" x14ac:dyDescent="0.2">
      <c r="A495" s="22"/>
      <c r="B495" s="52"/>
      <c r="C495" s="52"/>
      <c r="D495" s="52"/>
      <c r="E495" s="52"/>
      <c r="F495" s="52"/>
    </row>
    <row r="496" spans="1:6" s="59" customFormat="1" x14ac:dyDescent="0.2">
      <c r="A496" s="22"/>
      <c r="B496" s="52"/>
      <c r="C496" s="52"/>
      <c r="D496" s="52"/>
      <c r="E496" s="52"/>
      <c r="F496" s="52"/>
    </row>
    <row r="497" spans="1:6" s="59" customFormat="1" x14ac:dyDescent="0.2">
      <c r="A497" s="22"/>
      <c r="B497" s="52"/>
      <c r="C497" s="52"/>
      <c r="D497" s="52"/>
      <c r="E497" s="52"/>
      <c r="F497" s="52"/>
    </row>
    <row r="498" spans="1:6" s="59" customFormat="1" x14ac:dyDescent="0.2">
      <c r="A498" s="22"/>
      <c r="B498" s="52"/>
      <c r="C498" s="52"/>
      <c r="D498" s="52"/>
      <c r="E498" s="52"/>
      <c r="F498" s="52"/>
    </row>
    <row r="499" spans="1:6" s="59" customFormat="1" x14ac:dyDescent="0.2">
      <c r="A499" s="22"/>
      <c r="B499" s="52"/>
      <c r="C499" s="52"/>
      <c r="D499" s="52"/>
      <c r="E499" s="52"/>
      <c r="F499" s="52"/>
    </row>
    <row r="500" spans="1:6" s="59" customFormat="1" x14ac:dyDescent="0.2">
      <c r="A500" s="22"/>
      <c r="B500" s="52"/>
      <c r="C500" s="52"/>
      <c r="D500" s="52"/>
      <c r="E500" s="52"/>
      <c r="F500" s="52"/>
    </row>
    <row r="501" spans="1:6" s="59" customFormat="1" x14ac:dyDescent="0.2">
      <c r="A501" s="22"/>
      <c r="B501" s="52"/>
      <c r="C501" s="52"/>
      <c r="D501" s="52"/>
      <c r="E501" s="52"/>
      <c r="F501" s="52"/>
    </row>
    <row r="502" spans="1:6" s="59" customFormat="1" x14ac:dyDescent="0.2">
      <c r="A502" s="22"/>
      <c r="B502" s="52"/>
      <c r="C502" s="52"/>
      <c r="D502" s="52"/>
      <c r="E502" s="52"/>
      <c r="F502" s="52"/>
    </row>
    <row r="503" spans="1:6" s="59" customFormat="1" x14ac:dyDescent="0.2">
      <c r="A503" s="22"/>
      <c r="B503" s="52"/>
      <c r="C503" s="52"/>
      <c r="D503" s="52"/>
      <c r="E503" s="52"/>
      <c r="F503" s="52"/>
    </row>
    <row r="504" spans="1:6" s="59" customFormat="1" x14ac:dyDescent="0.2">
      <c r="A504" s="22"/>
      <c r="B504" s="52"/>
      <c r="C504" s="52"/>
      <c r="D504" s="52"/>
      <c r="E504" s="52"/>
      <c r="F504" s="52"/>
    </row>
    <row r="505" spans="1:6" s="59" customFormat="1" x14ac:dyDescent="0.2">
      <c r="A505" s="22"/>
      <c r="B505" s="52"/>
      <c r="C505" s="52"/>
      <c r="D505" s="52"/>
      <c r="E505" s="52"/>
      <c r="F505" s="52"/>
    </row>
    <row r="506" spans="1:6" s="59" customFormat="1" x14ac:dyDescent="0.2">
      <c r="A506" s="22"/>
      <c r="B506" s="52"/>
      <c r="C506" s="52"/>
      <c r="D506" s="52"/>
      <c r="E506" s="52"/>
      <c r="F506" s="52"/>
    </row>
    <row r="507" spans="1:6" s="59" customFormat="1" x14ac:dyDescent="0.2">
      <c r="A507" s="22"/>
      <c r="B507" s="52"/>
      <c r="C507" s="52"/>
      <c r="D507" s="52"/>
      <c r="E507" s="52"/>
      <c r="F507" s="52"/>
    </row>
    <row r="508" spans="1:6" s="59" customFormat="1" x14ac:dyDescent="0.2">
      <c r="A508" s="22"/>
      <c r="B508" s="52"/>
      <c r="C508" s="52"/>
      <c r="D508" s="52"/>
      <c r="E508" s="52"/>
      <c r="F508" s="52"/>
    </row>
    <row r="509" spans="1:6" s="59" customFormat="1" x14ac:dyDescent="0.2">
      <c r="A509" s="22"/>
      <c r="B509" s="52"/>
      <c r="C509" s="52"/>
      <c r="D509" s="52"/>
      <c r="E509" s="52"/>
      <c r="F509" s="52"/>
    </row>
    <row r="510" spans="1:6" s="59" customFormat="1" x14ac:dyDescent="0.2">
      <c r="A510" s="22"/>
      <c r="B510" s="52"/>
      <c r="C510" s="52"/>
      <c r="D510" s="52"/>
      <c r="E510" s="52"/>
      <c r="F510" s="52"/>
    </row>
    <row r="511" spans="1:6" s="59" customFormat="1" x14ac:dyDescent="0.2">
      <c r="A511" s="22"/>
      <c r="B511" s="52"/>
      <c r="C511" s="52"/>
      <c r="D511" s="52"/>
      <c r="E511" s="52"/>
      <c r="F511" s="52"/>
    </row>
    <row r="512" spans="1:6" s="59" customFormat="1" x14ac:dyDescent="0.2">
      <c r="A512" s="22"/>
      <c r="B512" s="52"/>
      <c r="C512" s="52"/>
      <c r="D512" s="52"/>
      <c r="E512" s="52"/>
      <c r="F512" s="52"/>
    </row>
    <row r="513" spans="1:6" s="59" customFormat="1" x14ac:dyDescent="0.2">
      <c r="A513" s="22"/>
      <c r="B513" s="52"/>
      <c r="C513" s="52"/>
      <c r="D513" s="52"/>
      <c r="E513" s="52"/>
      <c r="F513" s="52"/>
    </row>
    <row r="514" spans="1:6" s="59" customFormat="1" x14ac:dyDescent="0.2">
      <c r="A514" s="22"/>
      <c r="B514" s="52"/>
      <c r="C514" s="52"/>
      <c r="D514" s="52"/>
      <c r="E514" s="52"/>
      <c r="F514" s="52"/>
    </row>
    <row r="515" spans="1:6" s="59" customFormat="1" x14ac:dyDescent="0.2">
      <c r="A515" s="22"/>
      <c r="B515" s="52"/>
      <c r="C515" s="52"/>
      <c r="D515" s="52"/>
      <c r="E515" s="52"/>
      <c r="F515" s="52"/>
    </row>
    <row r="516" spans="1:6" s="59" customFormat="1" x14ac:dyDescent="0.2">
      <c r="A516" s="22"/>
      <c r="B516" s="52"/>
      <c r="C516" s="52"/>
      <c r="D516" s="52"/>
      <c r="E516" s="52"/>
      <c r="F516" s="52"/>
    </row>
    <row r="517" spans="1:6" s="59" customFormat="1" x14ac:dyDescent="0.2">
      <c r="A517" s="22"/>
      <c r="B517" s="52"/>
      <c r="C517" s="52"/>
      <c r="D517" s="52"/>
      <c r="E517" s="52"/>
      <c r="F517" s="52"/>
    </row>
    <row r="518" spans="1:6" s="59" customFormat="1" x14ac:dyDescent="0.2">
      <c r="A518" s="22"/>
      <c r="B518" s="52"/>
      <c r="C518" s="52"/>
      <c r="D518" s="52"/>
      <c r="E518" s="52"/>
      <c r="F518" s="52"/>
    </row>
    <row r="519" spans="1:6" s="59" customFormat="1" x14ac:dyDescent="0.2">
      <c r="A519" s="22"/>
      <c r="B519" s="52"/>
      <c r="C519" s="52"/>
      <c r="D519" s="52"/>
      <c r="E519" s="52"/>
      <c r="F519" s="52"/>
    </row>
    <row r="520" spans="1:6" s="59" customFormat="1" x14ac:dyDescent="0.2">
      <c r="A520" s="22"/>
      <c r="B520" s="52"/>
      <c r="C520" s="52"/>
      <c r="D520" s="52"/>
      <c r="E520" s="52"/>
      <c r="F520" s="52"/>
    </row>
    <row r="521" spans="1:6" s="59" customFormat="1" x14ac:dyDescent="0.2">
      <c r="A521" s="22"/>
      <c r="B521" s="52"/>
      <c r="C521" s="52"/>
      <c r="D521" s="52"/>
      <c r="E521" s="52"/>
      <c r="F521" s="52"/>
    </row>
    <row r="522" spans="1:6" s="59" customFormat="1" x14ac:dyDescent="0.2">
      <c r="A522" s="22"/>
      <c r="B522" s="52"/>
      <c r="C522" s="52"/>
      <c r="D522" s="52"/>
      <c r="E522" s="52"/>
      <c r="F522" s="52"/>
    </row>
    <row r="523" spans="1:6" s="59" customFormat="1" x14ac:dyDescent="0.2">
      <c r="A523" s="22"/>
      <c r="B523" s="52"/>
      <c r="C523" s="52"/>
      <c r="D523" s="52"/>
      <c r="E523" s="52"/>
      <c r="F523" s="52"/>
    </row>
    <row r="524" spans="1:6" s="59" customFormat="1" x14ac:dyDescent="0.2">
      <c r="A524" s="22"/>
      <c r="B524" s="52"/>
      <c r="C524" s="52"/>
      <c r="D524" s="52"/>
      <c r="E524" s="52"/>
      <c r="F524" s="52"/>
    </row>
    <row r="525" spans="1:6" s="59" customFormat="1" x14ac:dyDescent="0.2">
      <c r="A525" s="22"/>
      <c r="B525" s="52"/>
      <c r="C525" s="52"/>
      <c r="D525" s="52"/>
      <c r="E525" s="52"/>
      <c r="F525" s="52"/>
    </row>
    <row r="526" spans="1:6" s="59" customFormat="1" x14ac:dyDescent="0.2">
      <c r="A526" s="22"/>
      <c r="B526" s="52"/>
      <c r="C526" s="52"/>
      <c r="D526" s="52"/>
      <c r="E526" s="52"/>
      <c r="F526" s="52"/>
    </row>
    <row r="527" spans="1:6" s="59" customFormat="1" x14ac:dyDescent="0.2">
      <c r="A527" s="22"/>
      <c r="B527" s="52"/>
      <c r="C527" s="52"/>
      <c r="D527" s="52"/>
      <c r="E527" s="52"/>
      <c r="F527" s="52"/>
    </row>
    <row r="528" spans="1:6" s="59" customFormat="1" x14ac:dyDescent="0.2">
      <c r="A528" s="22"/>
      <c r="B528" s="52"/>
      <c r="C528" s="52"/>
      <c r="D528" s="52"/>
      <c r="E528" s="52"/>
      <c r="F528" s="52"/>
    </row>
    <row r="529" spans="1:6" s="59" customFormat="1" x14ac:dyDescent="0.2">
      <c r="A529" s="22"/>
      <c r="B529" s="52"/>
      <c r="C529" s="52"/>
      <c r="D529" s="52"/>
      <c r="E529" s="52"/>
      <c r="F529" s="52"/>
    </row>
    <row r="530" spans="1:6" s="59" customFormat="1" x14ac:dyDescent="0.2">
      <c r="A530" s="22"/>
      <c r="B530" s="52"/>
      <c r="C530" s="52"/>
      <c r="D530" s="52"/>
      <c r="E530" s="52"/>
      <c r="F530" s="52"/>
    </row>
    <row r="531" spans="1:6" s="59" customFormat="1" x14ac:dyDescent="0.2">
      <c r="A531" s="22"/>
      <c r="B531" s="52"/>
      <c r="C531" s="52"/>
      <c r="D531" s="52"/>
      <c r="E531" s="52"/>
      <c r="F531" s="52"/>
    </row>
    <row r="532" spans="1:6" s="59" customFormat="1" x14ac:dyDescent="0.2">
      <c r="A532" s="22"/>
      <c r="B532" s="52"/>
      <c r="C532" s="52"/>
      <c r="D532" s="52"/>
      <c r="E532" s="52"/>
      <c r="F532" s="52"/>
    </row>
    <row r="533" spans="1:6" s="59" customFormat="1" x14ac:dyDescent="0.2">
      <c r="A533" s="22"/>
      <c r="B533" s="52"/>
      <c r="C533" s="52"/>
      <c r="D533" s="52"/>
      <c r="E533" s="52"/>
      <c r="F533" s="52"/>
    </row>
    <row r="534" spans="1:6" s="59" customFormat="1" x14ac:dyDescent="0.2">
      <c r="A534" s="22"/>
      <c r="B534" s="52"/>
      <c r="C534" s="52"/>
      <c r="D534" s="52"/>
      <c r="E534" s="52"/>
      <c r="F534" s="52"/>
    </row>
    <row r="535" spans="1:6" s="59" customFormat="1" x14ac:dyDescent="0.2">
      <c r="A535" s="22"/>
      <c r="B535" s="52"/>
      <c r="C535" s="52"/>
      <c r="D535" s="52"/>
      <c r="E535" s="52"/>
      <c r="F535" s="52"/>
    </row>
    <row r="536" spans="1:6" s="59" customFormat="1" x14ac:dyDescent="0.2">
      <c r="A536" s="22"/>
      <c r="B536" s="52"/>
      <c r="C536" s="52"/>
      <c r="D536" s="52"/>
      <c r="E536" s="52"/>
      <c r="F536" s="52"/>
    </row>
    <row r="537" spans="1:6" s="59" customFormat="1" x14ac:dyDescent="0.2">
      <c r="A537" s="22"/>
      <c r="B537" s="52"/>
      <c r="C537" s="52"/>
      <c r="D537" s="52"/>
      <c r="E537" s="52"/>
      <c r="F537" s="52"/>
    </row>
    <row r="538" spans="1:6" s="59" customFormat="1" x14ac:dyDescent="0.2">
      <c r="A538" s="22"/>
      <c r="B538" s="52"/>
      <c r="C538" s="52"/>
      <c r="D538" s="52"/>
      <c r="E538" s="52"/>
      <c r="F538" s="52"/>
    </row>
    <row r="539" spans="1:6" s="59" customFormat="1" x14ac:dyDescent="0.2">
      <c r="A539" s="22"/>
      <c r="B539" s="52"/>
      <c r="C539" s="52"/>
      <c r="D539" s="52"/>
      <c r="E539" s="52"/>
      <c r="F539" s="52"/>
    </row>
    <row r="540" spans="1:6" s="59" customFormat="1" x14ac:dyDescent="0.2">
      <c r="A540" s="22"/>
      <c r="B540" s="52"/>
      <c r="C540" s="52"/>
      <c r="D540" s="52"/>
      <c r="E540" s="52"/>
      <c r="F540" s="52"/>
    </row>
    <row r="541" spans="1:6" s="59" customFormat="1" x14ac:dyDescent="0.2">
      <c r="A541" s="22"/>
      <c r="B541" s="52"/>
      <c r="C541" s="52"/>
      <c r="D541" s="52"/>
      <c r="E541" s="52"/>
      <c r="F541" s="52"/>
    </row>
    <row r="542" spans="1:6" s="59" customFormat="1" x14ac:dyDescent="0.2">
      <c r="A542" s="22"/>
      <c r="B542" s="52"/>
      <c r="C542" s="52"/>
      <c r="D542" s="52"/>
      <c r="E542" s="52"/>
      <c r="F542" s="52"/>
    </row>
    <row r="543" spans="1:6" s="59" customFormat="1" x14ac:dyDescent="0.2">
      <c r="A543" s="22"/>
      <c r="B543" s="52"/>
      <c r="C543" s="52"/>
      <c r="D543" s="52"/>
      <c r="E543" s="52"/>
      <c r="F543" s="52"/>
    </row>
    <row r="544" spans="1:6" s="59" customFormat="1" x14ac:dyDescent="0.2">
      <c r="A544" s="22"/>
      <c r="B544" s="52"/>
      <c r="C544" s="52"/>
      <c r="D544" s="52"/>
      <c r="E544" s="52"/>
      <c r="F544" s="52"/>
    </row>
    <row r="545" spans="1:6" s="59" customFormat="1" x14ac:dyDescent="0.2">
      <c r="A545" s="22"/>
      <c r="B545" s="52"/>
      <c r="C545" s="52"/>
      <c r="D545" s="52"/>
      <c r="E545" s="52"/>
      <c r="F545" s="52"/>
    </row>
    <row r="546" spans="1:6" s="59" customFormat="1" x14ac:dyDescent="0.2">
      <c r="A546" s="22"/>
      <c r="B546" s="52"/>
      <c r="C546" s="52"/>
      <c r="D546" s="52"/>
      <c r="E546" s="52"/>
      <c r="F546" s="52"/>
    </row>
    <row r="547" spans="1:6" s="59" customFormat="1" x14ac:dyDescent="0.2">
      <c r="A547" s="22"/>
      <c r="B547" s="52"/>
      <c r="C547" s="52"/>
      <c r="D547" s="52"/>
      <c r="E547" s="52"/>
      <c r="F547" s="52"/>
    </row>
    <row r="548" spans="1:6" s="59" customFormat="1" x14ac:dyDescent="0.2">
      <c r="A548" s="22"/>
      <c r="B548" s="52"/>
      <c r="C548" s="52"/>
      <c r="D548" s="52"/>
      <c r="E548" s="52"/>
      <c r="F548" s="52"/>
    </row>
    <row r="549" spans="1:6" s="59" customFormat="1" x14ac:dyDescent="0.2">
      <c r="A549" s="22"/>
      <c r="B549" s="52"/>
      <c r="C549" s="52"/>
      <c r="D549" s="52"/>
      <c r="E549" s="52"/>
      <c r="F549" s="52"/>
    </row>
    <row r="550" spans="1:6" s="59" customFormat="1" x14ac:dyDescent="0.2">
      <c r="A550" s="22"/>
      <c r="B550" s="52"/>
      <c r="C550" s="52"/>
      <c r="D550" s="52"/>
      <c r="E550" s="52"/>
      <c r="F550" s="52"/>
    </row>
    <row r="551" spans="1:6" s="59" customFormat="1" x14ac:dyDescent="0.2">
      <c r="A551" s="22"/>
      <c r="B551" s="52"/>
      <c r="C551" s="52"/>
      <c r="D551" s="52"/>
      <c r="E551" s="52"/>
      <c r="F551" s="52"/>
    </row>
    <row r="552" spans="1:6" s="59" customFormat="1" x14ac:dyDescent="0.2">
      <c r="A552" s="22"/>
      <c r="B552" s="52"/>
      <c r="C552" s="52"/>
      <c r="D552" s="52"/>
      <c r="E552" s="52"/>
      <c r="F552" s="52"/>
    </row>
    <row r="553" spans="1:6" s="59" customFormat="1" x14ac:dyDescent="0.2">
      <c r="A553" s="22"/>
      <c r="B553" s="52"/>
      <c r="C553" s="52"/>
      <c r="D553" s="52"/>
      <c r="E553" s="52"/>
      <c r="F553" s="52"/>
    </row>
    <row r="554" spans="1:6" s="59" customFormat="1" x14ac:dyDescent="0.2">
      <c r="A554" s="22"/>
      <c r="B554" s="52"/>
      <c r="C554" s="52"/>
      <c r="D554" s="52"/>
      <c r="E554" s="52"/>
      <c r="F554" s="52"/>
    </row>
    <row r="555" spans="1:6" s="59" customFormat="1" x14ac:dyDescent="0.2">
      <c r="A555" s="22"/>
      <c r="B555" s="52"/>
      <c r="C555" s="52"/>
      <c r="D555" s="52"/>
      <c r="E555" s="52"/>
      <c r="F555" s="52"/>
    </row>
    <row r="556" spans="1:6" s="59" customFormat="1" x14ac:dyDescent="0.2">
      <c r="A556" s="22"/>
      <c r="B556" s="52"/>
      <c r="C556" s="52"/>
      <c r="D556" s="52"/>
      <c r="E556" s="52"/>
      <c r="F556" s="52"/>
    </row>
    <row r="557" spans="1:6" s="59" customFormat="1" x14ac:dyDescent="0.2">
      <c r="A557" s="22"/>
      <c r="B557" s="52"/>
      <c r="C557" s="52"/>
      <c r="D557" s="52"/>
      <c r="E557" s="52"/>
      <c r="F557" s="52"/>
    </row>
    <row r="558" spans="1:6" s="59" customFormat="1" x14ac:dyDescent="0.2">
      <c r="A558" s="22"/>
      <c r="B558" s="52"/>
      <c r="C558" s="52"/>
      <c r="D558" s="52"/>
      <c r="E558" s="52"/>
      <c r="F558" s="52"/>
    </row>
    <row r="559" spans="1:6" s="59" customFormat="1" x14ac:dyDescent="0.2">
      <c r="A559" s="22"/>
      <c r="B559" s="52"/>
      <c r="C559" s="52"/>
      <c r="D559" s="52"/>
      <c r="E559" s="52"/>
      <c r="F559" s="52"/>
    </row>
    <row r="560" spans="1:6" s="59" customFormat="1" x14ac:dyDescent="0.2">
      <c r="A560" s="22"/>
      <c r="B560" s="52"/>
      <c r="C560" s="52"/>
      <c r="D560" s="52"/>
      <c r="E560" s="52"/>
      <c r="F560" s="52"/>
    </row>
    <row r="561" spans="1:6" s="59" customFormat="1" x14ac:dyDescent="0.2">
      <c r="A561" s="22"/>
      <c r="B561" s="52"/>
      <c r="C561" s="52"/>
      <c r="D561" s="52"/>
      <c r="E561" s="52"/>
      <c r="F561" s="52"/>
    </row>
    <row r="562" spans="1:6" s="59" customFormat="1" x14ac:dyDescent="0.2">
      <c r="A562" s="22"/>
      <c r="B562" s="52"/>
      <c r="C562" s="52"/>
      <c r="D562" s="52"/>
      <c r="E562" s="52"/>
      <c r="F562" s="52"/>
    </row>
    <row r="563" spans="1:6" s="59" customFormat="1" x14ac:dyDescent="0.2">
      <c r="A563" s="22"/>
      <c r="B563" s="52"/>
      <c r="C563" s="52"/>
      <c r="D563" s="52"/>
      <c r="E563" s="52"/>
      <c r="F563" s="52"/>
    </row>
    <row r="564" spans="1:6" s="59" customFormat="1" x14ac:dyDescent="0.2">
      <c r="A564" s="22"/>
      <c r="B564" s="52"/>
      <c r="C564" s="52"/>
      <c r="D564" s="52"/>
      <c r="E564" s="52"/>
      <c r="F564" s="52"/>
    </row>
    <row r="565" spans="1:6" s="59" customFormat="1" x14ac:dyDescent="0.2">
      <c r="A565" s="22"/>
      <c r="B565" s="52"/>
      <c r="C565" s="52"/>
      <c r="D565" s="52"/>
      <c r="E565" s="52"/>
      <c r="F565" s="52"/>
    </row>
    <row r="566" spans="1:6" s="59" customFormat="1" x14ac:dyDescent="0.2">
      <c r="A566" s="22"/>
      <c r="B566" s="52"/>
      <c r="C566" s="52"/>
      <c r="D566" s="52"/>
      <c r="E566" s="52"/>
      <c r="F566" s="52"/>
    </row>
    <row r="567" spans="1:6" s="59" customFormat="1" x14ac:dyDescent="0.2">
      <c r="A567" s="22"/>
      <c r="B567" s="52"/>
      <c r="C567" s="52"/>
      <c r="D567" s="52"/>
      <c r="E567" s="52"/>
      <c r="F567" s="52"/>
    </row>
    <row r="568" spans="1:6" s="59" customFormat="1" x14ac:dyDescent="0.2">
      <c r="A568" s="22"/>
      <c r="B568" s="52"/>
      <c r="C568" s="52"/>
      <c r="D568" s="52"/>
      <c r="E568" s="52"/>
      <c r="F568" s="52"/>
    </row>
    <row r="569" spans="1:6" s="59" customFormat="1" x14ac:dyDescent="0.2">
      <c r="A569" s="22"/>
      <c r="B569" s="52"/>
      <c r="C569" s="52"/>
      <c r="D569" s="52"/>
      <c r="E569" s="52"/>
      <c r="F569" s="52"/>
    </row>
    <row r="570" spans="1:6" s="59" customFormat="1" x14ac:dyDescent="0.2">
      <c r="A570" s="22"/>
      <c r="B570" s="52"/>
      <c r="C570" s="52"/>
      <c r="D570" s="52"/>
      <c r="E570" s="52"/>
      <c r="F570" s="52"/>
    </row>
    <row r="571" spans="1:6" s="59" customFormat="1" x14ac:dyDescent="0.2">
      <c r="A571" s="22"/>
      <c r="B571" s="52"/>
      <c r="C571" s="52"/>
      <c r="D571" s="52"/>
      <c r="E571" s="52"/>
      <c r="F571" s="52"/>
    </row>
    <row r="572" spans="1:6" s="59" customFormat="1" x14ac:dyDescent="0.2">
      <c r="A572" s="22"/>
      <c r="B572" s="52"/>
      <c r="C572" s="52"/>
      <c r="D572" s="52"/>
      <c r="E572" s="52"/>
      <c r="F572" s="52"/>
    </row>
    <row r="573" spans="1:6" s="59" customFormat="1" x14ac:dyDescent="0.2">
      <c r="A573" s="22"/>
      <c r="B573" s="52"/>
      <c r="C573" s="52"/>
      <c r="D573" s="52"/>
      <c r="E573" s="52"/>
      <c r="F573" s="52"/>
    </row>
    <row r="574" spans="1:6" s="59" customFormat="1" x14ac:dyDescent="0.2">
      <c r="A574" s="22"/>
      <c r="B574" s="52"/>
      <c r="C574" s="52"/>
      <c r="D574" s="52"/>
      <c r="E574" s="52"/>
      <c r="F574" s="52"/>
    </row>
    <row r="575" spans="1:6" s="59" customFormat="1" x14ac:dyDescent="0.2">
      <c r="A575" s="22"/>
      <c r="B575" s="52"/>
      <c r="C575" s="52"/>
      <c r="D575" s="52"/>
      <c r="E575" s="52"/>
      <c r="F575" s="52"/>
    </row>
    <row r="576" spans="1:6" s="59" customFormat="1" x14ac:dyDescent="0.2">
      <c r="A576" s="22"/>
      <c r="B576" s="52"/>
      <c r="C576" s="52"/>
      <c r="D576" s="52"/>
      <c r="E576" s="52"/>
      <c r="F576" s="52"/>
    </row>
    <row r="577" spans="1:6" s="59" customFormat="1" x14ac:dyDescent="0.2">
      <c r="A577" s="22"/>
      <c r="B577" s="52"/>
      <c r="C577" s="52"/>
      <c r="D577" s="52"/>
      <c r="E577" s="52"/>
      <c r="F577" s="52"/>
    </row>
    <row r="578" spans="1:6" s="59" customFormat="1" x14ac:dyDescent="0.2">
      <c r="A578" s="22"/>
      <c r="B578" s="52"/>
      <c r="C578" s="52"/>
      <c r="D578" s="52"/>
      <c r="E578" s="52"/>
      <c r="F578" s="52"/>
    </row>
    <row r="579" spans="1:6" s="59" customFormat="1" x14ac:dyDescent="0.2">
      <c r="A579" s="22"/>
      <c r="B579" s="52"/>
      <c r="C579" s="52"/>
      <c r="D579" s="52"/>
      <c r="E579" s="52"/>
      <c r="F579" s="52"/>
    </row>
    <row r="580" spans="1:6" s="59" customFormat="1" x14ac:dyDescent="0.2">
      <c r="A580" s="22"/>
      <c r="B580" s="52"/>
      <c r="C580" s="52"/>
      <c r="D580" s="52"/>
      <c r="E580" s="52"/>
      <c r="F580" s="52"/>
    </row>
    <row r="581" spans="1:6" s="59" customFormat="1" x14ac:dyDescent="0.2">
      <c r="A581" s="22"/>
      <c r="B581" s="52"/>
      <c r="C581" s="52"/>
      <c r="D581" s="52"/>
      <c r="E581" s="52"/>
      <c r="F581" s="52"/>
    </row>
    <row r="582" spans="1:6" s="59" customFormat="1" x14ac:dyDescent="0.2">
      <c r="A582" s="22"/>
      <c r="B582" s="52"/>
      <c r="C582" s="52"/>
      <c r="D582" s="52"/>
      <c r="E582" s="52"/>
      <c r="F582" s="52"/>
    </row>
    <row r="583" spans="1:6" s="59" customFormat="1" x14ac:dyDescent="0.2">
      <c r="A583" s="22"/>
      <c r="B583" s="52"/>
      <c r="C583" s="52"/>
      <c r="D583" s="52"/>
      <c r="E583" s="52"/>
      <c r="F583" s="52"/>
    </row>
    <row r="584" spans="1:6" s="59" customFormat="1" x14ac:dyDescent="0.2">
      <c r="A584" s="22"/>
      <c r="B584" s="52"/>
      <c r="C584" s="52"/>
      <c r="D584" s="52"/>
      <c r="E584" s="52"/>
      <c r="F584" s="52"/>
    </row>
    <row r="585" spans="1:6" s="59" customFormat="1" x14ac:dyDescent="0.2">
      <c r="A585" s="22"/>
      <c r="B585" s="52"/>
      <c r="C585" s="52"/>
      <c r="D585" s="52"/>
      <c r="E585" s="52"/>
      <c r="F585" s="52"/>
    </row>
    <row r="586" spans="1:6" s="59" customFormat="1" x14ac:dyDescent="0.2">
      <c r="A586" s="22"/>
      <c r="B586" s="52"/>
      <c r="C586" s="52"/>
      <c r="D586" s="52"/>
      <c r="E586" s="52"/>
      <c r="F586" s="52"/>
    </row>
    <row r="587" spans="1:6" s="59" customFormat="1" x14ac:dyDescent="0.2">
      <c r="A587" s="22"/>
      <c r="B587" s="52"/>
      <c r="C587" s="52"/>
      <c r="D587" s="52"/>
      <c r="E587" s="52"/>
      <c r="F587" s="52"/>
    </row>
    <row r="588" spans="1:6" s="59" customFormat="1" x14ac:dyDescent="0.2">
      <c r="A588" s="22"/>
      <c r="B588" s="52"/>
      <c r="C588" s="52"/>
      <c r="D588" s="52"/>
      <c r="E588" s="52"/>
      <c r="F588" s="52"/>
    </row>
    <row r="589" spans="1:6" s="59" customFormat="1" x14ac:dyDescent="0.2">
      <c r="A589" s="22"/>
      <c r="B589" s="52"/>
      <c r="C589" s="52"/>
      <c r="D589" s="52"/>
      <c r="E589" s="52"/>
      <c r="F589" s="52"/>
    </row>
    <row r="590" spans="1:6" s="59" customFormat="1" x14ac:dyDescent="0.2">
      <c r="A590" s="22"/>
      <c r="B590" s="52"/>
      <c r="C590" s="52"/>
      <c r="D590" s="52"/>
      <c r="E590" s="52"/>
      <c r="F590" s="52"/>
    </row>
    <row r="591" spans="1:6" s="59" customFormat="1" x14ac:dyDescent="0.2">
      <c r="A591" s="22"/>
      <c r="B591" s="52"/>
      <c r="C591" s="52"/>
      <c r="D591" s="52"/>
      <c r="E591" s="52"/>
      <c r="F591" s="52"/>
    </row>
    <row r="592" spans="1:6" s="59" customFormat="1" x14ac:dyDescent="0.2">
      <c r="A592" s="22"/>
      <c r="B592" s="52"/>
      <c r="C592" s="52"/>
      <c r="D592" s="52"/>
      <c r="E592" s="52"/>
      <c r="F592" s="52"/>
    </row>
    <row r="593" spans="1:6" s="59" customFormat="1" x14ac:dyDescent="0.2">
      <c r="A593" s="22"/>
      <c r="B593" s="52"/>
      <c r="C593" s="52"/>
      <c r="D593" s="52"/>
      <c r="E593" s="52"/>
      <c r="F593" s="52"/>
    </row>
    <row r="594" spans="1:6" s="59" customFormat="1" x14ac:dyDescent="0.2">
      <c r="A594" s="22"/>
      <c r="B594" s="52"/>
      <c r="C594" s="52"/>
      <c r="D594" s="52"/>
      <c r="E594" s="52"/>
      <c r="F594" s="52"/>
    </row>
    <row r="595" spans="1:6" s="59" customFormat="1" x14ac:dyDescent="0.2">
      <c r="A595" s="22"/>
      <c r="B595" s="52"/>
      <c r="C595" s="52"/>
      <c r="D595" s="52"/>
      <c r="E595" s="52"/>
      <c r="F595" s="52"/>
    </row>
    <row r="596" spans="1:6" s="59" customFormat="1" x14ac:dyDescent="0.2">
      <c r="A596" s="22"/>
      <c r="B596" s="52"/>
      <c r="C596" s="52"/>
      <c r="D596" s="52"/>
      <c r="E596" s="52"/>
      <c r="F596" s="52"/>
    </row>
    <row r="597" spans="1:6" s="59" customFormat="1" x14ac:dyDescent="0.2">
      <c r="A597" s="22"/>
      <c r="B597" s="52"/>
      <c r="C597" s="52"/>
      <c r="D597" s="52"/>
      <c r="E597" s="52"/>
      <c r="F597" s="52"/>
    </row>
    <row r="598" spans="1:6" s="59" customFormat="1" x14ac:dyDescent="0.2">
      <c r="A598" s="22"/>
      <c r="B598" s="52"/>
      <c r="C598" s="52"/>
      <c r="D598" s="52"/>
      <c r="E598" s="52"/>
      <c r="F598" s="52"/>
    </row>
    <row r="599" spans="1:6" s="59" customFormat="1" x14ac:dyDescent="0.2">
      <c r="A599" s="22"/>
      <c r="B599" s="52"/>
      <c r="C599" s="52"/>
      <c r="D599" s="52"/>
      <c r="E599" s="52"/>
      <c r="F599" s="52"/>
    </row>
    <row r="600" spans="1:6" s="59" customFormat="1" x14ac:dyDescent="0.2">
      <c r="A600" s="22"/>
      <c r="B600" s="52"/>
      <c r="C600" s="52"/>
      <c r="D600" s="52"/>
      <c r="E600" s="52"/>
      <c r="F600" s="52"/>
    </row>
    <row r="601" spans="1:6" s="59" customFormat="1" x14ac:dyDescent="0.2">
      <c r="A601" s="22"/>
      <c r="B601" s="52"/>
      <c r="C601" s="52"/>
      <c r="D601" s="52"/>
      <c r="E601" s="52"/>
      <c r="F601" s="52"/>
    </row>
    <row r="602" spans="1:6" s="59" customFormat="1" x14ac:dyDescent="0.2">
      <c r="A602" s="22"/>
      <c r="B602" s="52"/>
      <c r="C602" s="52"/>
      <c r="D602" s="52"/>
      <c r="E602" s="52"/>
      <c r="F602" s="52"/>
    </row>
    <row r="603" spans="1:6" s="59" customFormat="1" x14ac:dyDescent="0.2">
      <c r="A603" s="22"/>
      <c r="B603" s="52"/>
      <c r="C603" s="52"/>
      <c r="D603" s="52"/>
      <c r="E603" s="52"/>
      <c r="F603" s="52"/>
    </row>
    <row r="604" spans="1:6" s="59" customFormat="1" x14ac:dyDescent="0.2">
      <c r="A604" s="22"/>
      <c r="B604" s="52"/>
      <c r="C604" s="52"/>
      <c r="D604" s="52"/>
      <c r="E604" s="52"/>
      <c r="F604" s="52"/>
    </row>
    <row r="605" spans="1:6" s="59" customFormat="1" x14ac:dyDescent="0.2">
      <c r="A605" s="22"/>
      <c r="B605" s="52"/>
      <c r="C605" s="52"/>
      <c r="D605" s="52"/>
      <c r="E605" s="52"/>
      <c r="F605" s="52"/>
    </row>
    <row r="606" spans="1:6" s="59" customFormat="1" x14ac:dyDescent="0.2">
      <c r="A606" s="22"/>
      <c r="B606" s="52"/>
      <c r="C606" s="52"/>
      <c r="D606" s="52"/>
      <c r="E606" s="52"/>
      <c r="F606" s="52"/>
    </row>
    <row r="607" spans="1:6" s="59" customFormat="1" x14ac:dyDescent="0.2">
      <c r="A607" s="22"/>
      <c r="B607" s="52"/>
      <c r="C607" s="52"/>
      <c r="D607" s="52"/>
      <c r="E607" s="52"/>
      <c r="F607" s="52"/>
    </row>
    <row r="608" spans="1:6" s="59" customFormat="1" x14ac:dyDescent="0.2">
      <c r="A608" s="22"/>
      <c r="B608" s="52"/>
      <c r="C608" s="52"/>
      <c r="D608" s="52"/>
      <c r="E608" s="52"/>
      <c r="F608" s="52"/>
    </row>
    <row r="609" spans="1:6" s="59" customFormat="1" x14ac:dyDescent="0.2">
      <c r="A609" s="22"/>
      <c r="B609" s="52"/>
      <c r="C609" s="52"/>
      <c r="D609" s="52"/>
      <c r="E609" s="52"/>
      <c r="F609" s="52"/>
    </row>
    <row r="610" spans="1:6" s="59" customFormat="1" x14ac:dyDescent="0.2">
      <c r="A610" s="22"/>
      <c r="B610" s="52"/>
      <c r="C610" s="52"/>
      <c r="D610" s="52"/>
      <c r="E610" s="52"/>
      <c r="F610" s="52"/>
    </row>
    <row r="611" spans="1:6" s="59" customFormat="1" x14ac:dyDescent="0.2">
      <c r="A611" s="22"/>
      <c r="B611" s="52"/>
      <c r="C611" s="52"/>
      <c r="D611" s="52"/>
      <c r="E611" s="52"/>
      <c r="F611" s="52"/>
    </row>
    <row r="612" spans="1:6" s="59" customFormat="1" x14ac:dyDescent="0.2">
      <c r="A612" s="22"/>
      <c r="B612" s="52"/>
      <c r="C612" s="52"/>
      <c r="D612" s="52"/>
      <c r="E612" s="52"/>
      <c r="F612" s="52"/>
    </row>
    <row r="613" spans="1:6" s="59" customFormat="1" x14ac:dyDescent="0.2">
      <c r="A613" s="22"/>
      <c r="B613" s="52"/>
      <c r="C613" s="52"/>
      <c r="D613" s="52"/>
      <c r="E613" s="52"/>
      <c r="F613" s="52"/>
    </row>
    <row r="614" spans="1:6" s="59" customFormat="1" x14ac:dyDescent="0.2">
      <c r="A614" s="22"/>
      <c r="B614" s="52"/>
      <c r="C614" s="52"/>
      <c r="D614" s="52"/>
      <c r="E614" s="52"/>
      <c r="F614" s="52"/>
    </row>
    <row r="615" spans="1:6" s="59" customFormat="1" x14ac:dyDescent="0.2">
      <c r="A615" s="22"/>
      <c r="B615" s="52"/>
      <c r="C615" s="52"/>
      <c r="D615" s="52"/>
      <c r="E615" s="52"/>
      <c r="F615" s="52"/>
    </row>
    <row r="616" spans="1:6" s="59" customFormat="1" x14ac:dyDescent="0.2">
      <c r="A616" s="22"/>
      <c r="B616" s="52"/>
      <c r="C616" s="52"/>
      <c r="D616" s="52"/>
      <c r="E616" s="52"/>
      <c r="F616" s="52"/>
    </row>
    <row r="617" spans="1:6" s="59" customFormat="1" x14ac:dyDescent="0.2">
      <c r="A617" s="22"/>
      <c r="B617" s="52"/>
      <c r="C617" s="52"/>
      <c r="D617" s="52"/>
      <c r="E617" s="52"/>
      <c r="F617" s="52"/>
    </row>
    <row r="618" spans="1:6" s="59" customFormat="1" x14ac:dyDescent="0.2">
      <c r="A618" s="22"/>
      <c r="B618" s="52"/>
      <c r="C618" s="52"/>
      <c r="D618" s="52"/>
      <c r="E618" s="52"/>
      <c r="F618" s="52"/>
    </row>
    <row r="619" spans="1:6" s="59" customFormat="1" x14ac:dyDescent="0.2">
      <c r="A619" s="22"/>
      <c r="B619" s="52"/>
      <c r="C619" s="52"/>
      <c r="D619" s="52"/>
      <c r="E619" s="52"/>
      <c r="F619" s="52"/>
    </row>
    <row r="620" spans="1:6" s="59" customFormat="1" x14ac:dyDescent="0.2">
      <c r="A620" s="22"/>
      <c r="B620" s="52"/>
      <c r="C620" s="52"/>
      <c r="D620" s="52"/>
      <c r="E620" s="52"/>
      <c r="F620" s="52"/>
    </row>
    <row r="621" spans="1:6" s="59" customFormat="1" x14ac:dyDescent="0.2">
      <c r="A621" s="22"/>
      <c r="B621" s="52"/>
      <c r="C621" s="52"/>
      <c r="D621" s="52"/>
      <c r="E621" s="52"/>
      <c r="F621" s="52"/>
    </row>
    <row r="622" spans="1:6" s="59" customFormat="1" x14ac:dyDescent="0.2">
      <c r="A622" s="22"/>
      <c r="B622" s="52"/>
      <c r="C622" s="52"/>
      <c r="D622" s="52"/>
      <c r="E622" s="52"/>
      <c r="F622" s="52"/>
    </row>
    <row r="623" spans="1:6" s="59" customFormat="1" x14ac:dyDescent="0.2">
      <c r="A623" s="22"/>
      <c r="B623" s="52"/>
      <c r="C623" s="52"/>
      <c r="D623" s="52"/>
      <c r="E623" s="52"/>
      <c r="F623" s="52"/>
    </row>
    <row r="624" spans="1:6" s="59" customFormat="1" x14ac:dyDescent="0.2">
      <c r="A624" s="22"/>
      <c r="B624" s="52"/>
      <c r="C624" s="52"/>
      <c r="D624" s="52"/>
      <c r="E624" s="52"/>
      <c r="F624" s="52"/>
    </row>
    <row r="625" spans="1:6" s="59" customFormat="1" x14ac:dyDescent="0.2">
      <c r="A625" s="22"/>
      <c r="B625" s="52"/>
      <c r="C625" s="52"/>
      <c r="D625" s="52"/>
      <c r="E625" s="52"/>
      <c r="F625" s="52"/>
    </row>
    <row r="626" spans="1:6" s="59" customFormat="1" x14ac:dyDescent="0.2">
      <c r="A626" s="22"/>
      <c r="B626" s="52"/>
      <c r="C626" s="52"/>
      <c r="D626" s="52"/>
      <c r="E626" s="52"/>
      <c r="F626" s="52"/>
    </row>
    <row r="627" spans="1:6" s="59" customFormat="1" x14ac:dyDescent="0.2">
      <c r="A627" s="22"/>
      <c r="B627" s="52"/>
      <c r="C627" s="52"/>
      <c r="D627" s="52"/>
      <c r="E627" s="52"/>
      <c r="F627" s="52"/>
    </row>
    <row r="628" spans="1:6" s="59" customFormat="1" x14ac:dyDescent="0.2">
      <c r="A628" s="22"/>
      <c r="B628" s="52"/>
      <c r="C628" s="52"/>
      <c r="D628" s="52"/>
      <c r="E628" s="52"/>
      <c r="F628" s="52"/>
    </row>
    <row r="629" spans="1:6" s="59" customFormat="1" x14ac:dyDescent="0.2">
      <c r="A629" s="22"/>
      <c r="B629" s="52"/>
      <c r="C629" s="52"/>
      <c r="D629" s="52"/>
      <c r="E629" s="52"/>
      <c r="F629" s="52"/>
    </row>
    <row r="630" spans="1:6" s="59" customFormat="1" x14ac:dyDescent="0.2">
      <c r="A630" s="22"/>
      <c r="B630" s="52"/>
      <c r="C630" s="52"/>
      <c r="D630" s="52"/>
      <c r="E630" s="52"/>
      <c r="F630" s="52"/>
    </row>
    <row r="631" spans="1:6" s="59" customFormat="1" x14ac:dyDescent="0.2">
      <c r="A631" s="22"/>
      <c r="B631" s="52"/>
      <c r="C631" s="52"/>
      <c r="D631" s="52"/>
      <c r="E631" s="52"/>
      <c r="F631" s="52"/>
    </row>
    <row r="632" spans="1:6" s="59" customFormat="1" x14ac:dyDescent="0.2">
      <c r="A632" s="22"/>
      <c r="B632" s="52"/>
      <c r="C632" s="52"/>
      <c r="D632" s="52"/>
      <c r="E632" s="52"/>
      <c r="F632" s="52"/>
    </row>
    <row r="633" spans="1:6" s="59" customFormat="1" x14ac:dyDescent="0.2">
      <c r="A633" s="22"/>
      <c r="B633" s="52"/>
      <c r="C633" s="52"/>
      <c r="D633" s="52"/>
      <c r="E633" s="52"/>
      <c r="F633" s="52"/>
    </row>
    <row r="634" spans="1:6" s="59" customFormat="1" x14ac:dyDescent="0.2">
      <c r="A634" s="22"/>
      <c r="B634" s="52"/>
      <c r="C634" s="52"/>
      <c r="D634" s="52"/>
      <c r="E634" s="52"/>
      <c r="F634" s="52"/>
    </row>
    <row r="635" spans="1:6" s="59" customFormat="1" x14ac:dyDescent="0.2">
      <c r="A635" s="22"/>
      <c r="B635" s="52"/>
      <c r="C635" s="52"/>
      <c r="D635" s="52"/>
      <c r="E635" s="52"/>
      <c r="F635" s="52"/>
    </row>
    <row r="636" spans="1:6" s="59" customFormat="1" x14ac:dyDescent="0.2">
      <c r="A636" s="22"/>
      <c r="B636" s="52"/>
      <c r="C636" s="52"/>
      <c r="D636" s="52"/>
      <c r="E636" s="52"/>
      <c r="F636" s="52"/>
    </row>
    <row r="637" spans="1:6" s="59" customFormat="1" x14ac:dyDescent="0.2">
      <c r="A637" s="22"/>
      <c r="B637" s="52"/>
      <c r="C637" s="52"/>
      <c r="D637" s="52"/>
      <c r="E637" s="52"/>
      <c r="F637" s="52"/>
    </row>
    <row r="638" spans="1:6" s="59" customFormat="1" x14ac:dyDescent="0.2">
      <c r="A638" s="22"/>
      <c r="B638" s="52"/>
      <c r="C638" s="52"/>
      <c r="D638" s="52"/>
      <c r="E638" s="52"/>
      <c r="F638" s="52"/>
    </row>
    <row r="639" spans="1:6" s="59" customFormat="1" x14ac:dyDescent="0.2">
      <c r="A639" s="22"/>
      <c r="B639" s="52"/>
      <c r="C639" s="52"/>
      <c r="D639" s="52"/>
      <c r="E639" s="52"/>
      <c r="F639" s="52"/>
    </row>
    <row r="640" spans="1:6" s="59" customFormat="1" x14ac:dyDescent="0.2">
      <c r="A640" s="22"/>
      <c r="B640" s="52"/>
      <c r="C640" s="52"/>
      <c r="D640" s="52"/>
      <c r="E640" s="52"/>
      <c r="F640" s="52"/>
    </row>
    <row r="641" spans="1:6" s="59" customFormat="1" x14ac:dyDescent="0.2">
      <c r="A641" s="22"/>
      <c r="B641" s="52"/>
      <c r="C641" s="52"/>
      <c r="D641" s="52"/>
      <c r="E641" s="52"/>
      <c r="F641" s="52"/>
    </row>
    <row r="642" spans="1:6" s="59" customFormat="1" x14ac:dyDescent="0.2">
      <c r="A642" s="22"/>
      <c r="B642" s="52"/>
      <c r="C642" s="52"/>
      <c r="D642" s="52"/>
      <c r="E642" s="52"/>
      <c r="F642" s="52"/>
    </row>
    <row r="643" spans="1:6" s="59" customFormat="1" x14ac:dyDescent="0.2">
      <c r="A643" s="22"/>
      <c r="B643" s="52"/>
      <c r="C643" s="52"/>
      <c r="D643" s="52"/>
      <c r="E643" s="52"/>
      <c r="F643" s="52"/>
    </row>
    <row r="644" spans="1:6" s="59" customFormat="1" x14ac:dyDescent="0.2">
      <c r="A644" s="22"/>
      <c r="B644" s="52"/>
      <c r="C644" s="52"/>
      <c r="D644" s="52"/>
      <c r="E644" s="52"/>
      <c r="F644" s="52"/>
    </row>
    <row r="645" spans="1:6" s="59" customFormat="1" x14ac:dyDescent="0.2">
      <c r="A645" s="22"/>
      <c r="B645" s="52"/>
      <c r="C645" s="52"/>
      <c r="D645" s="52"/>
      <c r="E645" s="52"/>
      <c r="F645" s="52"/>
    </row>
    <row r="646" spans="1:6" s="59" customFormat="1" x14ac:dyDescent="0.2">
      <c r="A646" s="22"/>
      <c r="B646" s="52"/>
      <c r="C646" s="52"/>
      <c r="D646" s="52"/>
      <c r="E646" s="52"/>
      <c r="F646" s="52"/>
    </row>
    <row r="647" spans="1:6" s="59" customFormat="1" x14ac:dyDescent="0.2">
      <c r="A647" s="22"/>
      <c r="B647" s="52"/>
      <c r="C647" s="52"/>
      <c r="D647" s="52"/>
      <c r="E647" s="52"/>
      <c r="F647" s="52"/>
    </row>
    <row r="648" spans="1:6" s="59" customFormat="1" x14ac:dyDescent="0.2">
      <c r="A648" s="22"/>
      <c r="B648" s="52"/>
      <c r="C648" s="52"/>
      <c r="D648" s="52"/>
      <c r="E648" s="52"/>
      <c r="F648" s="52"/>
    </row>
    <row r="649" spans="1:6" s="59" customFormat="1" x14ac:dyDescent="0.2">
      <c r="A649" s="22"/>
      <c r="B649" s="52"/>
      <c r="C649" s="52"/>
      <c r="D649" s="52"/>
      <c r="E649" s="52"/>
      <c r="F649" s="52"/>
    </row>
    <row r="650" spans="1:6" s="59" customFormat="1" x14ac:dyDescent="0.2">
      <c r="A650" s="22"/>
      <c r="B650" s="52"/>
      <c r="C650" s="52"/>
      <c r="D650" s="52"/>
      <c r="E650" s="52"/>
      <c r="F650" s="52"/>
    </row>
    <row r="651" spans="1:6" s="59" customFormat="1" x14ac:dyDescent="0.2">
      <c r="A651" s="22"/>
      <c r="B651" s="52"/>
      <c r="C651" s="52"/>
      <c r="D651" s="52"/>
      <c r="E651" s="52"/>
      <c r="F651" s="52"/>
    </row>
    <row r="652" spans="1:6" s="59" customFormat="1" x14ac:dyDescent="0.2">
      <c r="A652" s="22"/>
      <c r="B652" s="52"/>
      <c r="C652" s="52"/>
      <c r="D652" s="52"/>
      <c r="E652" s="52"/>
      <c r="F652" s="52"/>
    </row>
    <row r="653" spans="1:6" s="59" customFormat="1" x14ac:dyDescent="0.2">
      <c r="A653" s="22"/>
      <c r="B653" s="52"/>
      <c r="C653" s="52"/>
      <c r="D653" s="52"/>
      <c r="E653" s="52"/>
      <c r="F653" s="52"/>
    </row>
    <row r="654" spans="1:6" s="59" customFormat="1" x14ac:dyDescent="0.2">
      <c r="A654" s="22"/>
      <c r="B654" s="52"/>
      <c r="C654" s="52"/>
      <c r="D654" s="52"/>
      <c r="E654" s="52"/>
      <c r="F654" s="52"/>
    </row>
    <row r="655" spans="1:6" s="59" customFormat="1" x14ac:dyDescent="0.2">
      <c r="A655" s="22"/>
      <c r="B655" s="52"/>
      <c r="C655" s="52"/>
      <c r="D655" s="52"/>
      <c r="E655" s="52"/>
      <c r="F655" s="52"/>
    </row>
    <row r="656" spans="1:6" s="59" customFormat="1" x14ac:dyDescent="0.2">
      <c r="A656" s="22"/>
      <c r="B656" s="52"/>
      <c r="C656" s="52"/>
      <c r="D656" s="52"/>
      <c r="E656" s="52"/>
      <c r="F656" s="52"/>
    </row>
    <row r="657" spans="1:6" s="59" customFormat="1" x14ac:dyDescent="0.2">
      <c r="A657" s="22"/>
      <c r="B657" s="52"/>
      <c r="C657" s="52"/>
      <c r="D657" s="52"/>
      <c r="E657" s="52"/>
      <c r="F657" s="52"/>
    </row>
    <row r="658" spans="1:6" s="59" customFormat="1" x14ac:dyDescent="0.2">
      <c r="A658" s="22"/>
      <c r="B658" s="52"/>
      <c r="C658" s="52"/>
      <c r="D658" s="52"/>
      <c r="E658" s="52"/>
      <c r="F658" s="52"/>
    </row>
    <row r="659" spans="1:6" s="59" customFormat="1" x14ac:dyDescent="0.2">
      <c r="A659" s="22"/>
      <c r="B659" s="52"/>
      <c r="C659" s="52"/>
      <c r="D659" s="52"/>
      <c r="E659" s="52"/>
      <c r="F659" s="52"/>
    </row>
    <row r="660" spans="1:6" s="59" customFormat="1" x14ac:dyDescent="0.2">
      <c r="A660" s="22"/>
      <c r="B660" s="52"/>
      <c r="C660" s="52"/>
      <c r="D660" s="52"/>
      <c r="E660" s="52"/>
      <c r="F660" s="52"/>
    </row>
    <row r="661" spans="1:6" s="59" customFormat="1" x14ac:dyDescent="0.2">
      <c r="A661" s="22"/>
      <c r="B661" s="52"/>
      <c r="C661" s="52"/>
      <c r="D661" s="52"/>
      <c r="E661" s="52"/>
      <c r="F661" s="52"/>
    </row>
    <row r="662" spans="1:6" s="59" customFormat="1" x14ac:dyDescent="0.2">
      <c r="A662" s="22"/>
      <c r="B662" s="52"/>
      <c r="C662" s="52"/>
      <c r="D662" s="52"/>
      <c r="E662" s="52"/>
      <c r="F662" s="52"/>
    </row>
    <row r="663" spans="1:6" s="59" customFormat="1" x14ac:dyDescent="0.2">
      <c r="A663" s="22"/>
      <c r="B663" s="52"/>
      <c r="C663" s="52"/>
      <c r="D663" s="52"/>
      <c r="E663" s="52"/>
      <c r="F663" s="52"/>
    </row>
    <row r="664" spans="1:6" s="59" customFormat="1" x14ac:dyDescent="0.2">
      <c r="A664" s="22"/>
      <c r="B664" s="52"/>
      <c r="C664" s="52"/>
      <c r="D664" s="52"/>
      <c r="E664" s="52"/>
      <c r="F664" s="52"/>
    </row>
    <row r="665" spans="1:6" s="59" customFormat="1" x14ac:dyDescent="0.2">
      <c r="A665" s="22"/>
      <c r="B665" s="52"/>
      <c r="C665" s="52"/>
      <c r="D665" s="52"/>
      <c r="E665" s="52"/>
      <c r="F665" s="52"/>
    </row>
    <row r="666" spans="1:6" s="59" customFormat="1" x14ac:dyDescent="0.2">
      <c r="A666" s="22"/>
      <c r="B666" s="52"/>
      <c r="C666" s="52"/>
      <c r="D666" s="52"/>
      <c r="E666" s="52"/>
      <c r="F666" s="52"/>
    </row>
    <row r="667" spans="1:6" s="59" customFormat="1" x14ac:dyDescent="0.2">
      <c r="A667" s="22"/>
      <c r="B667" s="52"/>
      <c r="C667" s="52"/>
      <c r="D667" s="52"/>
      <c r="E667" s="52"/>
      <c r="F667" s="52"/>
    </row>
    <row r="668" spans="1:6" s="59" customFormat="1" x14ac:dyDescent="0.2">
      <c r="A668" s="22"/>
      <c r="B668" s="52"/>
      <c r="C668" s="52"/>
      <c r="D668" s="52"/>
      <c r="E668" s="52"/>
      <c r="F668" s="52"/>
    </row>
    <row r="669" spans="1:6" s="59" customFormat="1" x14ac:dyDescent="0.2">
      <c r="A669" s="22"/>
      <c r="B669" s="52"/>
      <c r="C669" s="52"/>
      <c r="D669" s="52"/>
      <c r="E669" s="52"/>
      <c r="F669" s="52"/>
    </row>
    <row r="670" spans="1:6" s="59" customFormat="1" x14ac:dyDescent="0.2">
      <c r="A670" s="22"/>
      <c r="B670" s="52"/>
      <c r="C670" s="52"/>
      <c r="D670" s="52"/>
      <c r="E670" s="52"/>
      <c r="F670" s="52"/>
    </row>
    <row r="671" spans="1:6" s="59" customFormat="1" x14ac:dyDescent="0.2">
      <c r="A671" s="22"/>
      <c r="B671" s="52"/>
      <c r="C671" s="52"/>
      <c r="D671" s="52"/>
      <c r="E671" s="52"/>
      <c r="F671" s="52"/>
    </row>
    <row r="672" spans="1:6" s="59" customFormat="1" x14ac:dyDescent="0.2">
      <c r="A672" s="22"/>
      <c r="B672" s="52"/>
      <c r="C672" s="52"/>
      <c r="D672" s="52"/>
      <c r="E672" s="52"/>
      <c r="F672" s="52"/>
    </row>
    <row r="673" spans="1:6" s="59" customFormat="1" x14ac:dyDescent="0.2">
      <c r="A673" s="22"/>
      <c r="B673" s="52"/>
      <c r="C673" s="52"/>
      <c r="D673" s="52"/>
      <c r="E673" s="52"/>
      <c r="F673" s="52"/>
    </row>
    <row r="674" spans="1:6" s="59" customFormat="1" x14ac:dyDescent="0.2">
      <c r="A674" s="22"/>
      <c r="B674" s="52"/>
      <c r="C674" s="52"/>
      <c r="D674" s="52"/>
      <c r="E674" s="52"/>
      <c r="F674" s="52"/>
    </row>
    <row r="675" spans="1:6" s="59" customFormat="1" x14ac:dyDescent="0.2">
      <c r="A675" s="22"/>
      <c r="B675" s="52"/>
      <c r="C675" s="52"/>
      <c r="D675" s="52"/>
      <c r="E675" s="52"/>
      <c r="F675" s="52"/>
    </row>
    <row r="676" spans="1:6" s="59" customFormat="1" x14ac:dyDescent="0.2">
      <c r="A676" s="22"/>
      <c r="B676" s="52"/>
      <c r="C676" s="52"/>
      <c r="D676" s="52"/>
      <c r="E676" s="52"/>
      <c r="F676" s="52"/>
    </row>
    <row r="677" spans="1:6" s="59" customFormat="1" x14ac:dyDescent="0.2">
      <c r="A677" s="22"/>
      <c r="B677" s="52"/>
      <c r="C677" s="52"/>
      <c r="D677" s="52"/>
      <c r="E677" s="52"/>
      <c r="F677" s="52"/>
    </row>
    <row r="678" spans="1:6" s="59" customFormat="1" x14ac:dyDescent="0.2">
      <c r="A678" s="22"/>
      <c r="B678" s="52"/>
      <c r="C678" s="52"/>
      <c r="D678" s="52"/>
      <c r="E678" s="52"/>
      <c r="F678" s="52"/>
    </row>
    <row r="679" spans="1:6" s="59" customFormat="1" x14ac:dyDescent="0.2">
      <c r="A679" s="22"/>
      <c r="B679" s="52"/>
      <c r="C679" s="52"/>
      <c r="D679" s="52"/>
      <c r="E679" s="52"/>
      <c r="F679" s="52"/>
    </row>
    <row r="680" spans="1:6" s="59" customFormat="1" x14ac:dyDescent="0.2">
      <c r="A680" s="22"/>
      <c r="B680" s="52"/>
      <c r="C680" s="52"/>
      <c r="D680" s="52"/>
      <c r="E680" s="52"/>
      <c r="F680" s="52"/>
    </row>
    <row r="681" spans="1:6" s="59" customFormat="1" x14ac:dyDescent="0.2">
      <c r="A681" s="22"/>
      <c r="B681" s="52"/>
      <c r="C681" s="52"/>
      <c r="D681" s="52"/>
      <c r="E681" s="52"/>
      <c r="F681" s="52"/>
    </row>
    <row r="682" spans="1:6" s="59" customFormat="1" x14ac:dyDescent="0.2">
      <c r="A682" s="22"/>
      <c r="B682" s="52"/>
      <c r="C682" s="52"/>
      <c r="D682" s="52"/>
      <c r="E682" s="52"/>
      <c r="F682" s="52"/>
    </row>
    <row r="683" spans="1:6" s="59" customFormat="1" x14ac:dyDescent="0.2">
      <c r="A683" s="22"/>
      <c r="B683" s="52"/>
      <c r="C683" s="52"/>
      <c r="D683" s="52"/>
      <c r="E683" s="52"/>
      <c r="F683" s="52"/>
    </row>
    <row r="684" spans="1:6" s="59" customFormat="1" x14ac:dyDescent="0.2">
      <c r="A684" s="22"/>
      <c r="B684" s="52"/>
      <c r="C684" s="52"/>
      <c r="D684" s="52"/>
      <c r="E684" s="52"/>
      <c r="F684" s="52"/>
    </row>
    <row r="685" spans="1:6" s="59" customFormat="1" x14ac:dyDescent="0.2">
      <c r="A685" s="22"/>
      <c r="B685" s="52"/>
      <c r="C685" s="52"/>
      <c r="D685" s="52"/>
      <c r="E685" s="52"/>
      <c r="F685" s="52"/>
    </row>
    <row r="686" spans="1:6" s="59" customFormat="1" x14ac:dyDescent="0.2">
      <c r="A686" s="22"/>
      <c r="B686" s="52"/>
      <c r="C686" s="52"/>
      <c r="D686" s="52"/>
      <c r="E686" s="52"/>
      <c r="F686" s="52"/>
    </row>
    <row r="687" spans="1:6" s="59" customFormat="1" x14ac:dyDescent="0.2">
      <c r="A687" s="22"/>
      <c r="B687" s="52"/>
      <c r="C687" s="52"/>
      <c r="D687" s="52"/>
      <c r="E687" s="52"/>
      <c r="F687" s="52"/>
    </row>
    <row r="688" spans="1:6" s="59" customFormat="1" x14ac:dyDescent="0.2">
      <c r="A688" s="22"/>
      <c r="B688" s="52"/>
      <c r="C688" s="52"/>
      <c r="D688" s="52"/>
      <c r="E688" s="52"/>
      <c r="F688" s="52"/>
    </row>
    <row r="689" spans="1:6" s="59" customFormat="1" x14ac:dyDescent="0.2">
      <c r="A689" s="22"/>
      <c r="B689" s="52"/>
      <c r="C689" s="52"/>
      <c r="D689" s="52"/>
      <c r="E689" s="52"/>
      <c r="F689" s="52"/>
    </row>
    <row r="690" spans="1:6" s="59" customFormat="1" x14ac:dyDescent="0.2">
      <c r="A690" s="22"/>
      <c r="B690" s="52"/>
      <c r="C690" s="52"/>
      <c r="D690" s="52"/>
      <c r="E690" s="52"/>
      <c r="F690" s="52"/>
    </row>
    <row r="691" spans="1:6" s="59" customFormat="1" x14ac:dyDescent="0.2">
      <c r="A691" s="22"/>
      <c r="B691" s="52"/>
      <c r="C691" s="52"/>
      <c r="D691" s="52"/>
      <c r="E691" s="52"/>
      <c r="F691" s="52"/>
    </row>
    <row r="692" spans="1:6" s="59" customFormat="1" x14ac:dyDescent="0.2">
      <c r="A692" s="22"/>
      <c r="B692" s="52"/>
      <c r="C692" s="52"/>
      <c r="D692" s="52"/>
      <c r="E692" s="52"/>
      <c r="F692" s="52"/>
    </row>
    <row r="693" spans="1:6" s="59" customFormat="1" x14ac:dyDescent="0.2">
      <c r="A693" s="22"/>
      <c r="B693" s="52"/>
      <c r="C693" s="52"/>
      <c r="D693" s="52"/>
      <c r="E693" s="52"/>
      <c r="F693" s="52"/>
    </row>
    <row r="694" spans="1:6" s="59" customFormat="1" x14ac:dyDescent="0.2">
      <c r="A694" s="22"/>
      <c r="B694" s="52"/>
      <c r="C694" s="52"/>
      <c r="D694" s="52"/>
      <c r="E694" s="52"/>
      <c r="F694" s="52"/>
    </row>
    <row r="695" spans="1:6" s="59" customFormat="1" x14ac:dyDescent="0.2">
      <c r="A695" s="22"/>
      <c r="B695" s="52"/>
      <c r="C695" s="52"/>
      <c r="D695" s="52"/>
      <c r="E695" s="52"/>
      <c r="F695" s="52"/>
    </row>
    <row r="696" spans="1:6" s="59" customFormat="1" x14ac:dyDescent="0.2">
      <c r="A696" s="22"/>
      <c r="B696" s="52"/>
      <c r="C696" s="52"/>
      <c r="D696" s="52"/>
      <c r="E696" s="52"/>
      <c r="F696" s="52"/>
    </row>
    <row r="697" spans="1:6" s="59" customFormat="1" x14ac:dyDescent="0.2">
      <c r="A697" s="22"/>
      <c r="B697" s="52"/>
      <c r="C697" s="52"/>
      <c r="D697" s="52"/>
      <c r="E697" s="52"/>
      <c r="F697" s="52"/>
    </row>
    <row r="698" spans="1:6" s="59" customFormat="1" x14ac:dyDescent="0.2">
      <c r="A698" s="22"/>
      <c r="B698" s="52"/>
      <c r="C698" s="52"/>
      <c r="D698" s="52"/>
      <c r="E698" s="52"/>
      <c r="F698" s="52"/>
    </row>
    <row r="699" spans="1:6" s="59" customFormat="1" x14ac:dyDescent="0.2">
      <c r="A699" s="22"/>
      <c r="B699" s="52"/>
      <c r="C699" s="52"/>
      <c r="D699" s="52"/>
      <c r="E699" s="52"/>
      <c r="F699" s="52"/>
    </row>
    <row r="700" spans="1:6" s="59" customFormat="1" x14ac:dyDescent="0.2">
      <c r="A700" s="22"/>
      <c r="B700" s="52"/>
      <c r="C700" s="52"/>
      <c r="D700" s="52"/>
      <c r="E700" s="52"/>
      <c r="F700" s="52"/>
    </row>
    <row r="701" spans="1:6" s="59" customFormat="1" x14ac:dyDescent="0.2">
      <c r="A701" s="22"/>
      <c r="B701" s="52"/>
      <c r="C701" s="52"/>
      <c r="D701" s="52"/>
      <c r="E701" s="52"/>
      <c r="F701" s="52"/>
    </row>
    <row r="702" spans="1:6" s="59" customFormat="1" x14ac:dyDescent="0.2">
      <c r="A702" s="22"/>
      <c r="B702" s="52"/>
      <c r="C702" s="52"/>
      <c r="D702" s="52"/>
      <c r="E702" s="52"/>
      <c r="F702" s="52"/>
    </row>
    <row r="703" spans="1:6" s="59" customFormat="1" x14ac:dyDescent="0.2">
      <c r="A703" s="22"/>
      <c r="B703" s="52"/>
      <c r="C703" s="52"/>
      <c r="D703" s="52"/>
      <c r="E703" s="52"/>
      <c r="F703" s="52"/>
    </row>
    <row r="704" spans="1:6" s="59" customFormat="1" x14ac:dyDescent="0.2">
      <c r="A704" s="22"/>
      <c r="B704" s="52"/>
      <c r="C704" s="52"/>
      <c r="D704" s="52"/>
      <c r="E704" s="52"/>
      <c r="F704" s="52"/>
    </row>
    <row r="705" spans="1:6" s="59" customFormat="1" x14ac:dyDescent="0.2">
      <c r="A705" s="22"/>
      <c r="B705" s="52"/>
      <c r="C705" s="52"/>
      <c r="D705" s="52"/>
      <c r="E705" s="52"/>
      <c r="F705" s="52"/>
    </row>
    <row r="706" spans="1:6" s="59" customFormat="1" x14ac:dyDescent="0.2">
      <c r="A706" s="22"/>
      <c r="B706" s="52"/>
      <c r="C706" s="52"/>
      <c r="D706" s="52"/>
      <c r="E706" s="52"/>
      <c r="F706" s="52"/>
    </row>
    <row r="707" spans="1:6" s="59" customFormat="1" x14ac:dyDescent="0.2">
      <c r="A707" s="22"/>
      <c r="B707" s="52"/>
      <c r="C707" s="52"/>
      <c r="D707" s="52"/>
      <c r="E707" s="52"/>
      <c r="F707" s="52"/>
    </row>
    <row r="708" spans="1:6" s="59" customFormat="1" x14ac:dyDescent="0.2">
      <c r="A708" s="22"/>
      <c r="B708" s="52"/>
      <c r="C708" s="52"/>
      <c r="D708" s="52"/>
      <c r="E708" s="52"/>
      <c r="F708" s="52"/>
    </row>
    <row r="709" spans="1:6" s="59" customFormat="1" x14ac:dyDescent="0.2">
      <c r="A709" s="22"/>
      <c r="B709" s="52"/>
      <c r="C709" s="52"/>
      <c r="D709" s="52"/>
      <c r="E709" s="52"/>
      <c r="F709" s="52"/>
    </row>
    <row r="710" spans="1:6" s="59" customFormat="1" x14ac:dyDescent="0.2">
      <c r="A710" s="22"/>
      <c r="B710" s="52"/>
      <c r="C710" s="52"/>
      <c r="D710" s="52"/>
      <c r="E710" s="52"/>
      <c r="F710" s="52"/>
    </row>
    <row r="711" spans="1:6" s="59" customFormat="1" x14ac:dyDescent="0.2">
      <c r="A711" s="22"/>
      <c r="B711" s="52"/>
      <c r="C711" s="52"/>
      <c r="D711" s="52"/>
      <c r="E711" s="52"/>
      <c r="F711" s="52"/>
    </row>
    <row r="712" spans="1:6" s="59" customFormat="1" x14ac:dyDescent="0.2">
      <c r="A712" s="22"/>
      <c r="B712" s="52"/>
      <c r="C712" s="52"/>
      <c r="D712" s="52"/>
      <c r="E712" s="52"/>
      <c r="F712" s="52"/>
    </row>
    <row r="713" spans="1:6" s="59" customFormat="1" x14ac:dyDescent="0.2">
      <c r="A713" s="22"/>
      <c r="B713" s="52"/>
      <c r="C713" s="52"/>
      <c r="D713" s="52"/>
      <c r="E713" s="52"/>
      <c r="F713" s="52"/>
    </row>
    <row r="714" spans="1:6" s="59" customFormat="1" x14ac:dyDescent="0.2">
      <c r="A714" s="22"/>
      <c r="B714" s="52"/>
      <c r="C714" s="52"/>
      <c r="D714" s="52"/>
      <c r="E714" s="52"/>
      <c r="F714" s="52"/>
    </row>
    <row r="715" spans="1:6" s="59" customFormat="1" x14ac:dyDescent="0.2">
      <c r="A715" s="22"/>
      <c r="B715" s="52"/>
      <c r="C715" s="52"/>
      <c r="D715" s="52"/>
      <c r="E715" s="52"/>
      <c r="F715" s="52"/>
    </row>
    <row r="716" spans="1:6" s="59" customFormat="1" x14ac:dyDescent="0.2">
      <c r="A716" s="22"/>
      <c r="B716" s="52"/>
      <c r="C716" s="52"/>
      <c r="D716" s="52"/>
      <c r="E716" s="52"/>
      <c r="F716" s="52"/>
    </row>
    <row r="717" spans="1:6" s="59" customFormat="1" x14ac:dyDescent="0.2">
      <c r="A717" s="22"/>
      <c r="B717" s="52"/>
      <c r="C717" s="52"/>
      <c r="D717" s="52"/>
      <c r="E717" s="52"/>
      <c r="F717" s="52"/>
    </row>
    <row r="718" spans="1:6" s="59" customFormat="1" x14ac:dyDescent="0.2">
      <c r="A718" s="22"/>
      <c r="B718" s="52"/>
      <c r="C718" s="52"/>
      <c r="D718" s="52"/>
      <c r="E718" s="52"/>
      <c r="F718" s="52"/>
    </row>
    <row r="719" spans="1:6" s="59" customFormat="1" x14ac:dyDescent="0.2">
      <c r="A719" s="22"/>
      <c r="B719" s="52"/>
      <c r="C719" s="52"/>
      <c r="D719" s="52"/>
      <c r="E719" s="52"/>
      <c r="F719" s="52"/>
    </row>
    <row r="720" spans="1:6" s="59" customFormat="1" x14ac:dyDescent="0.2">
      <c r="A720" s="22"/>
      <c r="B720" s="52"/>
      <c r="C720" s="52"/>
      <c r="D720" s="52"/>
      <c r="E720" s="52"/>
      <c r="F720" s="52"/>
    </row>
    <row r="721" spans="1:6" s="59" customFormat="1" x14ac:dyDescent="0.2">
      <c r="A721" s="22"/>
      <c r="B721" s="52"/>
      <c r="C721" s="52"/>
      <c r="D721" s="52"/>
      <c r="E721" s="52"/>
      <c r="F721" s="52"/>
    </row>
    <row r="722" spans="1:6" s="59" customFormat="1" x14ac:dyDescent="0.2">
      <c r="A722" s="22"/>
      <c r="B722" s="52"/>
      <c r="C722" s="52"/>
      <c r="D722" s="52"/>
      <c r="E722" s="52"/>
      <c r="F722" s="52"/>
    </row>
    <row r="723" spans="1:6" s="59" customFormat="1" x14ac:dyDescent="0.2">
      <c r="A723" s="22"/>
      <c r="B723" s="52"/>
      <c r="C723" s="52"/>
      <c r="D723" s="52"/>
      <c r="E723" s="52"/>
      <c r="F723" s="52"/>
    </row>
    <row r="724" spans="1:6" s="59" customFormat="1" x14ac:dyDescent="0.2">
      <c r="A724" s="22"/>
      <c r="B724" s="52"/>
      <c r="C724" s="52"/>
      <c r="D724" s="52"/>
      <c r="E724" s="52"/>
      <c r="F724" s="52"/>
    </row>
    <row r="725" spans="1:6" s="59" customFormat="1" x14ac:dyDescent="0.2">
      <c r="A725" s="22"/>
      <c r="B725" s="52"/>
      <c r="C725" s="52"/>
      <c r="D725" s="52"/>
      <c r="E725" s="52"/>
      <c r="F725" s="52"/>
    </row>
    <row r="726" spans="1:6" s="59" customFormat="1" x14ac:dyDescent="0.2">
      <c r="A726" s="22"/>
      <c r="B726" s="52"/>
      <c r="C726" s="52"/>
      <c r="D726" s="52"/>
      <c r="E726" s="52"/>
      <c r="F726" s="52"/>
    </row>
    <row r="727" spans="1:6" s="59" customFormat="1" x14ac:dyDescent="0.2">
      <c r="A727" s="22"/>
      <c r="B727" s="52"/>
      <c r="C727" s="52"/>
      <c r="D727" s="52"/>
      <c r="E727" s="52"/>
      <c r="F727" s="52"/>
    </row>
    <row r="728" spans="1:6" s="59" customFormat="1" x14ac:dyDescent="0.2">
      <c r="A728" s="22"/>
      <c r="B728" s="52"/>
      <c r="C728" s="52"/>
      <c r="D728" s="52"/>
      <c r="E728" s="52"/>
      <c r="F728" s="52"/>
    </row>
    <row r="729" spans="1:6" s="59" customFormat="1" x14ac:dyDescent="0.2">
      <c r="A729" s="22"/>
      <c r="B729" s="52"/>
      <c r="C729" s="52"/>
      <c r="D729" s="52"/>
      <c r="E729" s="52"/>
      <c r="F729" s="52"/>
    </row>
    <row r="730" spans="1:6" s="59" customFormat="1" x14ac:dyDescent="0.2">
      <c r="A730" s="22"/>
      <c r="B730" s="52"/>
      <c r="C730" s="52"/>
      <c r="D730" s="52"/>
      <c r="E730" s="52"/>
      <c r="F730" s="52"/>
    </row>
    <row r="731" spans="1:6" s="59" customFormat="1" x14ac:dyDescent="0.2">
      <c r="A731" s="22"/>
      <c r="B731" s="52"/>
      <c r="C731" s="52"/>
      <c r="D731" s="52"/>
      <c r="E731" s="52"/>
      <c r="F731" s="52"/>
    </row>
    <row r="732" spans="1:6" s="59" customFormat="1" x14ac:dyDescent="0.2">
      <c r="A732" s="22"/>
      <c r="B732" s="52"/>
      <c r="C732" s="52"/>
      <c r="D732" s="52"/>
      <c r="E732" s="52"/>
      <c r="F732" s="52"/>
    </row>
    <row r="733" spans="1:6" s="59" customFormat="1" x14ac:dyDescent="0.2">
      <c r="A733" s="22"/>
      <c r="B733" s="52"/>
      <c r="C733" s="52"/>
      <c r="D733" s="52"/>
      <c r="E733" s="52"/>
      <c r="F733" s="52"/>
    </row>
    <row r="734" spans="1:6" s="59" customFormat="1" x14ac:dyDescent="0.2">
      <c r="A734" s="22"/>
      <c r="B734" s="52"/>
      <c r="C734" s="52"/>
      <c r="D734" s="52"/>
      <c r="E734" s="52"/>
      <c r="F734" s="52"/>
    </row>
    <row r="735" spans="1:6" s="59" customFormat="1" x14ac:dyDescent="0.2">
      <c r="A735" s="22"/>
      <c r="B735" s="52"/>
      <c r="C735" s="52"/>
      <c r="D735" s="52"/>
      <c r="E735" s="52"/>
      <c r="F735" s="52"/>
    </row>
    <row r="736" spans="1:6" s="59" customFormat="1" x14ac:dyDescent="0.2">
      <c r="A736" s="22"/>
      <c r="B736" s="52"/>
      <c r="C736" s="52"/>
      <c r="D736" s="52"/>
      <c r="E736" s="52"/>
      <c r="F736" s="52"/>
    </row>
    <row r="737" spans="1:6" s="59" customFormat="1" x14ac:dyDescent="0.2">
      <c r="A737" s="22"/>
      <c r="B737" s="52"/>
      <c r="C737" s="52"/>
      <c r="D737" s="52"/>
      <c r="E737" s="52"/>
      <c r="F737" s="52"/>
    </row>
    <row r="738" spans="1:6" s="59" customFormat="1" x14ac:dyDescent="0.2">
      <c r="A738" s="22"/>
      <c r="B738" s="52"/>
      <c r="C738" s="52"/>
      <c r="D738" s="52"/>
      <c r="E738" s="52"/>
      <c r="F738" s="52"/>
    </row>
    <row r="739" spans="1:6" s="59" customFormat="1" x14ac:dyDescent="0.2">
      <c r="A739" s="22"/>
      <c r="B739" s="52"/>
      <c r="C739" s="52"/>
      <c r="D739" s="52"/>
      <c r="E739" s="52"/>
      <c r="F739" s="52"/>
    </row>
    <row r="740" spans="1:6" s="59" customFormat="1" x14ac:dyDescent="0.2">
      <c r="A740" s="22"/>
      <c r="B740" s="52"/>
      <c r="C740" s="52"/>
      <c r="D740" s="52"/>
      <c r="E740" s="52"/>
      <c r="F740" s="52"/>
    </row>
    <row r="741" spans="1:6" s="59" customFormat="1" x14ac:dyDescent="0.2">
      <c r="A741" s="22"/>
      <c r="B741" s="52"/>
      <c r="C741" s="52"/>
      <c r="D741" s="52"/>
      <c r="E741" s="52"/>
      <c r="F741" s="52"/>
    </row>
    <row r="742" spans="1:6" s="59" customFormat="1" x14ac:dyDescent="0.2">
      <c r="A742" s="22"/>
      <c r="B742" s="52"/>
      <c r="C742" s="52"/>
      <c r="D742" s="52"/>
      <c r="E742" s="52"/>
      <c r="F742" s="52"/>
    </row>
    <row r="743" spans="1:6" s="59" customFormat="1" x14ac:dyDescent="0.2">
      <c r="A743" s="22"/>
      <c r="B743" s="52"/>
      <c r="C743" s="52"/>
      <c r="D743" s="52"/>
      <c r="E743" s="52"/>
      <c r="F743" s="52"/>
    </row>
    <row r="744" spans="1:6" s="59" customFormat="1" x14ac:dyDescent="0.2">
      <c r="A744" s="22"/>
      <c r="B744" s="52"/>
      <c r="C744" s="52"/>
      <c r="D744" s="52"/>
      <c r="E744" s="52"/>
      <c r="F744" s="52"/>
    </row>
    <row r="745" spans="1:6" s="59" customFormat="1" x14ac:dyDescent="0.2">
      <c r="A745" s="22"/>
      <c r="B745" s="52"/>
      <c r="C745" s="52"/>
      <c r="D745" s="52"/>
      <c r="E745" s="52"/>
      <c r="F745" s="52"/>
    </row>
    <row r="746" spans="1:6" s="59" customFormat="1" x14ac:dyDescent="0.2">
      <c r="A746" s="22"/>
      <c r="B746" s="52"/>
      <c r="C746" s="52"/>
      <c r="D746" s="52"/>
      <c r="E746" s="52"/>
      <c r="F746" s="52"/>
    </row>
    <row r="747" spans="1:6" s="59" customFormat="1" x14ac:dyDescent="0.2">
      <c r="A747" s="22"/>
      <c r="B747" s="52"/>
      <c r="C747" s="52"/>
      <c r="D747" s="52"/>
      <c r="E747" s="52"/>
      <c r="F747" s="52"/>
    </row>
    <row r="748" spans="1:6" s="59" customFormat="1" x14ac:dyDescent="0.2">
      <c r="A748" s="22"/>
      <c r="B748" s="52"/>
      <c r="C748" s="52"/>
      <c r="D748" s="52"/>
      <c r="E748" s="52"/>
      <c r="F748" s="52"/>
    </row>
    <row r="749" spans="1:6" s="59" customFormat="1" x14ac:dyDescent="0.2">
      <c r="A749" s="22"/>
      <c r="B749" s="52"/>
      <c r="C749" s="52"/>
      <c r="D749" s="52"/>
      <c r="E749" s="52"/>
      <c r="F749" s="52"/>
    </row>
    <row r="750" spans="1:6" s="59" customFormat="1" x14ac:dyDescent="0.2">
      <c r="A750" s="22"/>
      <c r="B750" s="52"/>
      <c r="C750" s="52"/>
      <c r="D750" s="52"/>
      <c r="E750" s="52"/>
      <c r="F750" s="52"/>
    </row>
    <row r="751" spans="1:6" s="59" customFormat="1" x14ac:dyDescent="0.2">
      <c r="A751" s="22"/>
      <c r="B751" s="52"/>
      <c r="C751" s="52"/>
      <c r="D751" s="52"/>
      <c r="E751" s="52"/>
      <c r="F751" s="52"/>
    </row>
    <row r="752" spans="1:6" s="59" customFormat="1" x14ac:dyDescent="0.2">
      <c r="A752" s="22"/>
      <c r="B752" s="52"/>
      <c r="C752" s="52"/>
      <c r="D752" s="52"/>
      <c r="E752" s="52"/>
      <c r="F752" s="52"/>
    </row>
    <row r="753" spans="1:6" s="59" customFormat="1" x14ac:dyDescent="0.2">
      <c r="A753" s="22"/>
      <c r="B753" s="52"/>
      <c r="C753" s="52"/>
      <c r="D753" s="52"/>
      <c r="E753" s="52"/>
      <c r="F753" s="52"/>
    </row>
    <row r="754" spans="1:6" s="59" customFormat="1" x14ac:dyDescent="0.2">
      <c r="A754" s="22"/>
      <c r="B754" s="52"/>
      <c r="C754" s="52"/>
      <c r="D754" s="52"/>
      <c r="E754" s="52"/>
      <c r="F754" s="52"/>
    </row>
    <row r="755" spans="1:6" s="59" customFormat="1" x14ac:dyDescent="0.2">
      <c r="A755" s="22"/>
      <c r="B755" s="52"/>
      <c r="C755" s="52"/>
      <c r="D755" s="52"/>
      <c r="E755" s="52"/>
      <c r="F755" s="52"/>
    </row>
    <row r="756" spans="1:6" s="59" customFormat="1" x14ac:dyDescent="0.2">
      <c r="A756" s="22"/>
      <c r="B756" s="52"/>
      <c r="C756" s="52"/>
      <c r="D756" s="52"/>
      <c r="E756" s="52"/>
      <c r="F756" s="52"/>
    </row>
    <row r="757" spans="1:6" s="59" customFormat="1" x14ac:dyDescent="0.2">
      <c r="A757" s="22"/>
      <c r="B757" s="52"/>
      <c r="C757" s="52"/>
      <c r="D757" s="52"/>
      <c r="E757" s="52"/>
      <c r="F757" s="52"/>
    </row>
    <row r="758" spans="1:6" s="59" customFormat="1" x14ac:dyDescent="0.2">
      <c r="A758" s="22"/>
      <c r="B758" s="52"/>
      <c r="C758" s="52"/>
      <c r="D758" s="52"/>
      <c r="E758" s="52"/>
      <c r="F758" s="52"/>
    </row>
    <row r="759" spans="1:6" s="59" customFormat="1" x14ac:dyDescent="0.2">
      <c r="A759" s="22"/>
      <c r="B759" s="52"/>
      <c r="C759" s="52"/>
      <c r="D759" s="52"/>
      <c r="E759" s="52"/>
      <c r="F759" s="52"/>
    </row>
    <row r="760" spans="1:6" s="59" customFormat="1" x14ac:dyDescent="0.2">
      <c r="A760" s="22"/>
      <c r="B760" s="52"/>
      <c r="C760" s="52"/>
      <c r="D760" s="52"/>
      <c r="E760" s="52"/>
      <c r="F760" s="52"/>
    </row>
    <row r="761" spans="1:6" s="59" customFormat="1" x14ac:dyDescent="0.2">
      <c r="A761" s="22"/>
      <c r="B761" s="52"/>
      <c r="C761" s="52"/>
      <c r="D761" s="52"/>
      <c r="E761" s="52"/>
      <c r="F761" s="52"/>
    </row>
    <row r="762" spans="1:6" s="59" customFormat="1" x14ac:dyDescent="0.2">
      <c r="A762" s="22"/>
      <c r="B762" s="52"/>
      <c r="C762" s="52"/>
      <c r="D762" s="52"/>
      <c r="E762" s="52"/>
      <c r="F762" s="52"/>
    </row>
    <row r="763" spans="1:6" s="59" customFormat="1" x14ac:dyDescent="0.2">
      <c r="A763" s="22"/>
      <c r="B763" s="52"/>
      <c r="C763" s="52"/>
      <c r="D763" s="52"/>
      <c r="E763" s="52"/>
      <c r="F763" s="52"/>
    </row>
    <row r="764" spans="1:6" s="59" customFormat="1" x14ac:dyDescent="0.2">
      <c r="A764" s="22"/>
      <c r="B764" s="52"/>
      <c r="C764" s="52"/>
      <c r="D764" s="52"/>
      <c r="E764" s="52"/>
      <c r="F764" s="52"/>
    </row>
    <row r="765" spans="1:6" s="59" customFormat="1" x14ac:dyDescent="0.2">
      <c r="A765" s="22"/>
      <c r="B765" s="52"/>
      <c r="C765" s="52"/>
      <c r="D765" s="52"/>
      <c r="E765" s="52"/>
      <c r="F765" s="52"/>
    </row>
    <row r="766" spans="1:6" s="59" customFormat="1" x14ac:dyDescent="0.2">
      <c r="A766" s="22"/>
      <c r="B766" s="52"/>
      <c r="C766" s="52"/>
      <c r="D766" s="52"/>
      <c r="E766" s="52"/>
      <c r="F766" s="52"/>
    </row>
    <row r="767" spans="1:6" s="59" customFormat="1" x14ac:dyDescent="0.2">
      <c r="A767" s="22"/>
      <c r="B767" s="52"/>
      <c r="C767" s="52"/>
      <c r="D767" s="52"/>
      <c r="E767" s="52"/>
      <c r="F767" s="52"/>
    </row>
    <row r="768" spans="1:6" s="59" customFormat="1" x14ac:dyDescent="0.2">
      <c r="A768" s="22"/>
      <c r="B768" s="52"/>
      <c r="C768" s="52"/>
      <c r="D768" s="52"/>
      <c r="E768" s="52"/>
      <c r="F768" s="52"/>
    </row>
    <row r="769" spans="1:6" s="59" customFormat="1" x14ac:dyDescent="0.2">
      <c r="A769" s="22"/>
      <c r="B769" s="52"/>
      <c r="C769" s="52"/>
      <c r="D769" s="52"/>
      <c r="E769" s="52"/>
      <c r="F769" s="52"/>
    </row>
    <row r="770" spans="1:6" s="59" customFormat="1" x14ac:dyDescent="0.2">
      <c r="A770" s="22"/>
      <c r="B770" s="52"/>
      <c r="C770" s="52"/>
      <c r="D770" s="52"/>
      <c r="E770" s="52"/>
      <c r="F770" s="52"/>
    </row>
    <row r="771" spans="1:6" s="59" customFormat="1" x14ac:dyDescent="0.2">
      <c r="A771" s="22"/>
      <c r="B771" s="52"/>
      <c r="C771" s="52"/>
      <c r="D771" s="52"/>
      <c r="E771" s="52"/>
      <c r="F771" s="52"/>
    </row>
    <row r="772" spans="1:6" s="59" customFormat="1" x14ac:dyDescent="0.2">
      <c r="A772" s="22"/>
      <c r="B772" s="52"/>
      <c r="C772" s="52"/>
      <c r="D772" s="52"/>
      <c r="E772" s="52"/>
      <c r="F772" s="52"/>
    </row>
    <row r="773" spans="1:6" s="59" customFormat="1" x14ac:dyDescent="0.2">
      <c r="A773" s="22"/>
      <c r="B773" s="52"/>
      <c r="C773" s="52"/>
      <c r="D773" s="52"/>
      <c r="E773" s="52"/>
      <c r="F773" s="52"/>
    </row>
    <row r="774" spans="1:6" s="59" customFormat="1" x14ac:dyDescent="0.2">
      <c r="A774" s="22"/>
      <c r="B774" s="52"/>
      <c r="C774" s="52"/>
      <c r="D774" s="52"/>
      <c r="E774" s="52"/>
      <c r="F774" s="52"/>
    </row>
    <row r="775" spans="1:6" s="59" customFormat="1" x14ac:dyDescent="0.2">
      <c r="A775" s="22"/>
      <c r="B775" s="52"/>
      <c r="C775" s="52"/>
      <c r="D775" s="52"/>
      <c r="E775" s="52"/>
      <c r="F775" s="52"/>
    </row>
    <row r="776" spans="1:6" s="59" customFormat="1" x14ac:dyDescent="0.2">
      <c r="A776" s="22"/>
      <c r="B776" s="52"/>
      <c r="C776" s="52"/>
      <c r="D776" s="52"/>
      <c r="E776" s="52"/>
      <c r="F776" s="52"/>
    </row>
    <row r="777" spans="1:6" s="59" customFormat="1" x14ac:dyDescent="0.2">
      <c r="A777" s="22"/>
      <c r="B777" s="52"/>
      <c r="C777" s="52"/>
      <c r="D777" s="52"/>
      <c r="E777" s="52"/>
      <c r="F777" s="52"/>
    </row>
    <row r="778" spans="1:6" s="59" customFormat="1" x14ac:dyDescent="0.2">
      <c r="A778" s="22"/>
      <c r="B778" s="52"/>
      <c r="C778" s="52"/>
      <c r="D778" s="52"/>
      <c r="E778" s="52"/>
      <c r="F778" s="52"/>
    </row>
    <row r="779" spans="1:6" s="59" customFormat="1" x14ac:dyDescent="0.2">
      <c r="A779" s="22"/>
      <c r="B779" s="52"/>
      <c r="C779" s="52"/>
      <c r="D779" s="52"/>
      <c r="E779" s="52"/>
      <c r="F779" s="52"/>
    </row>
    <row r="780" spans="1:6" s="59" customFormat="1" x14ac:dyDescent="0.2">
      <c r="A780" s="22"/>
      <c r="B780" s="52"/>
      <c r="C780" s="52"/>
      <c r="D780" s="52"/>
      <c r="E780" s="52"/>
      <c r="F780" s="52"/>
    </row>
    <row r="781" spans="1:6" s="59" customFormat="1" x14ac:dyDescent="0.2">
      <c r="A781" s="22"/>
      <c r="B781" s="52"/>
      <c r="C781" s="52"/>
      <c r="D781" s="52"/>
      <c r="E781" s="52"/>
      <c r="F781" s="52"/>
    </row>
    <row r="782" spans="1:6" s="59" customFormat="1" x14ac:dyDescent="0.2">
      <c r="A782" s="22"/>
      <c r="B782" s="52"/>
      <c r="C782" s="52"/>
      <c r="D782" s="52"/>
      <c r="E782" s="52"/>
      <c r="F782" s="52"/>
    </row>
    <row r="783" spans="1:6" s="59" customFormat="1" x14ac:dyDescent="0.2">
      <c r="A783" s="22"/>
      <c r="B783" s="52"/>
      <c r="C783" s="52"/>
      <c r="D783" s="52"/>
      <c r="E783" s="52"/>
      <c r="F783" s="52"/>
    </row>
    <row r="784" spans="1:6" s="59" customFormat="1" x14ac:dyDescent="0.2">
      <c r="A784" s="22"/>
      <c r="B784" s="52"/>
      <c r="C784" s="52"/>
      <c r="D784" s="52"/>
      <c r="E784" s="52"/>
      <c r="F784" s="52"/>
    </row>
    <row r="785" spans="1:6" s="59" customFormat="1" x14ac:dyDescent="0.2">
      <c r="A785" s="22"/>
      <c r="B785" s="52"/>
      <c r="C785" s="52"/>
      <c r="D785" s="52"/>
      <c r="E785" s="52"/>
      <c r="F785" s="52"/>
    </row>
    <row r="786" spans="1:6" s="59" customFormat="1" x14ac:dyDescent="0.2">
      <c r="A786" s="22"/>
      <c r="B786" s="52"/>
      <c r="C786" s="52"/>
      <c r="D786" s="52"/>
      <c r="E786" s="52"/>
      <c r="F786" s="52"/>
    </row>
    <row r="787" spans="1:6" s="59" customFormat="1" x14ac:dyDescent="0.2">
      <c r="A787" s="22"/>
      <c r="B787" s="52"/>
      <c r="C787" s="52"/>
      <c r="D787" s="52"/>
      <c r="E787" s="52"/>
      <c r="F787" s="52"/>
    </row>
    <row r="788" spans="1:6" s="59" customFormat="1" x14ac:dyDescent="0.2">
      <c r="A788" s="22"/>
      <c r="B788" s="52"/>
      <c r="C788" s="52"/>
      <c r="D788" s="52"/>
      <c r="E788" s="52"/>
      <c r="F788" s="52"/>
    </row>
    <row r="789" spans="1:6" s="59" customFormat="1" x14ac:dyDescent="0.2">
      <c r="A789" s="22"/>
      <c r="B789" s="52"/>
      <c r="C789" s="52"/>
      <c r="D789" s="52"/>
      <c r="E789" s="52"/>
      <c r="F789" s="52"/>
    </row>
    <row r="790" spans="1:6" s="59" customFormat="1" x14ac:dyDescent="0.2">
      <c r="A790" s="22"/>
      <c r="B790" s="52"/>
      <c r="C790" s="52"/>
      <c r="D790" s="52"/>
      <c r="E790" s="52"/>
      <c r="F790" s="52"/>
    </row>
    <row r="791" spans="1:6" s="59" customFormat="1" x14ac:dyDescent="0.2">
      <c r="A791" s="22"/>
      <c r="B791" s="52"/>
      <c r="C791" s="52"/>
      <c r="D791" s="52"/>
      <c r="E791" s="52"/>
      <c r="F791" s="52"/>
    </row>
    <row r="792" spans="1:6" s="59" customFormat="1" x14ac:dyDescent="0.2">
      <c r="A792" s="22"/>
      <c r="B792" s="52"/>
      <c r="C792" s="52"/>
      <c r="D792" s="52"/>
      <c r="E792" s="52"/>
      <c r="F792" s="52"/>
    </row>
    <row r="793" spans="1:6" s="59" customFormat="1" x14ac:dyDescent="0.2">
      <c r="A793" s="22"/>
      <c r="B793" s="52"/>
      <c r="C793" s="52"/>
      <c r="D793" s="52"/>
      <c r="E793" s="52"/>
      <c r="F793" s="52"/>
    </row>
    <row r="794" spans="1:6" s="59" customFormat="1" x14ac:dyDescent="0.2">
      <c r="A794" s="22"/>
      <c r="B794" s="52"/>
      <c r="C794" s="52"/>
      <c r="D794" s="52"/>
      <c r="E794" s="52"/>
      <c r="F794" s="52"/>
    </row>
    <row r="795" spans="1:6" s="59" customFormat="1" x14ac:dyDescent="0.2">
      <c r="A795" s="22"/>
      <c r="B795" s="52"/>
      <c r="C795" s="52"/>
      <c r="D795" s="52"/>
      <c r="E795" s="52"/>
      <c r="F795" s="52"/>
    </row>
    <row r="796" spans="1:6" s="59" customFormat="1" x14ac:dyDescent="0.2">
      <c r="A796" s="22"/>
      <c r="B796" s="52"/>
      <c r="C796" s="52"/>
      <c r="D796" s="52"/>
      <c r="E796" s="52"/>
      <c r="F796" s="52"/>
    </row>
    <row r="797" spans="1:6" s="59" customFormat="1" x14ac:dyDescent="0.2">
      <c r="A797" s="22"/>
      <c r="B797" s="52"/>
      <c r="C797" s="52"/>
      <c r="D797" s="52"/>
      <c r="E797" s="52"/>
      <c r="F797" s="52"/>
    </row>
    <row r="798" spans="1:6" s="59" customFormat="1" x14ac:dyDescent="0.2">
      <c r="A798" s="22"/>
      <c r="B798" s="52"/>
      <c r="C798" s="52"/>
      <c r="D798" s="52"/>
      <c r="E798" s="52"/>
      <c r="F798" s="52"/>
    </row>
    <row r="799" spans="1:6" s="59" customFormat="1" x14ac:dyDescent="0.2">
      <c r="A799" s="22"/>
      <c r="B799" s="52"/>
      <c r="C799" s="52"/>
      <c r="D799" s="52"/>
      <c r="E799" s="52"/>
      <c r="F799" s="52"/>
    </row>
    <row r="800" spans="1:6" s="59" customFormat="1" x14ac:dyDescent="0.2">
      <c r="A800" s="22"/>
      <c r="B800" s="52"/>
      <c r="C800" s="52"/>
      <c r="D800" s="52"/>
      <c r="E800" s="52"/>
      <c r="F800" s="52"/>
    </row>
    <row r="801" spans="1:6" s="59" customFormat="1" x14ac:dyDescent="0.2">
      <c r="A801" s="22"/>
      <c r="B801" s="52"/>
      <c r="C801" s="52"/>
      <c r="D801" s="52"/>
      <c r="E801" s="52"/>
      <c r="F801" s="52"/>
    </row>
    <row r="802" spans="1:6" s="59" customFormat="1" x14ac:dyDescent="0.2">
      <c r="A802" s="22"/>
      <c r="B802" s="52"/>
      <c r="C802" s="52"/>
      <c r="D802" s="52"/>
      <c r="E802" s="52"/>
      <c r="F802" s="52"/>
    </row>
    <row r="803" spans="1:6" s="59" customFormat="1" x14ac:dyDescent="0.2">
      <c r="A803" s="22"/>
      <c r="B803" s="52"/>
      <c r="C803" s="52"/>
      <c r="D803" s="52"/>
      <c r="E803" s="52"/>
      <c r="F803" s="52"/>
    </row>
    <row r="804" spans="1:6" s="59" customFormat="1" x14ac:dyDescent="0.2">
      <c r="A804" s="22"/>
      <c r="B804" s="52"/>
      <c r="C804" s="52"/>
      <c r="D804" s="52"/>
      <c r="E804" s="52"/>
      <c r="F804" s="52"/>
    </row>
    <row r="805" spans="1:6" s="59" customFormat="1" x14ac:dyDescent="0.2">
      <c r="A805" s="22"/>
      <c r="B805" s="52"/>
      <c r="C805" s="52"/>
      <c r="D805" s="52"/>
      <c r="E805" s="52"/>
      <c r="F805" s="52"/>
    </row>
    <row r="806" spans="1:6" s="59" customFormat="1" x14ac:dyDescent="0.2">
      <c r="A806" s="22"/>
      <c r="B806" s="52"/>
      <c r="C806" s="52"/>
      <c r="D806" s="52"/>
      <c r="E806" s="52"/>
      <c r="F806" s="52"/>
    </row>
    <row r="807" spans="1:6" s="59" customFormat="1" x14ac:dyDescent="0.2">
      <c r="A807" s="22"/>
      <c r="B807" s="52"/>
      <c r="C807" s="52"/>
      <c r="D807" s="52"/>
      <c r="E807" s="52"/>
      <c r="F807" s="52"/>
    </row>
    <row r="808" spans="1:6" s="59" customFormat="1" x14ac:dyDescent="0.2">
      <c r="A808" s="22"/>
      <c r="B808" s="52"/>
      <c r="C808" s="52"/>
      <c r="D808" s="52"/>
      <c r="E808" s="52"/>
      <c r="F808" s="52"/>
    </row>
    <row r="809" spans="1:6" s="59" customFormat="1" x14ac:dyDescent="0.2">
      <c r="A809" s="22"/>
      <c r="B809" s="52"/>
      <c r="C809" s="52"/>
      <c r="D809" s="52"/>
      <c r="E809" s="52"/>
      <c r="F809" s="52"/>
    </row>
    <row r="810" spans="1:6" s="59" customFormat="1" x14ac:dyDescent="0.2">
      <c r="A810" s="22"/>
      <c r="B810" s="52"/>
      <c r="C810" s="52"/>
      <c r="D810" s="52"/>
      <c r="E810" s="52"/>
      <c r="F810" s="52"/>
    </row>
    <row r="811" spans="1:6" s="59" customFormat="1" x14ac:dyDescent="0.2">
      <c r="A811" s="22"/>
      <c r="B811" s="52"/>
      <c r="C811" s="52"/>
      <c r="D811" s="52"/>
      <c r="E811" s="52"/>
      <c r="F811" s="52"/>
    </row>
    <row r="812" spans="1:6" s="59" customFormat="1" x14ac:dyDescent="0.2">
      <c r="A812" s="22"/>
      <c r="B812" s="52"/>
      <c r="C812" s="52"/>
      <c r="D812" s="52"/>
      <c r="E812" s="52"/>
      <c r="F812" s="52"/>
    </row>
    <row r="813" spans="1:6" s="59" customFormat="1" x14ac:dyDescent="0.2">
      <c r="A813" s="22"/>
      <c r="B813" s="52"/>
      <c r="C813" s="52"/>
      <c r="D813" s="52"/>
      <c r="E813" s="52"/>
      <c r="F813" s="52"/>
    </row>
    <row r="814" spans="1:6" s="59" customFormat="1" x14ac:dyDescent="0.2">
      <c r="A814" s="22"/>
      <c r="B814" s="52"/>
      <c r="C814" s="52"/>
      <c r="D814" s="52"/>
      <c r="E814" s="52"/>
      <c r="F814" s="52"/>
    </row>
    <row r="815" spans="1:6" s="59" customFormat="1" x14ac:dyDescent="0.2">
      <c r="A815" s="22"/>
      <c r="B815" s="52"/>
      <c r="C815" s="52"/>
      <c r="D815" s="52"/>
      <c r="E815" s="52"/>
      <c r="F815" s="52"/>
    </row>
    <row r="816" spans="1:6" s="59" customFormat="1" x14ac:dyDescent="0.2">
      <c r="A816" s="22"/>
      <c r="B816" s="52"/>
      <c r="C816" s="52"/>
      <c r="D816" s="52"/>
      <c r="E816" s="52"/>
      <c r="F816" s="52"/>
    </row>
    <row r="817" spans="1:6" s="59" customFormat="1" x14ac:dyDescent="0.2">
      <c r="A817" s="22"/>
      <c r="B817" s="52"/>
      <c r="C817" s="52"/>
      <c r="D817" s="52"/>
      <c r="E817" s="52"/>
      <c r="F817" s="52"/>
    </row>
    <row r="818" spans="1:6" s="59" customFormat="1" x14ac:dyDescent="0.2">
      <c r="A818" s="22"/>
      <c r="B818" s="52"/>
      <c r="C818" s="52"/>
      <c r="D818" s="52"/>
      <c r="E818" s="52"/>
      <c r="F818" s="52"/>
    </row>
    <row r="819" spans="1:6" s="59" customFormat="1" x14ac:dyDescent="0.2">
      <c r="A819" s="22"/>
      <c r="B819" s="52"/>
      <c r="C819" s="52"/>
      <c r="D819" s="52"/>
      <c r="E819" s="52"/>
      <c r="F819" s="52"/>
    </row>
    <row r="820" spans="1:6" s="59" customFormat="1" x14ac:dyDescent="0.2">
      <c r="A820" s="22"/>
      <c r="B820" s="52"/>
      <c r="C820" s="52"/>
      <c r="D820" s="52"/>
      <c r="E820" s="52"/>
      <c r="F820" s="52"/>
    </row>
    <row r="821" spans="1:6" s="59" customFormat="1" x14ac:dyDescent="0.2">
      <c r="A821" s="22"/>
      <c r="B821" s="52"/>
      <c r="C821" s="52"/>
      <c r="D821" s="52"/>
      <c r="E821" s="52"/>
      <c r="F821" s="52"/>
    </row>
    <row r="822" spans="1:6" s="59" customFormat="1" x14ac:dyDescent="0.2">
      <c r="A822" s="22"/>
      <c r="B822" s="52"/>
      <c r="C822" s="52"/>
      <c r="D822" s="52"/>
      <c r="E822" s="52"/>
      <c r="F822" s="52"/>
    </row>
    <row r="823" spans="1:6" s="59" customFormat="1" x14ac:dyDescent="0.2">
      <c r="A823" s="22"/>
      <c r="B823" s="52"/>
      <c r="C823" s="52"/>
      <c r="D823" s="52"/>
      <c r="E823" s="52"/>
      <c r="F823" s="52"/>
    </row>
    <row r="824" spans="1:6" s="59" customFormat="1" x14ac:dyDescent="0.2">
      <c r="A824" s="22"/>
      <c r="B824" s="52"/>
      <c r="C824" s="52"/>
      <c r="D824" s="52"/>
      <c r="E824" s="52"/>
      <c r="F824" s="52"/>
    </row>
    <row r="825" spans="1:6" s="59" customFormat="1" x14ac:dyDescent="0.2">
      <c r="A825" s="22"/>
      <c r="B825" s="52"/>
      <c r="C825" s="52"/>
      <c r="D825" s="52"/>
      <c r="E825" s="52"/>
      <c r="F825" s="52"/>
    </row>
    <row r="826" spans="1:6" s="59" customFormat="1" x14ac:dyDescent="0.2">
      <c r="A826" s="22"/>
      <c r="B826" s="52"/>
      <c r="C826" s="52"/>
      <c r="D826" s="52"/>
      <c r="E826" s="52"/>
      <c r="F826" s="52"/>
    </row>
    <row r="827" spans="1:6" s="59" customFormat="1" x14ac:dyDescent="0.2">
      <c r="A827" s="22"/>
      <c r="B827" s="52"/>
      <c r="C827" s="52"/>
      <c r="D827" s="52"/>
      <c r="E827" s="52"/>
      <c r="F827" s="52"/>
    </row>
    <row r="828" spans="1:6" s="59" customFormat="1" x14ac:dyDescent="0.2">
      <c r="A828" s="22"/>
      <c r="B828" s="52"/>
      <c r="C828" s="52"/>
      <c r="D828" s="52"/>
      <c r="E828" s="52"/>
      <c r="F828" s="52"/>
    </row>
    <row r="829" spans="1:6" s="59" customFormat="1" x14ac:dyDescent="0.2">
      <c r="A829" s="22"/>
      <c r="B829" s="52"/>
      <c r="C829" s="52"/>
      <c r="D829" s="52"/>
      <c r="E829" s="52"/>
      <c r="F829" s="52"/>
    </row>
    <row r="830" spans="1:6" s="59" customFormat="1" x14ac:dyDescent="0.2">
      <c r="A830" s="22"/>
      <c r="B830" s="52"/>
      <c r="C830" s="52"/>
      <c r="D830" s="52"/>
      <c r="E830" s="52"/>
      <c r="F830" s="52"/>
    </row>
    <row r="831" spans="1:6" s="59" customFormat="1" x14ac:dyDescent="0.2">
      <c r="A831" s="22"/>
      <c r="B831" s="52"/>
      <c r="C831" s="52"/>
      <c r="D831" s="52"/>
      <c r="E831" s="52"/>
      <c r="F831" s="52"/>
    </row>
    <row r="832" spans="1:6" s="59" customFormat="1" x14ac:dyDescent="0.2">
      <c r="A832" s="22"/>
      <c r="B832" s="52"/>
      <c r="C832" s="52"/>
      <c r="D832" s="52"/>
      <c r="E832" s="52"/>
      <c r="F832" s="52"/>
    </row>
    <row r="833" spans="1:6" s="59" customFormat="1" x14ac:dyDescent="0.2">
      <c r="A833" s="22"/>
      <c r="B833" s="52"/>
      <c r="C833" s="52"/>
      <c r="D833" s="52"/>
      <c r="E833" s="52"/>
      <c r="F833" s="52"/>
    </row>
    <row r="834" spans="1:6" s="59" customFormat="1" x14ac:dyDescent="0.2">
      <c r="A834" s="22"/>
      <c r="B834" s="52"/>
      <c r="C834" s="52"/>
      <c r="D834" s="52"/>
      <c r="E834" s="52"/>
      <c r="F834" s="52"/>
    </row>
    <row r="835" spans="1:6" s="59" customFormat="1" x14ac:dyDescent="0.2">
      <c r="A835" s="22"/>
      <c r="B835" s="52"/>
      <c r="C835" s="52"/>
      <c r="D835" s="52"/>
      <c r="E835" s="52"/>
      <c r="F835" s="52"/>
    </row>
    <row r="836" spans="1:6" s="59" customFormat="1" x14ac:dyDescent="0.2">
      <c r="A836" s="22"/>
      <c r="B836" s="52"/>
      <c r="C836" s="52"/>
      <c r="D836" s="52"/>
      <c r="E836" s="52"/>
      <c r="F836" s="52"/>
    </row>
    <row r="837" spans="1:6" s="59" customFormat="1" x14ac:dyDescent="0.2">
      <c r="A837" s="22"/>
      <c r="B837" s="52"/>
      <c r="C837" s="52"/>
      <c r="D837" s="52"/>
      <c r="E837" s="52"/>
      <c r="F837" s="52"/>
    </row>
    <row r="838" spans="1:6" s="59" customFormat="1" x14ac:dyDescent="0.2">
      <c r="A838" s="22"/>
      <c r="B838" s="52"/>
      <c r="C838" s="52"/>
      <c r="D838" s="52"/>
      <c r="E838" s="52"/>
      <c r="F838" s="52"/>
    </row>
    <row r="839" spans="1:6" s="59" customFormat="1" x14ac:dyDescent="0.2">
      <c r="A839" s="22"/>
      <c r="B839" s="52"/>
      <c r="C839" s="52"/>
      <c r="D839" s="52"/>
      <c r="E839" s="52"/>
      <c r="F839" s="52"/>
    </row>
    <row r="840" spans="1:6" s="59" customFormat="1" x14ac:dyDescent="0.2">
      <c r="A840" s="22"/>
      <c r="B840" s="52"/>
      <c r="C840" s="52"/>
      <c r="D840" s="52"/>
      <c r="E840" s="52"/>
      <c r="F840" s="52"/>
    </row>
    <row r="841" spans="1:6" s="59" customFormat="1" x14ac:dyDescent="0.2">
      <c r="A841" s="22"/>
      <c r="B841" s="52"/>
      <c r="C841" s="52"/>
      <c r="D841" s="52"/>
      <c r="E841" s="52"/>
      <c r="F841" s="52"/>
    </row>
    <row r="842" spans="1:6" s="59" customFormat="1" x14ac:dyDescent="0.2">
      <c r="A842" s="22"/>
      <c r="B842" s="52"/>
      <c r="C842" s="52"/>
      <c r="D842" s="52"/>
      <c r="E842" s="52"/>
      <c r="F842" s="52"/>
    </row>
    <row r="843" spans="1:6" s="59" customFormat="1" x14ac:dyDescent="0.2">
      <c r="A843" s="22"/>
      <c r="B843" s="52"/>
      <c r="C843" s="52"/>
      <c r="D843" s="52"/>
      <c r="E843" s="52"/>
      <c r="F843" s="52"/>
    </row>
    <row r="844" spans="1:6" s="59" customFormat="1" x14ac:dyDescent="0.2">
      <c r="A844" s="22"/>
      <c r="B844" s="52"/>
      <c r="C844" s="52"/>
      <c r="D844" s="52"/>
      <c r="E844" s="52"/>
      <c r="F844" s="52"/>
    </row>
    <row r="845" spans="1:6" s="59" customFormat="1" x14ac:dyDescent="0.2">
      <c r="A845" s="22"/>
      <c r="B845" s="52"/>
      <c r="C845" s="52"/>
      <c r="D845" s="52"/>
      <c r="E845" s="52"/>
      <c r="F845" s="52"/>
    </row>
    <row r="846" spans="1:6" s="59" customFormat="1" x14ac:dyDescent="0.2">
      <c r="A846" s="22"/>
      <c r="B846" s="52"/>
      <c r="C846" s="52"/>
      <c r="D846" s="52"/>
      <c r="E846" s="52"/>
      <c r="F846" s="52"/>
    </row>
    <row r="847" spans="1:6" s="59" customFormat="1" x14ac:dyDescent="0.2">
      <c r="A847" s="22"/>
      <c r="B847" s="52"/>
      <c r="C847" s="52"/>
      <c r="D847" s="52"/>
      <c r="E847" s="52"/>
      <c r="F847" s="52"/>
    </row>
    <row r="848" spans="1:6" s="59" customFormat="1" x14ac:dyDescent="0.2">
      <c r="A848" s="22"/>
      <c r="B848" s="52"/>
      <c r="C848" s="52"/>
      <c r="D848" s="52"/>
      <c r="E848" s="52"/>
      <c r="F848" s="52"/>
    </row>
    <row r="849" spans="1:6" s="59" customFormat="1" x14ac:dyDescent="0.2">
      <c r="A849" s="22"/>
      <c r="B849" s="52"/>
      <c r="C849" s="52"/>
      <c r="D849" s="52"/>
      <c r="E849" s="52"/>
      <c r="F849" s="52"/>
    </row>
  </sheetData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workbookViewId="0">
      <selection activeCell="B20" sqref="B20"/>
    </sheetView>
  </sheetViews>
  <sheetFormatPr defaultColWidth="8.85546875" defaultRowHeight="14.25" x14ac:dyDescent="0.2"/>
  <cols>
    <col min="1" max="1" width="63.42578125" style="22" customWidth="1"/>
    <col min="2" max="3" width="15" style="40" bestFit="1" customWidth="1"/>
    <col min="4" max="6" width="15" style="40" hidden="1" customWidth="1"/>
    <col min="7" max="7" width="3.7109375" style="41" customWidth="1"/>
    <col min="8" max="8" width="43.85546875" style="1" customWidth="1"/>
    <col min="9" max="9" width="13.42578125" style="1" customWidth="1"/>
    <col min="10" max="16384" width="8.85546875" style="1"/>
  </cols>
  <sheetData>
    <row r="1" spans="1:9" ht="15" x14ac:dyDescent="0.2">
      <c r="A1" s="24" t="s">
        <v>18</v>
      </c>
      <c r="B1" s="25"/>
      <c r="C1" s="25"/>
      <c r="D1" s="25"/>
      <c r="E1" s="25"/>
      <c r="F1" s="25"/>
      <c r="G1" s="26"/>
    </row>
    <row r="2" spans="1:9" ht="15" x14ac:dyDescent="0.2">
      <c r="A2" s="19" t="s">
        <v>181</v>
      </c>
      <c r="B2" s="27"/>
      <c r="C2" s="27"/>
      <c r="D2" s="27"/>
      <c r="E2" s="27"/>
      <c r="F2" s="27"/>
      <c r="G2" s="28"/>
    </row>
    <row r="3" spans="1:9" ht="15" x14ac:dyDescent="0.2">
      <c r="A3" s="14" t="s">
        <v>73</v>
      </c>
      <c r="B3" s="29"/>
      <c r="C3" s="29"/>
      <c r="D3" s="29"/>
      <c r="E3" s="29"/>
      <c r="F3" s="29"/>
      <c r="G3" s="28"/>
    </row>
    <row r="4" spans="1:9" ht="15" x14ac:dyDescent="0.2">
      <c r="A4" s="14"/>
      <c r="B4" s="29"/>
      <c r="C4" s="29"/>
      <c r="D4" s="29"/>
      <c r="E4" s="29"/>
      <c r="F4" s="29"/>
      <c r="G4" s="28"/>
    </row>
    <row r="5" spans="1:9" ht="30" x14ac:dyDescent="0.2">
      <c r="A5" s="13"/>
      <c r="B5" s="30" t="s">
        <v>178</v>
      </c>
      <c r="C5" s="30" t="s">
        <v>168</v>
      </c>
      <c r="D5" s="30" t="s">
        <v>158</v>
      </c>
      <c r="E5" s="30" t="s">
        <v>80</v>
      </c>
      <c r="F5" s="30" t="s">
        <v>31</v>
      </c>
      <c r="G5" s="28"/>
    </row>
    <row r="6" spans="1:9" ht="15" x14ac:dyDescent="0.2">
      <c r="A6" s="13"/>
      <c r="B6" s="31"/>
      <c r="C6" s="31"/>
      <c r="D6" s="31"/>
      <c r="E6" s="31"/>
      <c r="F6" s="31"/>
      <c r="G6" s="28"/>
    </row>
    <row r="7" spans="1:9" x14ac:dyDescent="0.2">
      <c r="A7" s="16" t="s">
        <v>32</v>
      </c>
      <c r="B7" s="32">
        <v>2980012.0190881332</v>
      </c>
      <c r="C7" s="32">
        <v>2543417.6094713137</v>
      </c>
      <c r="D7" s="32">
        <f>1928993</f>
        <v>1928993</v>
      </c>
      <c r="E7" s="32">
        <f>1532234</f>
        <v>1532234</v>
      </c>
      <c r="F7" s="32">
        <f>1049608272.52/1000-17148810.14/1000</f>
        <v>1032459.4623799999</v>
      </c>
      <c r="G7" s="28"/>
      <c r="I7" s="5"/>
    </row>
    <row r="8" spans="1:9" ht="15" x14ac:dyDescent="0.2">
      <c r="A8" s="33" t="s">
        <v>71</v>
      </c>
      <c r="B8" s="34">
        <f>SUM(B7:B7)</f>
        <v>2980012.0190881332</v>
      </c>
      <c r="C8" s="34">
        <f>SUM(C7:C7)</f>
        <v>2543417.6094713137</v>
      </c>
      <c r="D8" s="34">
        <f>SUM(D7:D7)</f>
        <v>1928993</v>
      </c>
      <c r="E8" s="34">
        <f>SUM(E7:E7)</f>
        <v>1532234</v>
      </c>
      <c r="F8" s="34">
        <f>SUM(F7:F7)</f>
        <v>1032459.4623799999</v>
      </c>
      <c r="G8" s="28"/>
    </row>
    <row r="9" spans="1:9" x14ac:dyDescent="0.2">
      <c r="A9" s="17"/>
      <c r="B9" s="32"/>
      <c r="C9" s="32"/>
      <c r="D9" s="32"/>
      <c r="E9" s="32"/>
      <c r="F9" s="32"/>
      <c r="G9" s="28"/>
    </row>
    <row r="10" spans="1:9" ht="15" x14ac:dyDescent="0.25">
      <c r="A10" s="16" t="s">
        <v>16</v>
      </c>
      <c r="B10" s="32">
        <v>15352.842993653399</v>
      </c>
      <c r="C10" s="32">
        <v>20567.504949198901</v>
      </c>
      <c r="D10" s="32">
        <f>26789</f>
        <v>26789</v>
      </c>
      <c r="E10" s="32">
        <f>11837</f>
        <v>11837</v>
      </c>
      <c r="F10" s="32">
        <f>2561591.7/1000</f>
        <v>2561.5917000000004</v>
      </c>
      <c r="G10" s="28"/>
      <c r="H10" s="106"/>
      <c r="I10" s="89"/>
    </row>
    <row r="11" spans="1:9" x14ac:dyDescent="0.2">
      <c r="A11" s="17"/>
      <c r="B11" s="32"/>
      <c r="C11" s="32"/>
      <c r="D11" s="32"/>
      <c r="E11" s="32"/>
      <c r="F11" s="32"/>
      <c r="G11" s="28"/>
    </row>
    <row r="12" spans="1:9" x14ac:dyDescent="0.2">
      <c r="A12" s="16" t="s">
        <v>33</v>
      </c>
      <c r="B12" s="32">
        <v>-862216.76496344781</v>
      </c>
      <c r="C12" s="32">
        <v>-736047</v>
      </c>
      <c r="D12" s="32">
        <v>-612112</v>
      </c>
      <c r="E12" s="32">
        <v>-449395</v>
      </c>
      <c r="F12" s="32">
        <f>-368427886.201/1000</f>
        <v>-368427.88620099996</v>
      </c>
      <c r="G12" s="28"/>
      <c r="I12" s="5"/>
    </row>
    <row r="13" spans="1:9" x14ac:dyDescent="0.2">
      <c r="A13" s="16" t="s">
        <v>34</v>
      </c>
      <c r="B13" s="32">
        <v>-1348461.999948401</v>
      </c>
      <c r="C13" s="32">
        <v>-1162408</v>
      </c>
      <c r="D13" s="32">
        <v>-906364</v>
      </c>
      <c r="E13" s="32">
        <v>-719904</v>
      </c>
      <c r="F13" s="32">
        <f>-424741557.61/1000</f>
        <v>-424741.55761000002</v>
      </c>
      <c r="G13" s="28"/>
    </row>
    <row r="14" spans="1:9" x14ac:dyDescent="0.2">
      <c r="A14" s="16" t="s">
        <v>11</v>
      </c>
      <c r="B14" s="32">
        <v>-242972.74798123102</v>
      </c>
      <c r="C14" s="32">
        <v>-248426.60580880434</v>
      </c>
      <c r="D14" s="32">
        <v>-211985</v>
      </c>
      <c r="E14" s="32">
        <v>-152479</v>
      </c>
      <c r="F14" s="32">
        <f>-149313765.194485/1000</f>
        <v>-149313.76519448502</v>
      </c>
      <c r="G14" s="28"/>
    </row>
    <row r="15" spans="1:9" x14ac:dyDescent="0.2">
      <c r="A15" s="16" t="s">
        <v>35</v>
      </c>
      <c r="B15" s="32">
        <v>-573718.44219689758</v>
      </c>
      <c r="C15" s="32">
        <v>-600743.98924155335</v>
      </c>
      <c r="D15" s="32">
        <v>-385127</v>
      </c>
      <c r="E15" s="32">
        <v>-310529</v>
      </c>
      <c r="F15" s="32">
        <f>-214794999.74/1000</f>
        <v>-214794.99974</v>
      </c>
      <c r="G15" s="28"/>
      <c r="H15" s="6"/>
      <c r="I15" s="5"/>
    </row>
    <row r="16" spans="1:9" x14ac:dyDescent="0.2">
      <c r="A16" s="16" t="s">
        <v>38</v>
      </c>
      <c r="B16" s="32">
        <v>-46014.143835253919</v>
      </c>
      <c r="C16" s="32">
        <v>-10611.5</v>
      </c>
      <c r="D16" s="32">
        <f>1970</f>
        <v>1970</v>
      </c>
      <c r="E16" s="32">
        <v>-35006</v>
      </c>
      <c r="F16" s="32">
        <f>-30909913.4596/1000</f>
        <v>-30909.9134596</v>
      </c>
      <c r="G16" s="28"/>
      <c r="I16" s="81"/>
    </row>
    <row r="17" spans="1:9" ht="15" x14ac:dyDescent="0.2">
      <c r="A17" s="19" t="s">
        <v>39</v>
      </c>
      <c r="B17" s="34">
        <f>SUM(B8:B16)</f>
        <v>-78019.236843444902</v>
      </c>
      <c r="C17" s="34">
        <f>SUM(C8:C16)</f>
        <v>-194251.980629845</v>
      </c>
      <c r="D17" s="34">
        <f>SUM(D8:D16)</f>
        <v>-157836</v>
      </c>
      <c r="E17" s="34">
        <f>SUM(E8:E16)</f>
        <v>-123242</v>
      </c>
      <c r="F17" s="34">
        <f>SUM(F8:F16)</f>
        <v>-153167.06812508509</v>
      </c>
      <c r="G17" s="35"/>
      <c r="I17" s="7"/>
    </row>
    <row r="18" spans="1:9" s="3" customFormat="1" ht="15" x14ac:dyDescent="0.25">
      <c r="A18" s="17"/>
      <c r="B18" s="32"/>
      <c r="C18" s="32"/>
      <c r="D18" s="32"/>
      <c r="E18" s="32"/>
      <c r="F18" s="32"/>
      <c r="G18" s="28"/>
    </row>
    <row r="19" spans="1:9" ht="15" x14ac:dyDescent="0.2">
      <c r="A19" s="13"/>
      <c r="B19" s="31"/>
      <c r="C19" s="31"/>
      <c r="D19" s="31"/>
      <c r="E19" s="31"/>
      <c r="F19" s="31"/>
      <c r="G19" s="28"/>
    </row>
    <row r="20" spans="1:9" x14ac:dyDescent="0.2">
      <c r="A20" s="16" t="s">
        <v>37</v>
      </c>
      <c r="B20" s="32">
        <v>268.5</v>
      </c>
      <c r="C20" s="32">
        <v>160.25216</v>
      </c>
      <c r="D20" s="32">
        <v>347.61402000000004</v>
      </c>
      <c r="E20" s="32">
        <f>346</f>
        <v>346</v>
      </c>
      <c r="F20" s="32">
        <f>267171.08/1000</f>
        <v>267.17108000000002</v>
      </c>
      <c r="G20" s="28"/>
      <c r="I20" s="5"/>
    </row>
    <row r="21" spans="1:9" x14ac:dyDescent="0.2">
      <c r="A21" s="16" t="s">
        <v>36</v>
      </c>
      <c r="B21" s="36">
        <v>-24044.999819999997</v>
      </c>
      <c r="C21" s="36">
        <f>-14416.56782</f>
        <v>-14416.56782</v>
      </c>
      <c r="D21" s="36">
        <v>-6189.7669099999985</v>
      </c>
      <c r="E21" s="36">
        <v>-14415</v>
      </c>
      <c r="F21" s="36">
        <v>-62776.629527894504</v>
      </c>
      <c r="G21" s="28"/>
    </row>
    <row r="22" spans="1:9" ht="15" x14ac:dyDescent="0.2">
      <c r="A22" s="19" t="s">
        <v>66</v>
      </c>
      <c r="B22" s="34">
        <f>SUM(B20:B21)</f>
        <v>-23776.499819999997</v>
      </c>
      <c r="C22" s="34">
        <f>SUM(C20:C21)</f>
        <v>-14256.31566</v>
      </c>
      <c r="D22" s="34">
        <f>SUM(D20:D21)</f>
        <v>-5842.1528899999985</v>
      </c>
      <c r="E22" s="34">
        <f>SUM(E20:E21)</f>
        <v>-14069</v>
      </c>
      <c r="F22" s="34">
        <f>SUM(F20:F21)</f>
        <v>-62509.458447894503</v>
      </c>
      <c r="G22" s="35"/>
      <c r="H22" s="8"/>
      <c r="I22" s="7"/>
    </row>
    <row r="23" spans="1:9" x14ac:dyDescent="0.2">
      <c r="A23" s="17"/>
      <c r="B23" s="32"/>
      <c r="C23" s="32"/>
      <c r="D23" s="32"/>
      <c r="E23" s="32"/>
      <c r="F23" s="32"/>
      <c r="G23" s="28"/>
      <c r="I23" s="9"/>
    </row>
    <row r="24" spans="1:9" ht="15.75" thickBot="1" x14ac:dyDescent="0.25">
      <c r="A24" s="14" t="s">
        <v>67</v>
      </c>
      <c r="B24" s="37">
        <f>B17+B22</f>
        <v>-101795.7366634449</v>
      </c>
      <c r="C24" s="37">
        <f>C17+C22</f>
        <v>-208508.29628984499</v>
      </c>
      <c r="D24" s="37">
        <f>D17+D22</f>
        <v>-163678.15289</v>
      </c>
      <c r="E24" s="37">
        <f>E17+E22</f>
        <v>-137311</v>
      </c>
      <c r="F24" s="37">
        <f>F17+F22</f>
        <v>-215676.52657297958</v>
      </c>
      <c r="G24" s="28"/>
      <c r="H24" s="8"/>
      <c r="I24" s="7"/>
    </row>
    <row r="25" spans="1:9" ht="15" thickTop="1" x14ac:dyDescent="0.2">
      <c r="A25" s="17"/>
      <c r="B25" s="32"/>
      <c r="C25" s="32"/>
      <c r="D25" s="32"/>
      <c r="E25" s="32"/>
      <c r="F25" s="32"/>
      <c r="G25" s="28"/>
      <c r="I25" s="7"/>
    </row>
    <row r="26" spans="1:9" x14ac:dyDescent="0.2">
      <c r="A26" s="16" t="s">
        <v>68</v>
      </c>
      <c r="B26" s="32">
        <v>-7781.4780918367942</v>
      </c>
      <c r="C26" s="32">
        <v>-609.17445305624005</v>
      </c>
      <c r="D26" s="32"/>
      <c r="E26" s="32">
        <v>-3798</v>
      </c>
      <c r="F26" s="32">
        <v>-15.266999999999999</v>
      </c>
      <c r="G26" s="28"/>
    </row>
    <row r="27" spans="1:9" ht="15" x14ac:dyDescent="0.25">
      <c r="A27" s="17" t="s">
        <v>186</v>
      </c>
      <c r="B27" s="32">
        <f>363</f>
        <v>363</v>
      </c>
      <c r="C27" s="32">
        <v>-546</v>
      </c>
      <c r="D27" s="32"/>
      <c r="E27" s="32"/>
      <c r="F27" s="32"/>
      <c r="G27" s="28"/>
      <c r="H27" s="10"/>
    </row>
    <row r="28" spans="1:9" x14ac:dyDescent="0.2">
      <c r="A28" s="17"/>
      <c r="B28" s="32"/>
      <c r="C28" s="32"/>
      <c r="D28" s="32"/>
      <c r="E28" s="32"/>
      <c r="F28" s="32"/>
      <c r="G28" s="28"/>
    </row>
    <row r="29" spans="1:9" ht="15.75" thickBot="1" x14ac:dyDescent="0.25">
      <c r="A29" s="14" t="s">
        <v>69</v>
      </c>
      <c r="B29" s="37">
        <f>SUM(B24:B27)</f>
        <v>-109214.21475528169</v>
      </c>
      <c r="C29" s="37">
        <f>SUM(C24:C27)</f>
        <v>-209663.47074290123</v>
      </c>
      <c r="D29" s="37">
        <f>SUM(D24:D27)</f>
        <v>-163678.15289</v>
      </c>
      <c r="E29" s="37">
        <f>SUM(E24:E27)</f>
        <v>-141109</v>
      </c>
      <c r="F29" s="37">
        <f>SUM(F24:F27)</f>
        <v>-215691.79357297957</v>
      </c>
      <c r="G29" s="35"/>
      <c r="H29" s="11"/>
      <c r="I29" s="9"/>
    </row>
    <row r="30" spans="1:9" ht="15.75" thickTop="1" thickBot="1" x14ac:dyDescent="0.25">
      <c r="A30" s="21"/>
      <c r="B30" s="38"/>
      <c r="C30" s="38"/>
      <c r="D30" s="38"/>
      <c r="E30" s="38"/>
      <c r="F30" s="38"/>
      <c r="G30" s="39"/>
    </row>
    <row r="32" spans="1:9" s="158" customFormat="1" ht="15" x14ac:dyDescent="0.25">
      <c r="A32" s="154" t="s">
        <v>1</v>
      </c>
      <c r="B32" s="155">
        <f>B29</f>
        <v>-109214.21475528169</v>
      </c>
      <c r="C32" s="155">
        <f>C29</f>
        <v>-209663.47074290123</v>
      </c>
      <c r="D32" s="155">
        <f>D29</f>
        <v>-163678.15289</v>
      </c>
      <c r="E32" s="155">
        <f>E29</f>
        <v>-141109</v>
      </c>
      <c r="F32" s="155">
        <f>F29</f>
        <v>-215691.79357297957</v>
      </c>
      <c r="G32" s="156"/>
      <c r="H32" s="157"/>
    </row>
    <row r="33" spans="1:7" s="159" customFormat="1" x14ac:dyDescent="0.2">
      <c r="A33" s="154"/>
      <c r="B33" s="155">
        <f>Bilanci!B34-Bilanci!C34</f>
        <v>-109214.71045831498</v>
      </c>
      <c r="C33" s="155">
        <f>Bilanci!C34-Bilanci!D34</f>
        <v>-209662.552555145</v>
      </c>
      <c r="D33" s="155">
        <f>Bilanci!D34-Bilanci!E34</f>
        <v>-163679</v>
      </c>
      <c r="E33" s="155">
        <f>Bilanci!E34-Bilanci!F34</f>
        <v>-141108.87161202042</v>
      </c>
      <c r="F33" s="155">
        <f>-215692245.572979/1000</f>
        <v>-215692.24557297901</v>
      </c>
      <c r="G33" s="156"/>
    </row>
    <row r="34" spans="1:7" s="159" customFormat="1" x14ac:dyDescent="0.2">
      <c r="A34" s="154" t="s">
        <v>169</v>
      </c>
      <c r="B34" s="160">
        <f>B32-B33</f>
        <v>0.49570303328800946</v>
      </c>
      <c r="C34" s="160">
        <f>C32-C33</f>
        <v>-0.91818775623687543</v>
      </c>
      <c r="D34" s="160">
        <f>D32-D33</f>
        <v>0.84711000000243075</v>
      </c>
      <c r="E34" s="160">
        <f>E32-E33</f>
        <v>-0.12838797958102077</v>
      </c>
      <c r="F34" s="160">
        <f>F32-F33</f>
        <v>0.45199999943724833</v>
      </c>
      <c r="G34" s="156"/>
    </row>
    <row r="35" spans="1:7" s="159" customFormat="1" x14ac:dyDescent="0.2">
      <c r="A35" s="154"/>
      <c r="B35" s="160"/>
      <c r="C35" s="160"/>
      <c r="D35" s="160"/>
      <c r="E35" s="160"/>
      <c r="F35" s="160"/>
      <c r="G35" s="156"/>
    </row>
    <row r="36" spans="1:7" x14ac:dyDescent="0.2">
      <c r="B36" s="42"/>
      <c r="C36" s="42"/>
      <c r="D36" s="42"/>
      <c r="E36" s="42"/>
      <c r="F36" s="42"/>
    </row>
  </sheetData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3"/>
  <sheetViews>
    <sheetView zoomScaleNormal="100" workbookViewId="0"/>
  </sheetViews>
  <sheetFormatPr defaultColWidth="8.85546875" defaultRowHeight="14.25" x14ac:dyDescent="0.2"/>
  <cols>
    <col min="1" max="1" width="62.140625" style="74" customWidth="1"/>
    <col min="2" max="3" width="16.7109375" style="44" customWidth="1"/>
    <col min="4" max="6" width="16.7109375" style="44" hidden="1" customWidth="1"/>
    <col min="7" max="16384" width="8.85546875" style="1"/>
  </cols>
  <sheetData>
    <row r="1" spans="1:6" ht="15" x14ac:dyDescent="0.25">
      <c r="A1" s="73" t="s">
        <v>176</v>
      </c>
      <c r="B1" s="43"/>
      <c r="C1" s="43"/>
      <c r="D1" s="43"/>
      <c r="E1" s="43"/>
      <c r="F1" s="43"/>
    </row>
    <row r="2" spans="1:6" ht="15" x14ac:dyDescent="0.25">
      <c r="A2" s="74" t="s">
        <v>180</v>
      </c>
      <c r="B2" s="43"/>
      <c r="C2" s="43"/>
      <c r="D2" s="43"/>
      <c r="E2" s="43"/>
      <c r="F2" s="43"/>
    </row>
    <row r="3" spans="1:6" x14ac:dyDescent="0.2">
      <c r="A3" s="74" t="s">
        <v>72</v>
      </c>
    </row>
    <row r="4" spans="1:6" ht="15" thickBot="1" x14ac:dyDescent="0.25"/>
    <row r="5" spans="1:6" ht="15" x14ac:dyDescent="0.25">
      <c r="A5" s="75" t="s">
        <v>74</v>
      </c>
      <c r="B5" s="4" t="s">
        <v>70</v>
      </c>
      <c r="C5" s="4" t="s">
        <v>70</v>
      </c>
      <c r="D5" s="4" t="s">
        <v>70</v>
      </c>
      <c r="E5" s="4" t="s">
        <v>70</v>
      </c>
      <c r="F5" s="107" t="s">
        <v>70</v>
      </c>
    </row>
    <row r="6" spans="1:6" ht="30" x14ac:dyDescent="0.2">
      <c r="A6" s="76"/>
      <c r="B6" s="45" t="s">
        <v>179</v>
      </c>
      <c r="C6" s="45" t="s">
        <v>170</v>
      </c>
      <c r="D6" s="45" t="s">
        <v>159</v>
      </c>
      <c r="E6" s="45" t="s">
        <v>81</v>
      </c>
      <c r="F6" s="108" t="s">
        <v>59</v>
      </c>
    </row>
    <row r="7" spans="1:6" x14ac:dyDescent="0.2">
      <c r="A7" s="80" t="s">
        <v>48</v>
      </c>
      <c r="B7" s="46">
        <v>2303</v>
      </c>
      <c r="C7" s="46">
        <f>1687</f>
        <v>1687</v>
      </c>
      <c r="D7" s="46">
        <f>1957</f>
        <v>1957</v>
      </c>
      <c r="E7" s="46">
        <f>978</f>
        <v>978</v>
      </c>
      <c r="F7" s="109">
        <f>3672614.18/1000</f>
        <v>3672.61418</v>
      </c>
    </row>
    <row r="8" spans="1:6" x14ac:dyDescent="0.2">
      <c r="A8" s="80" t="s">
        <v>49</v>
      </c>
      <c r="B8" s="46">
        <v>32028</v>
      </c>
      <c r="C8" s="46">
        <f>22815</f>
        <v>22815</v>
      </c>
      <c r="D8" s="46">
        <f>17207</f>
        <v>17207</v>
      </c>
      <c r="E8" s="46">
        <v>33223</v>
      </c>
      <c r="F8" s="109">
        <f>37939640.18/1000</f>
        <v>37939.640180000002</v>
      </c>
    </row>
    <row r="9" spans="1:6" ht="15.75" thickBot="1" x14ac:dyDescent="0.3">
      <c r="A9" s="110" t="s">
        <v>40</v>
      </c>
      <c r="B9" s="48">
        <f t="shared" ref="B9" si="0">SUM(B7:B8)</f>
        <v>34331</v>
      </c>
      <c r="C9" s="48">
        <f t="shared" ref="C9:D9" si="1">SUM(C7:C8)</f>
        <v>24502</v>
      </c>
      <c r="D9" s="48">
        <f t="shared" si="1"/>
        <v>19164</v>
      </c>
      <c r="E9" s="48">
        <f t="shared" ref="E9:F9" si="2">SUM(E7:E8)</f>
        <v>34201</v>
      </c>
      <c r="F9" s="111">
        <f t="shared" si="2"/>
        <v>41612.254359999999</v>
      </c>
    </row>
    <row r="11" spans="1:6" ht="15" thickBot="1" x14ac:dyDescent="0.25"/>
    <row r="12" spans="1:6" ht="15" x14ac:dyDescent="0.25">
      <c r="A12" s="112" t="s">
        <v>75</v>
      </c>
      <c r="B12" s="4" t="s">
        <v>70</v>
      </c>
      <c r="C12" s="4" t="s">
        <v>70</v>
      </c>
      <c r="D12" s="4" t="s">
        <v>70</v>
      </c>
      <c r="E12" s="4" t="s">
        <v>70</v>
      </c>
      <c r="F12" s="107" t="s">
        <v>70</v>
      </c>
    </row>
    <row r="13" spans="1:6" ht="30" x14ac:dyDescent="0.2">
      <c r="A13" s="76"/>
      <c r="B13" s="45" t="s">
        <v>179</v>
      </c>
      <c r="C13" s="45" t="s">
        <v>170</v>
      </c>
      <c r="D13" s="45" t="s">
        <v>159</v>
      </c>
      <c r="E13" s="45" t="s">
        <v>81</v>
      </c>
      <c r="F13" s="108" t="s">
        <v>59</v>
      </c>
    </row>
    <row r="14" spans="1:6" x14ac:dyDescent="0.2">
      <c r="A14" s="113" t="s">
        <v>42</v>
      </c>
      <c r="B14" s="46">
        <v>61012.265551999983</v>
      </c>
      <c r="C14" s="46">
        <f>54616</f>
        <v>54616</v>
      </c>
      <c r="D14" s="46">
        <f>29633</f>
        <v>29633</v>
      </c>
      <c r="E14" s="46">
        <f>67211</f>
        <v>67211</v>
      </c>
      <c r="F14" s="109">
        <f>45160270.1904/1000</f>
        <v>45160.270190399999</v>
      </c>
    </row>
    <row r="15" spans="1:6" x14ac:dyDescent="0.2">
      <c r="A15" s="113" t="s">
        <v>43</v>
      </c>
      <c r="B15" s="46">
        <v>279412.63449999999</v>
      </c>
      <c r="C15" s="46">
        <f>121674</f>
        <v>121674</v>
      </c>
      <c r="D15" s="46">
        <f>130515</f>
        <v>130515</v>
      </c>
      <c r="E15" s="46">
        <f>54388</f>
        <v>54388</v>
      </c>
      <c r="F15" s="109">
        <f>30866038/1000</f>
        <v>30866.038</v>
      </c>
    </row>
    <row r="16" spans="1:6" x14ac:dyDescent="0.2">
      <c r="A16" s="113" t="s">
        <v>50</v>
      </c>
      <c r="B16" s="46">
        <v>84890.261277999991</v>
      </c>
      <c r="C16" s="46">
        <f>26164</f>
        <v>26164</v>
      </c>
      <c r="D16" s="46">
        <f>4940</f>
        <v>4940</v>
      </c>
      <c r="E16" s="46">
        <f>2964</f>
        <v>2964</v>
      </c>
      <c r="F16" s="109">
        <f>812719.7896/1000</f>
        <v>812.71978960000001</v>
      </c>
    </row>
    <row r="17" spans="1:6" x14ac:dyDescent="0.2">
      <c r="A17" s="113" t="s">
        <v>55</v>
      </c>
      <c r="B17" s="46">
        <v>-56156.001743999994</v>
      </c>
      <c r="C17" s="46">
        <v>-34425</v>
      </c>
      <c r="D17" s="46">
        <v>-23813</v>
      </c>
      <c r="E17" s="46">
        <v>-59159</v>
      </c>
      <c r="F17" s="109">
        <f>-30909913.4596/1000</f>
        <v>-30909.9134596</v>
      </c>
    </row>
    <row r="18" spans="1:6" ht="15.75" thickBot="1" x14ac:dyDescent="0.3">
      <c r="A18" s="114" t="s">
        <v>56</v>
      </c>
      <c r="B18" s="48">
        <f t="shared" ref="B18" si="3">SUM(B14:B17)</f>
        <v>369159.15958599991</v>
      </c>
      <c r="C18" s="48">
        <f t="shared" ref="C18:D18" si="4">SUM(C14:C17)</f>
        <v>168029</v>
      </c>
      <c r="D18" s="48">
        <f t="shared" si="4"/>
        <v>141275</v>
      </c>
      <c r="E18" s="48">
        <f t="shared" ref="E18:F18" si="5">SUM(E14:E17)</f>
        <v>65404</v>
      </c>
      <c r="F18" s="111">
        <f t="shared" si="5"/>
        <v>45929.114520399999</v>
      </c>
    </row>
    <row r="20" spans="1:6" ht="15" thickBot="1" x14ac:dyDescent="0.25"/>
    <row r="21" spans="1:6" ht="15" x14ac:dyDescent="0.25">
      <c r="A21" s="75" t="s">
        <v>76</v>
      </c>
      <c r="B21" s="4" t="s">
        <v>70</v>
      </c>
      <c r="C21" s="4" t="s">
        <v>70</v>
      </c>
      <c r="D21" s="4" t="s">
        <v>70</v>
      </c>
      <c r="E21" s="4" t="s">
        <v>70</v>
      </c>
      <c r="F21" s="107" t="s">
        <v>70</v>
      </c>
    </row>
    <row r="22" spans="1:6" ht="30" x14ac:dyDescent="0.2">
      <c r="A22" s="76"/>
      <c r="B22" s="45" t="s">
        <v>179</v>
      </c>
      <c r="C22" s="45" t="s">
        <v>170</v>
      </c>
      <c r="D22" s="45" t="s">
        <v>159</v>
      </c>
      <c r="E22" s="45" t="s">
        <v>81</v>
      </c>
      <c r="F22" s="108" t="s">
        <v>59</v>
      </c>
    </row>
    <row r="23" spans="1:6" x14ac:dyDescent="0.2">
      <c r="A23" s="77" t="s">
        <v>77</v>
      </c>
      <c r="B23" s="46">
        <v>36264</v>
      </c>
      <c r="C23" s="46">
        <f>52785</f>
        <v>52785</v>
      </c>
      <c r="D23" s="46">
        <f>59343</f>
        <v>59343</v>
      </c>
      <c r="E23" s="46">
        <f>49723</f>
        <v>49723</v>
      </c>
      <c r="F23" s="109">
        <f>65399</f>
        <v>65399</v>
      </c>
    </row>
    <row r="24" spans="1:6" x14ac:dyDescent="0.2">
      <c r="A24" s="113" t="s">
        <v>78</v>
      </c>
      <c r="B24" s="46">
        <v>12186</v>
      </c>
      <c r="C24" s="46">
        <f>21315</f>
        <v>21315</v>
      </c>
      <c r="D24" s="46">
        <f>15771</f>
        <v>15771</v>
      </c>
      <c r="E24" s="46">
        <f>44471</f>
        <v>44471</v>
      </c>
      <c r="F24" s="109">
        <v>45667</v>
      </c>
    </row>
    <row r="25" spans="1:6" x14ac:dyDescent="0.2">
      <c r="A25" s="113" t="s">
        <v>44</v>
      </c>
      <c r="B25" s="46">
        <v>171083</v>
      </c>
      <c r="C25" s="46">
        <f>202087</f>
        <v>202087</v>
      </c>
      <c r="D25" s="46">
        <f>173515</f>
        <v>173515</v>
      </c>
      <c r="E25" s="46">
        <f>132882</f>
        <v>132882</v>
      </c>
      <c r="F25" s="109">
        <v>75852</v>
      </c>
    </row>
    <row r="26" spans="1:6" x14ac:dyDescent="0.2">
      <c r="A26" s="113" t="s">
        <v>45</v>
      </c>
      <c r="B26" s="46">
        <v>1655</v>
      </c>
      <c r="C26" s="46">
        <f>776</f>
        <v>776</v>
      </c>
      <c r="D26" s="46">
        <f>861</f>
        <v>861</v>
      </c>
      <c r="E26" s="46">
        <f>813</f>
        <v>813</v>
      </c>
      <c r="F26" s="109">
        <v>1116</v>
      </c>
    </row>
    <row r="27" spans="1:6" x14ac:dyDescent="0.2">
      <c r="A27" s="77" t="s">
        <v>51</v>
      </c>
      <c r="B27" s="46">
        <v>29648</v>
      </c>
      <c r="C27" s="46">
        <f>32220</f>
        <v>32220</v>
      </c>
      <c r="D27" s="46">
        <f>37104</f>
        <v>37104</v>
      </c>
      <c r="E27" s="46">
        <f>13027</f>
        <v>13027</v>
      </c>
      <c r="F27" s="109">
        <v>10024</v>
      </c>
    </row>
    <row r="28" spans="1:6" ht="15.75" thickBot="1" x14ac:dyDescent="0.3">
      <c r="A28" s="78" t="s">
        <v>17</v>
      </c>
      <c r="B28" s="48">
        <f>SUM(B23:B27)</f>
        <v>250836</v>
      </c>
      <c r="C28" s="48">
        <f>SUM(C23:C27)</f>
        <v>309183</v>
      </c>
      <c r="D28" s="48">
        <f>SUM(D23:D27)</f>
        <v>286594</v>
      </c>
      <c r="E28" s="48">
        <f>SUM(E23:E27)</f>
        <v>240916</v>
      </c>
      <c r="F28" s="111">
        <f>SUM(F23:F27)</f>
        <v>198058</v>
      </c>
    </row>
    <row r="30" spans="1:6" ht="15" thickBot="1" x14ac:dyDescent="0.25"/>
    <row r="31" spans="1:6" ht="15" x14ac:dyDescent="0.25">
      <c r="A31" s="112" t="s">
        <v>54</v>
      </c>
      <c r="B31" s="4" t="s">
        <v>70</v>
      </c>
      <c r="C31" s="4" t="s">
        <v>70</v>
      </c>
      <c r="D31" s="4" t="s">
        <v>70</v>
      </c>
      <c r="E31" s="4" t="s">
        <v>70</v>
      </c>
      <c r="F31" s="107" t="s">
        <v>70</v>
      </c>
    </row>
    <row r="32" spans="1:6" ht="30" x14ac:dyDescent="0.2">
      <c r="A32" s="76"/>
      <c r="B32" s="45" t="s">
        <v>179</v>
      </c>
      <c r="C32" s="45" t="s">
        <v>170</v>
      </c>
      <c r="D32" s="45" t="s">
        <v>159</v>
      </c>
      <c r="E32" s="45" t="s">
        <v>81</v>
      </c>
      <c r="F32" s="108" t="s">
        <v>59</v>
      </c>
    </row>
    <row r="33" spans="1:6" x14ac:dyDescent="0.2">
      <c r="A33" s="116" t="s">
        <v>46</v>
      </c>
      <c r="B33" s="49">
        <v>3358</v>
      </c>
      <c r="C33" s="49">
        <f>2625</f>
        <v>2625</v>
      </c>
      <c r="D33" s="49">
        <f>2625</f>
        <v>2625</v>
      </c>
      <c r="E33" s="49">
        <f>2595</f>
        <v>2595</v>
      </c>
      <c r="F33" s="117">
        <f>2595300/1000</f>
        <v>2595.3000000000002</v>
      </c>
    </row>
    <row r="34" spans="1:6" x14ac:dyDescent="0.2">
      <c r="A34" s="77" t="s">
        <v>52</v>
      </c>
      <c r="B34" s="46">
        <v>1117</v>
      </c>
      <c r="C34" s="46">
        <f>3497</f>
        <v>3497</v>
      </c>
      <c r="D34" s="46">
        <f>9010</f>
        <v>9010</v>
      </c>
      <c r="E34" s="46">
        <f>57659</f>
        <v>57659</v>
      </c>
      <c r="F34" s="109">
        <f>41733986.98/1000</f>
        <v>41733.986979999994</v>
      </c>
    </row>
    <row r="35" spans="1:6" x14ac:dyDescent="0.2">
      <c r="A35" s="113" t="s">
        <v>57</v>
      </c>
      <c r="B35" s="46">
        <v>2560</v>
      </c>
      <c r="C35" s="46">
        <f>772</f>
        <v>772</v>
      </c>
      <c r="D35" s="46">
        <f>646</f>
        <v>646</v>
      </c>
      <c r="E35" s="46">
        <f>59</f>
        <v>59</v>
      </c>
      <c r="F35" s="109">
        <f>191848/1000</f>
        <v>191.84800000000001</v>
      </c>
    </row>
    <row r="36" spans="1:6" x14ac:dyDescent="0.2">
      <c r="A36" s="113" t="s">
        <v>53</v>
      </c>
      <c r="B36" s="46">
        <v>0</v>
      </c>
      <c r="C36" s="46">
        <v>0</v>
      </c>
      <c r="D36" s="46">
        <v>0</v>
      </c>
      <c r="E36" s="46">
        <v>0</v>
      </c>
      <c r="F36" s="109">
        <f>230106.54/1000</f>
        <v>230.10654</v>
      </c>
    </row>
    <row r="37" spans="1:6" x14ac:dyDescent="0.2">
      <c r="A37" s="113" t="s">
        <v>47</v>
      </c>
      <c r="B37" s="46">
        <v>0</v>
      </c>
      <c r="C37" s="46">
        <v>0</v>
      </c>
      <c r="D37" s="46">
        <v>0</v>
      </c>
      <c r="E37" s="46">
        <v>0</v>
      </c>
      <c r="F37" s="109">
        <f>38799073.6017656/1000</f>
        <v>38799.073601765602</v>
      </c>
    </row>
    <row r="38" spans="1:6" ht="15.75" thickBot="1" x14ac:dyDescent="0.3">
      <c r="A38" s="78" t="s">
        <v>40</v>
      </c>
      <c r="B38" s="48">
        <f t="shared" ref="B38" si="6">SUM(B33:B37)</f>
        <v>7035</v>
      </c>
      <c r="C38" s="48">
        <f t="shared" ref="C38:D38" si="7">SUM(C33:C37)</f>
        <v>6894</v>
      </c>
      <c r="D38" s="48">
        <f t="shared" si="7"/>
        <v>12281</v>
      </c>
      <c r="E38" s="48">
        <f t="shared" ref="E38:F38" si="8">SUM(E33:E37)</f>
        <v>60313</v>
      </c>
      <c r="F38" s="111">
        <f t="shared" si="8"/>
        <v>83550.315121765598</v>
      </c>
    </row>
    <row r="39" spans="1:6" s="59" customFormat="1" ht="15" thickBot="1" x14ac:dyDescent="0.25">
      <c r="A39" s="82"/>
      <c r="B39" s="115"/>
      <c r="C39" s="115"/>
      <c r="D39" s="115"/>
      <c r="E39" s="115"/>
      <c r="F39" s="115"/>
    </row>
    <row r="40" spans="1:6" ht="15" thickBot="1" x14ac:dyDescent="0.25">
      <c r="A40" s="118" t="s">
        <v>84</v>
      </c>
      <c r="B40" s="119">
        <v>0</v>
      </c>
      <c r="C40" s="119">
        <v>0</v>
      </c>
      <c r="D40" s="119">
        <v>0</v>
      </c>
      <c r="E40" s="119">
        <v>0</v>
      </c>
      <c r="F40" s="120">
        <f>1300533/1000</f>
        <v>1300.5329999999999</v>
      </c>
    </row>
    <row r="42" spans="1:6" ht="15" thickBot="1" x14ac:dyDescent="0.25"/>
    <row r="43" spans="1:6" ht="15" x14ac:dyDescent="0.25">
      <c r="A43" s="75" t="s">
        <v>109</v>
      </c>
      <c r="B43" s="4" t="s">
        <v>70</v>
      </c>
      <c r="C43" s="4" t="s">
        <v>70</v>
      </c>
      <c r="D43" s="4" t="s">
        <v>70</v>
      </c>
      <c r="E43" s="4" t="s">
        <v>70</v>
      </c>
      <c r="F43" s="107" t="s">
        <v>70</v>
      </c>
    </row>
    <row r="44" spans="1:6" ht="30" x14ac:dyDescent="0.2">
      <c r="A44" s="76"/>
      <c r="B44" s="45" t="s">
        <v>179</v>
      </c>
      <c r="C44" s="45" t="s">
        <v>170</v>
      </c>
      <c r="D44" s="45" t="s">
        <v>159</v>
      </c>
      <c r="E44" s="45" t="s">
        <v>81</v>
      </c>
      <c r="F44" s="108" t="s">
        <v>59</v>
      </c>
    </row>
    <row r="45" spans="1:6" x14ac:dyDescent="0.2">
      <c r="A45" s="121" t="s">
        <v>60</v>
      </c>
      <c r="B45" s="46">
        <v>245233.00474999999</v>
      </c>
      <c r="C45" s="46">
        <f>306686</f>
        <v>306686</v>
      </c>
      <c r="D45" s="46">
        <f>329863</f>
        <v>329863</v>
      </c>
      <c r="E45" s="46">
        <f>329730</f>
        <v>329730</v>
      </c>
      <c r="F45" s="109">
        <f>297756</f>
        <v>297756</v>
      </c>
    </row>
    <row r="46" spans="1:6" x14ac:dyDescent="0.2">
      <c r="A46" s="121" t="s">
        <v>15</v>
      </c>
      <c r="B46" s="46">
        <v>154.91890999999998</v>
      </c>
      <c r="C46" s="46">
        <f>962</f>
        <v>962</v>
      </c>
      <c r="D46" s="46">
        <f>48395</f>
        <v>48395</v>
      </c>
      <c r="E46" s="46">
        <f>49711</f>
        <v>49711</v>
      </c>
      <c r="F46" s="109">
        <f>4242</f>
        <v>4242</v>
      </c>
    </row>
    <row r="47" spans="1:6" x14ac:dyDescent="0.2">
      <c r="A47" s="121" t="s">
        <v>108</v>
      </c>
      <c r="B47" s="46">
        <v>35309</v>
      </c>
      <c r="C47" s="46">
        <f>8063</f>
        <v>8063</v>
      </c>
      <c r="D47" s="46">
        <f>4865</f>
        <v>4865</v>
      </c>
      <c r="E47" s="46">
        <f>9433</f>
        <v>9433</v>
      </c>
      <c r="F47" s="109">
        <f>9541</f>
        <v>9541</v>
      </c>
    </row>
    <row r="48" spans="1:6" ht="15.75" thickBot="1" x14ac:dyDescent="0.3">
      <c r="A48" s="78" t="s">
        <v>40</v>
      </c>
      <c r="B48" s="48">
        <f>SUM(B45:B47)</f>
        <v>280696.92365999997</v>
      </c>
      <c r="C48" s="48">
        <f>SUM(C45:C47)</f>
        <v>315711</v>
      </c>
      <c r="D48" s="48">
        <f>SUM(D45:D47)</f>
        <v>383123</v>
      </c>
      <c r="E48" s="48">
        <f>SUM(E45:E47)</f>
        <v>388874</v>
      </c>
      <c r="F48" s="111">
        <f t="shared" ref="F48" si="9">SUM(F45:F47)</f>
        <v>311539</v>
      </c>
    </row>
    <row r="50" spans="1:6" ht="15" thickBot="1" x14ac:dyDescent="0.25"/>
    <row r="51" spans="1:6" ht="15" x14ac:dyDescent="0.25">
      <c r="A51" s="75" t="s">
        <v>12</v>
      </c>
      <c r="B51" s="4" t="s">
        <v>70</v>
      </c>
      <c r="C51" s="4" t="s">
        <v>70</v>
      </c>
      <c r="D51" s="4" t="s">
        <v>70</v>
      </c>
      <c r="E51" s="4" t="s">
        <v>70</v>
      </c>
      <c r="F51" s="107" t="s">
        <v>70</v>
      </c>
    </row>
    <row r="52" spans="1:6" ht="30" x14ac:dyDescent="0.2">
      <c r="A52" s="76"/>
      <c r="B52" s="45" t="s">
        <v>179</v>
      </c>
      <c r="C52" s="45" t="s">
        <v>170</v>
      </c>
      <c r="D52" s="45" t="s">
        <v>159</v>
      </c>
      <c r="E52" s="45" t="s">
        <v>81</v>
      </c>
      <c r="F52" s="108" t="s">
        <v>59</v>
      </c>
    </row>
    <row r="53" spans="1:6" x14ac:dyDescent="0.2">
      <c r="A53" s="77" t="s">
        <v>106</v>
      </c>
      <c r="B53" s="46">
        <v>358937</v>
      </c>
      <c r="C53" s="46">
        <f>265789</f>
        <v>265789</v>
      </c>
      <c r="D53" s="46">
        <f>106362</f>
        <v>106362</v>
      </c>
      <c r="E53" s="46">
        <f>88594+55508</f>
        <v>144102</v>
      </c>
      <c r="F53" s="109">
        <f>118446+144215</f>
        <v>262661</v>
      </c>
    </row>
    <row r="54" spans="1:6" x14ac:dyDescent="0.2">
      <c r="A54" s="77" t="s">
        <v>107</v>
      </c>
      <c r="B54" s="46">
        <f>2938+1281</f>
        <v>4219</v>
      </c>
      <c r="C54" s="46">
        <f>2939+4187</f>
        <v>7126</v>
      </c>
      <c r="D54" s="46">
        <f>3826+7065</f>
        <v>10891</v>
      </c>
      <c r="E54" s="46">
        <f>4453+10878</f>
        <v>15331</v>
      </c>
      <c r="F54" s="109">
        <f>4266+15243</f>
        <v>19509</v>
      </c>
    </row>
    <row r="55" spans="1:6" ht="15.75" thickBot="1" x14ac:dyDescent="0.3">
      <c r="A55" s="78" t="s">
        <v>40</v>
      </c>
      <c r="B55" s="48">
        <f>SUM(B53:B54)</f>
        <v>363156</v>
      </c>
      <c r="C55" s="48">
        <f>SUM(C53:C54)</f>
        <v>272915</v>
      </c>
      <c r="D55" s="48">
        <f>SUM(D53:D54)</f>
        <v>117253</v>
      </c>
      <c r="E55" s="48">
        <f>SUM(E53:E54)</f>
        <v>159433</v>
      </c>
      <c r="F55" s="111">
        <f>SUM(F53:F54)</f>
        <v>282170</v>
      </c>
    </row>
    <row r="57" spans="1:6" ht="15" thickBot="1" x14ac:dyDescent="0.25"/>
    <row r="58" spans="1:6" ht="15" x14ac:dyDescent="0.25">
      <c r="A58" s="75" t="s">
        <v>13</v>
      </c>
      <c r="B58" s="4" t="s">
        <v>70</v>
      </c>
      <c r="C58" s="4" t="s">
        <v>70</v>
      </c>
      <c r="D58" s="4" t="s">
        <v>70</v>
      </c>
      <c r="E58" s="4" t="s">
        <v>70</v>
      </c>
      <c r="F58" s="107" t="s">
        <v>70</v>
      </c>
    </row>
    <row r="59" spans="1:6" ht="30" x14ac:dyDescent="0.2">
      <c r="A59" s="76"/>
      <c r="B59" s="45" t="s">
        <v>159</v>
      </c>
      <c r="C59" s="45" t="s">
        <v>159</v>
      </c>
      <c r="D59" s="45" t="s">
        <v>159</v>
      </c>
      <c r="E59" s="45" t="s">
        <v>81</v>
      </c>
      <c r="F59" s="108" t="s">
        <v>59</v>
      </c>
    </row>
    <row r="60" spans="1:6" x14ac:dyDescent="0.2">
      <c r="A60" s="77" t="s">
        <v>2</v>
      </c>
      <c r="B60" s="46">
        <v>0</v>
      </c>
      <c r="C60" s="46">
        <v>0</v>
      </c>
      <c r="D60" s="46">
        <v>0</v>
      </c>
      <c r="E60" s="46">
        <v>0</v>
      </c>
      <c r="F60" s="109">
        <f>1214</f>
        <v>1214</v>
      </c>
    </row>
    <row r="61" spans="1:6" ht="15.75" thickBot="1" x14ac:dyDescent="0.3">
      <c r="A61" s="78" t="s">
        <v>2</v>
      </c>
      <c r="B61" s="48">
        <f>SUM(B60:B60)</f>
        <v>0</v>
      </c>
      <c r="C61" s="48">
        <f>SUM(C60:C60)</f>
        <v>0</v>
      </c>
      <c r="D61" s="48">
        <f>SUM(D60:D60)</f>
        <v>0</v>
      </c>
      <c r="E61" s="48">
        <f>SUM(E60:E60)</f>
        <v>0</v>
      </c>
      <c r="F61" s="111">
        <f>SUM(F60:F60)</f>
        <v>1214</v>
      </c>
    </row>
    <row r="63" spans="1:6" ht="15" thickBot="1" x14ac:dyDescent="0.25">
      <c r="A63" s="1"/>
      <c r="B63" s="1"/>
      <c r="C63" s="1"/>
      <c r="D63" s="1"/>
      <c r="E63" s="1"/>
      <c r="F63" s="1"/>
    </row>
    <row r="64" spans="1:6" ht="15" x14ac:dyDescent="0.25">
      <c r="A64" s="75" t="s">
        <v>10</v>
      </c>
      <c r="B64" s="4" t="s">
        <v>70</v>
      </c>
      <c r="C64" s="4" t="s">
        <v>70</v>
      </c>
      <c r="D64" s="4" t="s">
        <v>70</v>
      </c>
      <c r="E64" s="4" t="s">
        <v>70</v>
      </c>
      <c r="F64" s="107" t="s">
        <v>70</v>
      </c>
    </row>
    <row r="65" spans="1:6" ht="30" x14ac:dyDescent="0.2">
      <c r="A65" s="76"/>
      <c r="B65" s="45" t="s">
        <v>179</v>
      </c>
      <c r="C65" s="45" t="s">
        <v>170</v>
      </c>
      <c r="D65" s="45" t="s">
        <v>159</v>
      </c>
      <c r="E65" s="45" t="s">
        <v>81</v>
      </c>
      <c r="F65" s="108" t="s">
        <v>59</v>
      </c>
    </row>
    <row r="66" spans="1:6" x14ac:dyDescent="0.2">
      <c r="A66" s="80" t="s">
        <v>110</v>
      </c>
      <c r="B66" s="46">
        <v>22488</v>
      </c>
      <c r="C66" s="46">
        <f>20078</f>
        <v>20078</v>
      </c>
      <c r="D66" s="46">
        <f>16123</f>
        <v>16123</v>
      </c>
      <c r="E66" s="46">
        <f>12891</f>
        <v>12891</v>
      </c>
      <c r="F66" s="109">
        <f>10573</f>
        <v>10573</v>
      </c>
    </row>
    <row r="67" spans="1:6" x14ac:dyDescent="0.2">
      <c r="A67" s="121" t="s">
        <v>111</v>
      </c>
      <c r="B67" s="46">
        <v>22596</v>
      </c>
      <c r="C67" s="46">
        <f>20279</f>
        <v>20279</v>
      </c>
      <c r="D67" s="46">
        <f>12856</f>
        <v>12856</v>
      </c>
      <c r="E67" s="46">
        <f>2875</f>
        <v>2875</v>
      </c>
      <c r="F67" s="109">
        <f>5478</f>
        <v>5478</v>
      </c>
    </row>
    <row r="68" spans="1:6" x14ac:dyDescent="0.2">
      <c r="A68" s="121" t="s">
        <v>14</v>
      </c>
      <c r="B68" s="46">
        <v>8328</v>
      </c>
      <c r="C68" s="46">
        <f>7529</f>
        <v>7529</v>
      </c>
      <c r="D68" s="46">
        <f>7395</f>
        <v>7395</v>
      </c>
      <c r="E68" s="46">
        <f>4578</f>
        <v>4578</v>
      </c>
      <c r="F68" s="109">
        <f>2955</f>
        <v>2955</v>
      </c>
    </row>
    <row r="69" spans="1:6" x14ac:dyDescent="0.2">
      <c r="A69" s="80" t="s">
        <v>58</v>
      </c>
      <c r="B69" s="46">
        <v>0</v>
      </c>
      <c r="C69" s="46">
        <v>0</v>
      </c>
      <c r="D69" s="46">
        <v>0</v>
      </c>
      <c r="E69" s="46">
        <v>0</v>
      </c>
      <c r="F69" s="109">
        <f>3834</f>
        <v>3834</v>
      </c>
    </row>
    <row r="70" spans="1:6" x14ac:dyDescent="0.2">
      <c r="A70" s="80" t="s">
        <v>112</v>
      </c>
      <c r="B70" s="46">
        <v>391</v>
      </c>
      <c r="C70" s="46">
        <f>553</f>
        <v>553</v>
      </c>
      <c r="D70" s="46">
        <f>4152</f>
        <v>4152</v>
      </c>
      <c r="E70" s="46">
        <f>7515</f>
        <v>7515</v>
      </c>
      <c r="F70" s="109">
        <f>11126</f>
        <v>11126</v>
      </c>
    </row>
    <row r="71" spans="1:6" x14ac:dyDescent="0.2">
      <c r="A71" s="121" t="s">
        <v>113</v>
      </c>
      <c r="B71" s="47">
        <v>8840</v>
      </c>
      <c r="C71" s="47">
        <f>1178</f>
        <v>1178</v>
      </c>
      <c r="D71" s="47">
        <f>4332</f>
        <v>4332</v>
      </c>
      <c r="E71" s="47">
        <f>467</f>
        <v>467</v>
      </c>
      <c r="F71" s="122">
        <v>0</v>
      </c>
    </row>
    <row r="72" spans="1:6" x14ac:dyDescent="0.2">
      <c r="A72" s="161" t="s">
        <v>171</v>
      </c>
      <c r="B72" s="47">
        <v>33680</v>
      </c>
      <c r="C72" s="47">
        <f>6390</f>
        <v>6390</v>
      </c>
      <c r="D72" s="47"/>
      <c r="E72" s="47"/>
      <c r="F72" s="122"/>
    </row>
    <row r="73" spans="1:6" ht="15.75" thickBot="1" x14ac:dyDescent="0.3">
      <c r="A73" s="78" t="s">
        <v>40</v>
      </c>
      <c r="B73" s="48">
        <f>SUM(B66:B72)</f>
        <v>96323</v>
      </c>
      <c r="C73" s="48">
        <f>SUM(C66:C72)</f>
        <v>56007</v>
      </c>
      <c r="D73" s="48">
        <f>SUM(D66:D72)</f>
        <v>44858</v>
      </c>
      <c r="E73" s="48">
        <f>SUM(E66:E71)</f>
        <v>28326</v>
      </c>
      <c r="F73" s="111">
        <f>SUM(F66:F71)</f>
        <v>33966</v>
      </c>
    </row>
    <row r="75" spans="1:6" ht="15" thickBot="1" x14ac:dyDescent="0.25"/>
    <row r="76" spans="1:6" ht="15" x14ac:dyDescent="0.25">
      <c r="A76" s="75" t="s">
        <v>8</v>
      </c>
      <c r="B76" s="4" t="s">
        <v>70</v>
      </c>
      <c r="C76" s="4" t="s">
        <v>70</v>
      </c>
      <c r="D76" s="4" t="s">
        <v>70</v>
      </c>
      <c r="E76" s="4" t="s">
        <v>70</v>
      </c>
      <c r="F76" s="107" t="s">
        <v>70</v>
      </c>
    </row>
    <row r="77" spans="1:6" ht="30" x14ac:dyDescent="0.2">
      <c r="A77" s="80"/>
      <c r="B77" s="45" t="s">
        <v>179</v>
      </c>
      <c r="C77" s="45" t="s">
        <v>170</v>
      </c>
      <c r="D77" s="45" t="s">
        <v>159</v>
      </c>
      <c r="E77" s="45" t="s">
        <v>81</v>
      </c>
      <c r="F77" s="108" t="s">
        <v>59</v>
      </c>
    </row>
    <row r="78" spans="1:6" x14ac:dyDescent="0.2">
      <c r="A78" s="113" t="s">
        <v>25</v>
      </c>
      <c r="B78" s="46">
        <f>2930952</f>
        <v>2930952</v>
      </c>
      <c r="C78" s="46">
        <f>2930952</f>
        <v>2930952</v>
      </c>
      <c r="D78" s="46">
        <f>2930952</f>
        <v>2930952</v>
      </c>
      <c r="E78" s="46">
        <f>2652219</f>
        <v>2652219</v>
      </c>
      <c r="F78" s="109">
        <f>1680610</f>
        <v>1680610</v>
      </c>
    </row>
    <row r="79" spans="1:6" x14ac:dyDescent="0.2">
      <c r="A79" s="123" t="s">
        <v>28</v>
      </c>
      <c r="B79" s="47">
        <f>Bilanci!B34</f>
        <v>-1042018.26301346</v>
      </c>
      <c r="C79" s="47">
        <f>Bilanci!C34</f>
        <v>-932803.552555145</v>
      </c>
      <c r="D79" s="47">
        <f>Bilanci!D34</f>
        <v>-723141</v>
      </c>
      <c r="E79" s="47">
        <v>-559462</v>
      </c>
      <c r="F79" s="122">
        <v>-418353.12838797958</v>
      </c>
    </row>
    <row r="80" spans="1:6" ht="15.75" thickBot="1" x14ac:dyDescent="0.3">
      <c r="A80" s="78" t="s">
        <v>40</v>
      </c>
      <c r="B80" s="48">
        <f>SUM(B78:B79)</f>
        <v>1888933.73698654</v>
      </c>
      <c r="C80" s="48">
        <f>SUM(C78:C79)</f>
        <v>1998148.447444855</v>
      </c>
      <c r="D80" s="48">
        <f>SUM(D78:D79)</f>
        <v>2207811</v>
      </c>
      <c r="E80" s="48">
        <f>SUM(E78:E79)</f>
        <v>2092757</v>
      </c>
      <c r="F80" s="111">
        <f>SUM(F78:F79)</f>
        <v>1262256.8716120203</v>
      </c>
    </row>
    <row r="93" spans="1:6" x14ac:dyDescent="0.2">
      <c r="A93" s="83"/>
      <c r="B93" s="51"/>
      <c r="C93" s="51"/>
      <c r="D93" s="51"/>
      <c r="E93" s="51"/>
      <c r="F93" s="51"/>
    </row>
  </sheetData>
  <pageMargins left="0.45" right="0.45" top="0.5" bottom="0.5" header="0.3" footer="0.3"/>
  <pageSetup scale="92" fitToHeight="0" orientation="portrait" r:id="rId1"/>
  <rowBreaks count="1" manualBreakCount="1">
    <brk id="50" max="16383" man="1"/>
  </rowBreaks>
  <ignoredErrors>
    <ignoredError sqref="F9 F18 F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2"/>
  <sheetViews>
    <sheetView workbookViewId="0"/>
  </sheetViews>
  <sheetFormatPr defaultColWidth="9.140625" defaultRowHeight="14.25" x14ac:dyDescent="0.2"/>
  <cols>
    <col min="1" max="1" width="35" style="1" customWidth="1"/>
    <col min="2" max="8" width="14.85546875" style="1" customWidth="1"/>
    <col min="9" max="16384" width="9.140625" style="1"/>
  </cols>
  <sheetData>
    <row r="1" spans="1:8" ht="15" x14ac:dyDescent="0.25">
      <c r="A1" s="73" t="s">
        <v>176</v>
      </c>
      <c r="B1" s="43"/>
      <c r="C1" s="43"/>
      <c r="D1" s="43"/>
      <c r="E1" s="43"/>
    </row>
    <row r="2" spans="1:8" ht="15" x14ac:dyDescent="0.25">
      <c r="A2" s="74" t="s">
        <v>180</v>
      </c>
      <c r="B2" s="43"/>
      <c r="C2" s="43"/>
      <c r="D2" s="43"/>
      <c r="E2" s="43"/>
    </row>
    <row r="3" spans="1:8" x14ac:dyDescent="0.2">
      <c r="A3" s="74" t="s">
        <v>72</v>
      </c>
      <c r="B3" s="44"/>
      <c r="C3" s="44"/>
      <c r="D3" s="44"/>
      <c r="E3" s="44"/>
    </row>
    <row r="4" spans="1:8" x14ac:dyDescent="0.2">
      <c r="A4" s="74"/>
      <c r="B4" s="44"/>
      <c r="C4" s="44"/>
      <c r="D4" s="44"/>
      <c r="E4" s="44"/>
    </row>
    <row r="5" spans="1:8" ht="15.75" thickBot="1" x14ac:dyDescent="0.25">
      <c r="A5" s="177" t="s">
        <v>151</v>
      </c>
      <c r="B5" s="177"/>
      <c r="C5" s="177"/>
      <c r="D5" s="177"/>
      <c r="E5" s="177"/>
      <c r="F5" s="177"/>
      <c r="G5" s="177"/>
      <c r="H5" s="177"/>
    </row>
    <row r="6" spans="1:8" ht="60.75" thickTop="1" x14ac:dyDescent="0.2">
      <c r="A6" s="152"/>
      <c r="B6" s="153" t="s">
        <v>85</v>
      </c>
      <c r="C6" s="153" t="s">
        <v>86</v>
      </c>
      <c r="D6" s="153" t="s">
        <v>87</v>
      </c>
      <c r="E6" s="153" t="s">
        <v>88</v>
      </c>
      <c r="F6" s="153" t="s">
        <v>98</v>
      </c>
      <c r="G6" s="153" t="s">
        <v>99</v>
      </c>
      <c r="H6" s="153" t="s">
        <v>40</v>
      </c>
    </row>
    <row r="7" spans="1:8" ht="15" thickBot="1" x14ac:dyDescent="0.25">
      <c r="A7" s="148" t="s">
        <v>89</v>
      </c>
      <c r="B7" s="130"/>
      <c r="C7" s="130"/>
      <c r="D7" s="130"/>
      <c r="E7" s="130"/>
      <c r="F7" s="130"/>
      <c r="G7" s="130"/>
      <c r="H7" s="130"/>
    </row>
    <row r="8" spans="1:8" ht="15" x14ac:dyDescent="0.2">
      <c r="A8" s="127" t="s">
        <v>165</v>
      </c>
      <c r="B8" s="162">
        <v>98704</v>
      </c>
      <c r="C8" s="162">
        <v>278010</v>
      </c>
      <c r="D8" s="162">
        <v>1039121</v>
      </c>
      <c r="E8" s="162">
        <v>24068</v>
      </c>
      <c r="F8" s="162">
        <v>95691</v>
      </c>
      <c r="G8" s="162">
        <v>1154041</v>
      </c>
      <c r="H8" s="162">
        <v>2689635</v>
      </c>
    </row>
    <row r="9" spans="1:8" x14ac:dyDescent="0.2">
      <c r="A9" s="127" t="s">
        <v>90</v>
      </c>
      <c r="B9" s="163"/>
      <c r="C9" s="163">
        <v>2901</v>
      </c>
      <c r="D9" s="163">
        <v>86760</v>
      </c>
      <c r="E9" s="163">
        <v>903</v>
      </c>
      <c r="F9" s="163">
        <v>14620</v>
      </c>
      <c r="G9" s="164">
        <v>132857</v>
      </c>
      <c r="H9" s="164">
        <v>238041</v>
      </c>
    </row>
    <row r="10" spans="1:8" x14ac:dyDescent="0.2">
      <c r="A10" s="127" t="s">
        <v>92</v>
      </c>
      <c r="B10" s="163"/>
      <c r="C10" s="163">
        <v>1048928</v>
      </c>
      <c r="D10" s="163">
        <v>36018</v>
      </c>
      <c r="E10" s="163">
        <v>0</v>
      </c>
      <c r="F10" s="163">
        <v>11832</v>
      </c>
      <c r="G10" s="163">
        <v>-1096778</v>
      </c>
      <c r="H10" s="164">
        <v>0</v>
      </c>
    </row>
    <row r="11" spans="1:8" x14ac:dyDescent="0.2">
      <c r="A11" s="127" t="s">
        <v>93</v>
      </c>
      <c r="B11" s="163"/>
      <c r="C11" s="163"/>
      <c r="D11" s="163">
        <v>-4242</v>
      </c>
      <c r="E11" s="163"/>
      <c r="F11" s="163">
        <v>-1233</v>
      </c>
      <c r="G11" s="164">
        <v>-793</v>
      </c>
      <c r="H11" s="164">
        <v>-6268</v>
      </c>
    </row>
    <row r="12" spans="1:8" ht="15" thickBot="1" x14ac:dyDescent="0.25">
      <c r="A12" s="127" t="s">
        <v>166</v>
      </c>
      <c r="B12" s="163"/>
      <c r="C12" s="163"/>
      <c r="D12" s="163"/>
      <c r="E12" s="163"/>
      <c r="F12" s="163"/>
      <c r="G12" s="164">
        <v>-4383</v>
      </c>
      <c r="H12" s="164">
        <v>-4383</v>
      </c>
    </row>
    <row r="13" spans="1:8" ht="15" x14ac:dyDescent="0.2">
      <c r="A13" s="149" t="s">
        <v>185</v>
      </c>
      <c r="B13" s="162">
        <f>SUM(B8:B12)</f>
        <v>98704</v>
      </c>
      <c r="C13" s="162">
        <f t="shared" ref="C13:H13" si="0">SUM(C8:C12)</f>
        <v>1329839</v>
      </c>
      <c r="D13" s="162">
        <f t="shared" si="0"/>
        <v>1157657</v>
      </c>
      <c r="E13" s="162">
        <f t="shared" si="0"/>
        <v>24971</v>
      </c>
      <c r="F13" s="162">
        <f t="shared" si="0"/>
        <v>120910</v>
      </c>
      <c r="G13" s="162">
        <f t="shared" si="0"/>
        <v>184944</v>
      </c>
      <c r="H13" s="162">
        <f t="shared" si="0"/>
        <v>2917025</v>
      </c>
    </row>
    <row r="14" spans="1:8" x14ac:dyDescent="0.2">
      <c r="A14" s="127" t="s">
        <v>90</v>
      </c>
      <c r="B14" s="163"/>
      <c r="C14" s="163">
        <v>6911</v>
      </c>
      <c r="D14" s="163">
        <v>59883</v>
      </c>
      <c r="E14" s="163">
        <v>4170</v>
      </c>
      <c r="F14" s="163">
        <v>12858</v>
      </c>
      <c r="G14" s="164">
        <v>3815</v>
      </c>
      <c r="H14" s="164">
        <v>87637</v>
      </c>
    </row>
    <row r="15" spans="1:8" x14ac:dyDescent="0.2">
      <c r="A15" s="127" t="s">
        <v>92</v>
      </c>
      <c r="B15" s="163"/>
      <c r="C15" s="163">
        <v>3786</v>
      </c>
      <c r="D15" s="163">
        <v>150102</v>
      </c>
      <c r="E15" s="163">
        <v>0</v>
      </c>
      <c r="F15" s="163">
        <v>34790</v>
      </c>
      <c r="G15" s="163">
        <v>-188678</v>
      </c>
      <c r="H15" s="164">
        <v>0</v>
      </c>
    </row>
    <row r="16" spans="1:8" x14ac:dyDescent="0.2">
      <c r="A16" s="127" t="s">
        <v>93</v>
      </c>
      <c r="B16" s="163"/>
      <c r="C16" s="163">
        <v>-673</v>
      </c>
      <c r="D16" s="163">
        <v>-36134</v>
      </c>
      <c r="E16" s="163">
        <v>-480</v>
      </c>
      <c r="F16" s="163">
        <v>-8288</v>
      </c>
      <c r="G16" s="164">
        <v>-11</v>
      </c>
      <c r="H16" s="164">
        <v>-45586</v>
      </c>
    </row>
    <row r="17" spans="1:8" ht="15" thickBot="1" x14ac:dyDescent="0.25">
      <c r="A17" s="127" t="s">
        <v>166</v>
      </c>
      <c r="B17" s="163"/>
      <c r="C17" s="163">
        <v>-2894</v>
      </c>
      <c r="D17" s="163">
        <v>0</v>
      </c>
      <c r="E17" s="163">
        <v>0</v>
      </c>
      <c r="F17" s="163">
        <v>2894</v>
      </c>
      <c r="G17" s="164"/>
      <c r="H17" s="164">
        <v>0</v>
      </c>
    </row>
    <row r="18" spans="1:8" ht="15" x14ac:dyDescent="0.2">
      <c r="A18" s="149" t="s">
        <v>172</v>
      </c>
      <c r="B18" s="162">
        <f>SUM(B13:B17)</f>
        <v>98704</v>
      </c>
      <c r="C18" s="162">
        <f t="shared" ref="C18:H18" si="1">SUM(C13:C17)</f>
        <v>1336969</v>
      </c>
      <c r="D18" s="162">
        <f t="shared" si="1"/>
        <v>1331508</v>
      </c>
      <c r="E18" s="162">
        <f t="shared" si="1"/>
        <v>28661</v>
      </c>
      <c r="F18" s="162">
        <f t="shared" si="1"/>
        <v>163164</v>
      </c>
      <c r="G18" s="162">
        <f t="shared" si="1"/>
        <v>70</v>
      </c>
      <c r="H18" s="162">
        <f t="shared" si="1"/>
        <v>2959076</v>
      </c>
    </row>
    <row r="19" spans="1:8" x14ac:dyDescent="0.2">
      <c r="A19" s="127" t="s">
        <v>90</v>
      </c>
      <c r="B19" s="163"/>
      <c r="C19" s="163">
        <v>4944</v>
      </c>
      <c r="D19" s="163">
        <v>50506</v>
      </c>
      <c r="E19" s="163">
        <v>0</v>
      </c>
      <c r="F19" s="163">
        <v>7778</v>
      </c>
      <c r="G19" s="164">
        <v>354</v>
      </c>
      <c r="H19" s="164">
        <f>SUM(B19:G19)</f>
        <v>63582</v>
      </c>
    </row>
    <row r="20" spans="1:8" x14ac:dyDescent="0.2">
      <c r="A20" s="127" t="s">
        <v>92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4">
        <f t="shared" ref="H20:H22" si="2">SUM(B20:G20)</f>
        <v>0</v>
      </c>
    </row>
    <row r="21" spans="1:8" x14ac:dyDescent="0.2">
      <c r="A21" s="127" t="s">
        <v>93</v>
      </c>
      <c r="B21" s="1">
        <v>0</v>
      </c>
      <c r="C21" s="163">
        <v>-26</v>
      </c>
      <c r="D21" s="163">
        <v>-9035</v>
      </c>
      <c r="E21" s="163">
        <v>-1942</v>
      </c>
      <c r="F21" s="163">
        <v>-5140</v>
      </c>
      <c r="G21" s="164">
        <v>0</v>
      </c>
      <c r="H21" s="164">
        <f>SUM(C21:G21)</f>
        <v>-16143</v>
      </c>
    </row>
    <row r="22" spans="1:8" ht="15" thickBot="1" x14ac:dyDescent="0.25">
      <c r="A22" s="127" t="s">
        <v>173</v>
      </c>
      <c r="B22" s="163"/>
      <c r="C22" s="163">
        <v>55</v>
      </c>
      <c r="D22" s="163">
        <v>208</v>
      </c>
      <c r="E22" s="163">
        <v>0</v>
      </c>
      <c r="F22" s="163">
        <v>-6</v>
      </c>
      <c r="G22" s="164">
        <v>0</v>
      </c>
      <c r="H22" s="164">
        <f t="shared" si="2"/>
        <v>257</v>
      </c>
    </row>
    <row r="23" spans="1:8" ht="15" x14ac:dyDescent="0.2">
      <c r="A23" s="149" t="s">
        <v>183</v>
      </c>
      <c r="B23" s="162">
        <f>SUM(B18:B22)</f>
        <v>98704</v>
      </c>
      <c r="C23" s="162">
        <f>SUM(C18:C22)</f>
        <v>1341942</v>
      </c>
      <c r="D23" s="162">
        <f t="shared" ref="D23:H23" si="3">SUM(D18:D22)</f>
        <v>1373187</v>
      </c>
      <c r="E23" s="162">
        <f t="shared" si="3"/>
        <v>26719</v>
      </c>
      <c r="F23" s="162">
        <f t="shared" si="3"/>
        <v>165796</v>
      </c>
      <c r="G23" s="162">
        <f t="shared" si="3"/>
        <v>424</v>
      </c>
      <c r="H23" s="162">
        <f t="shared" si="3"/>
        <v>3006772</v>
      </c>
    </row>
    <row r="24" spans="1:8" x14ac:dyDescent="0.2">
      <c r="A24" s="148"/>
      <c r="B24" s="163"/>
      <c r="C24" s="163"/>
      <c r="D24" s="163"/>
      <c r="E24" s="163"/>
      <c r="F24" s="163"/>
      <c r="G24" s="163"/>
      <c r="H24" s="163"/>
    </row>
    <row r="25" spans="1:8" x14ac:dyDescent="0.2">
      <c r="A25" s="148" t="s">
        <v>95</v>
      </c>
      <c r="B25" s="163"/>
      <c r="C25" s="163"/>
      <c r="D25" s="163"/>
      <c r="E25" s="163"/>
      <c r="F25" s="163"/>
      <c r="G25" s="163"/>
      <c r="H25" s="163"/>
    </row>
    <row r="26" spans="1:8" x14ac:dyDescent="0.2">
      <c r="A26" s="127" t="s">
        <v>94</v>
      </c>
      <c r="B26" s="163">
        <v>0</v>
      </c>
      <c r="C26" s="163">
        <v>-31468</v>
      </c>
      <c r="D26" s="163">
        <v>-351882</v>
      </c>
      <c r="E26" s="163">
        <v>-10262</v>
      </c>
      <c r="F26" s="163">
        <v>-29779</v>
      </c>
      <c r="G26" s="163">
        <v>0</v>
      </c>
      <c r="H26" s="163">
        <f>SUM(B26:G26)</f>
        <v>-423391</v>
      </c>
    </row>
    <row r="27" spans="1:8" x14ac:dyDescent="0.2">
      <c r="A27" s="127" t="s">
        <v>96</v>
      </c>
      <c r="B27" s="163"/>
      <c r="C27" s="163">
        <v>-47030</v>
      </c>
      <c r="D27" s="163">
        <v>-144676</v>
      </c>
      <c r="E27" s="163">
        <v>-2886</v>
      </c>
      <c r="F27" s="163">
        <v>-16363</v>
      </c>
      <c r="G27" s="163"/>
      <c r="H27" s="163">
        <f t="shared" ref="H27:H28" si="4">SUM(B27:G27)</f>
        <v>-210955</v>
      </c>
    </row>
    <row r="28" spans="1:8" ht="15" thickBot="1" x14ac:dyDescent="0.25">
      <c r="A28" s="127" t="s">
        <v>93</v>
      </c>
      <c r="B28" s="165"/>
      <c r="C28" s="165"/>
      <c r="D28" s="165">
        <v>2678</v>
      </c>
      <c r="E28" s="165"/>
      <c r="F28" s="165">
        <v>1085</v>
      </c>
      <c r="G28" s="165"/>
      <c r="H28" s="163">
        <f t="shared" si="4"/>
        <v>3763</v>
      </c>
    </row>
    <row r="29" spans="1:8" ht="15" x14ac:dyDescent="0.2">
      <c r="A29" s="149" t="s">
        <v>160</v>
      </c>
      <c r="B29" s="162">
        <f>+SUM(B26:B28)</f>
        <v>0</v>
      </c>
      <c r="C29" s="162">
        <f t="shared" ref="C29:H29" si="5">+SUM(C26:C28)</f>
        <v>-78498</v>
      </c>
      <c r="D29" s="162">
        <f t="shared" si="5"/>
        <v>-493880</v>
      </c>
      <c r="E29" s="162">
        <f t="shared" si="5"/>
        <v>-13148</v>
      </c>
      <c r="F29" s="162">
        <f t="shared" si="5"/>
        <v>-45057</v>
      </c>
      <c r="G29" s="162">
        <f t="shared" si="5"/>
        <v>0</v>
      </c>
      <c r="H29" s="162">
        <f t="shared" si="5"/>
        <v>-630583</v>
      </c>
    </row>
    <row r="30" spans="1:8" x14ac:dyDescent="0.2">
      <c r="A30" s="127" t="s">
        <v>96</v>
      </c>
      <c r="B30" s="163"/>
      <c r="C30" s="163">
        <v>-63931</v>
      </c>
      <c r="D30" s="163">
        <v>-155042</v>
      </c>
      <c r="E30" s="163">
        <v>-2591</v>
      </c>
      <c r="F30" s="163">
        <v>-24770</v>
      </c>
      <c r="G30" s="163"/>
      <c r="H30" s="163">
        <f t="shared" ref="H30:H31" si="6">SUM(B30:G30)</f>
        <v>-246334</v>
      </c>
    </row>
    <row r="31" spans="1:8" ht="15" thickBot="1" x14ac:dyDescent="0.25">
      <c r="A31" s="127" t="s">
        <v>93</v>
      </c>
      <c r="B31" s="165"/>
      <c r="C31" s="165">
        <v>133</v>
      </c>
      <c r="D31" s="165">
        <v>26306</v>
      </c>
      <c r="E31" s="165">
        <v>219</v>
      </c>
      <c r="F31" s="165">
        <v>7525</v>
      </c>
      <c r="G31" s="165"/>
      <c r="H31" s="165">
        <f t="shared" si="6"/>
        <v>34183</v>
      </c>
    </row>
    <row r="32" spans="1:8" ht="15" x14ac:dyDescent="0.2">
      <c r="A32" s="149" t="s">
        <v>172</v>
      </c>
      <c r="B32" s="166">
        <f>SUM(B29:B31)</f>
        <v>0</v>
      </c>
      <c r="C32" s="166">
        <f t="shared" ref="C32:H32" si="7">SUM(C29:C31)</f>
        <v>-142296</v>
      </c>
      <c r="D32" s="166">
        <f t="shared" si="7"/>
        <v>-622616</v>
      </c>
      <c r="E32" s="166">
        <f t="shared" si="7"/>
        <v>-15520</v>
      </c>
      <c r="F32" s="166">
        <f t="shared" si="7"/>
        <v>-62302</v>
      </c>
      <c r="G32" s="166">
        <f t="shared" si="7"/>
        <v>0</v>
      </c>
      <c r="H32" s="166">
        <f t="shared" si="7"/>
        <v>-842734</v>
      </c>
    </row>
    <row r="33" spans="1:8" x14ac:dyDescent="0.2">
      <c r="A33" s="127" t="s">
        <v>96</v>
      </c>
      <c r="B33" s="163"/>
      <c r="C33" s="163">
        <v>-64593</v>
      </c>
      <c r="D33" s="163">
        <v>-148156</v>
      </c>
      <c r="E33" s="163">
        <v>-2532</v>
      </c>
      <c r="F33" s="163">
        <v>-23017</v>
      </c>
      <c r="G33" s="163"/>
      <c r="H33" s="163">
        <f t="shared" ref="H33:H34" si="8">SUM(B33:G33)</f>
        <v>-238298</v>
      </c>
    </row>
    <row r="34" spans="1:8" ht="15" thickBot="1" x14ac:dyDescent="0.25">
      <c r="A34" s="127" t="s">
        <v>93</v>
      </c>
      <c r="B34" s="165"/>
      <c r="C34" s="165">
        <v>27</v>
      </c>
      <c r="D34" s="165">
        <v>5953</v>
      </c>
      <c r="E34" s="165">
        <v>1260</v>
      </c>
      <c r="F34" s="165">
        <v>4744</v>
      </c>
      <c r="G34" s="165"/>
      <c r="H34" s="165">
        <f t="shared" si="8"/>
        <v>11984</v>
      </c>
    </row>
    <row r="35" spans="1:8" ht="15.75" thickBot="1" x14ac:dyDescent="0.25">
      <c r="A35" s="149" t="s">
        <v>183</v>
      </c>
      <c r="B35" s="166">
        <f>SUM(B32:B34)</f>
        <v>0</v>
      </c>
      <c r="C35" s="166">
        <f t="shared" ref="C35:H35" si="9">SUM(C32:C34)</f>
        <v>-206862</v>
      </c>
      <c r="D35" s="166">
        <f t="shared" si="9"/>
        <v>-764819</v>
      </c>
      <c r="E35" s="166">
        <f t="shared" si="9"/>
        <v>-16792</v>
      </c>
      <c r="F35" s="166">
        <f t="shared" si="9"/>
        <v>-80575</v>
      </c>
      <c r="G35" s="166">
        <f t="shared" si="9"/>
        <v>0</v>
      </c>
      <c r="H35" s="166">
        <f t="shared" si="9"/>
        <v>-1069048</v>
      </c>
    </row>
    <row r="36" spans="1:8" ht="15" x14ac:dyDescent="0.2">
      <c r="A36" s="149"/>
      <c r="B36" s="162"/>
      <c r="C36" s="162"/>
      <c r="D36" s="162"/>
      <c r="E36" s="162"/>
      <c r="F36" s="162"/>
      <c r="G36" s="162"/>
      <c r="H36" s="162"/>
    </row>
    <row r="37" spans="1:8" x14ac:dyDescent="0.2">
      <c r="A37" s="148" t="s">
        <v>97</v>
      </c>
      <c r="B37" s="163"/>
      <c r="C37" s="163"/>
      <c r="D37" s="163"/>
      <c r="E37" s="163"/>
      <c r="F37" s="163"/>
      <c r="G37" s="163"/>
      <c r="H37" s="163"/>
    </row>
    <row r="38" spans="1:8" ht="15" thickBot="1" x14ac:dyDescent="0.25">
      <c r="A38" s="150" t="s">
        <v>94</v>
      </c>
      <c r="B38" s="165">
        <v>98704</v>
      </c>
      <c r="C38" s="165">
        <v>246542</v>
      </c>
      <c r="D38" s="165">
        <v>687239</v>
      </c>
      <c r="E38" s="165">
        <v>13806</v>
      </c>
      <c r="F38" s="165">
        <v>65912</v>
      </c>
      <c r="G38" s="167">
        <v>1154041</v>
      </c>
      <c r="H38" s="167">
        <v>2266244</v>
      </c>
    </row>
    <row r="39" spans="1:8" ht="15.75" thickBot="1" x14ac:dyDescent="0.25">
      <c r="A39" s="151" t="s">
        <v>160</v>
      </c>
      <c r="B39" s="168">
        <v>98704</v>
      </c>
      <c r="C39" s="168">
        <v>1251341</v>
      </c>
      <c r="D39" s="168">
        <v>663777</v>
      </c>
      <c r="E39" s="168">
        <v>11823</v>
      </c>
      <c r="F39" s="168">
        <v>75853</v>
      </c>
      <c r="G39" s="169">
        <v>184944</v>
      </c>
      <c r="H39" s="169">
        <v>2286442</v>
      </c>
    </row>
    <row r="40" spans="1:8" ht="16.5" thickTop="1" thickBot="1" x14ac:dyDescent="0.25">
      <c r="A40" s="151" t="s">
        <v>172</v>
      </c>
      <c r="B40" s="168">
        <v>98704</v>
      </c>
      <c r="C40" s="168">
        <v>1194673</v>
      </c>
      <c r="D40" s="168">
        <v>708892</v>
      </c>
      <c r="E40" s="168">
        <v>13141</v>
      </c>
      <c r="F40" s="168">
        <v>100862</v>
      </c>
      <c r="G40" s="169">
        <v>70</v>
      </c>
      <c r="H40" s="169">
        <v>2116342</v>
      </c>
    </row>
    <row r="41" spans="1:8" ht="16.5" thickTop="1" thickBot="1" x14ac:dyDescent="0.25">
      <c r="A41" s="151" t="s">
        <v>183</v>
      </c>
      <c r="B41" s="168">
        <f>B23+B35</f>
        <v>98704</v>
      </c>
      <c r="C41" s="168">
        <f t="shared" ref="C41:H41" si="10">C23+C35</f>
        <v>1135080</v>
      </c>
      <c r="D41" s="168">
        <f t="shared" si="10"/>
        <v>608368</v>
      </c>
      <c r="E41" s="168">
        <f t="shared" si="10"/>
        <v>9927</v>
      </c>
      <c r="F41" s="168">
        <f t="shared" si="10"/>
        <v>85221</v>
      </c>
      <c r="G41" s="168">
        <f t="shared" si="10"/>
        <v>424</v>
      </c>
      <c r="H41" s="168">
        <f t="shared" si="10"/>
        <v>1937724</v>
      </c>
    </row>
    <row r="42" spans="1:8" ht="15" thickTop="1" x14ac:dyDescent="0.2"/>
  </sheetData>
  <mergeCells count="1">
    <mergeCell ref="A5:H5"/>
  </mergeCells>
  <pageMargins left="0.45" right="0.45" top="0.5" bottom="0.5" header="0.3" footer="0.3"/>
  <pageSetup scale="92" orientation="landscape" r:id="rId1"/>
  <ignoredErrors>
    <ignoredError sqref="H32 H29" formula="1"/>
    <ignoredError sqref="H2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6"/>
  <sheetViews>
    <sheetView zoomScaleNormal="100" workbookViewId="0"/>
  </sheetViews>
  <sheetFormatPr defaultColWidth="58.5703125" defaultRowHeight="14.25" x14ac:dyDescent="0.2"/>
  <cols>
    <col min="1" max="1" width="46.5703125" style="1" customWidth="1"/>
    <col min="2" max="2" width="25.5703125" style="1" customWidth="1"/>
    <col min="3" max="3" width="12.85546875" style="1" customWidth="1"/>
    <col min="4" max="16384" width="58.5703125" style="1"/>
  </cols>
  <sheetData>
    <row r="1" spans="1:5" ht="15" x14ac:dyDescent="0.25">
      <c r="A1" s="73" t="s">
        <v>176</v>
      </c>
      <c r="B1" s="43"/>
      <c r="C1" s="43"/>
      <c r="D1" s="43"/>
      <c r="E1" s="43"/>
    </row>
    <row r="2" spans="1:5" ht="15" x14ac:dyDescent="0.25">
      <c r="A2" s="74" t="s">
        <v>180</v>
      </c>
      <c r="B2" s="43"/>
      <c r="C2" s="43"/>
      <c r="D2" s="43"/>
      <c r="E2" s="43"/>
    </row>
    <row r="3" spans="1:5" x14ac:dyDescent="0.2">
      <c r="A3" s="74" t="s">
        <v>72</v>
      </c>
      <c r="B3" s="44"/>
      <c r="C3" s="44"/>
      <c r="D3" s="44"/>
      <c r="E3" s="44"/>
    </row>
    <row r="4" spans="1:5" x14ac:dyDescent="0.2">
      <c r="A4" s="74"/>
      <c r="B4" s="44"/>
      <c r="C4" s="44"/>
      <c r="D4" s="44"/>
      <c r="E4" s="44"/>
    </row>
    <row r="5" spans="1:5" ht="15.75" thickBot="1" x14ac:dyDescent="0.25">
      <c r="A5" s="177" t="s">
        <v>152</v>
      </c>
      <c r="B5" s="177"/>
    </row>
    <row r="6" spans="1:5" ht="16.5" thickTop="1" thickBot="1" x14ac:dyDescent="0.25">
      <c r="A6" s="146"/>
      <c r="B6" s="147" t="s">
        <v>105</v>
      </c>
    </row>
    <row r="7" spans="1:5" x14ac:dyDescent="0.2">
      <c r="A7" s="148" t="s">
        <v>89</v>
      </c>
      <c r="B7" s="130"/>
    </row>
    <row r="8" spans="1:5" x14ac:dyDescent="0.2">
      <c r="A8" s="127" t="s">
        <v>94</v>
      </c>
      <c r="B8" s="128">
        <v>7433</v>
      </c>
    </row>
    <row r="9" spans="1:5" x14ac:dyDescent="0.2">
      <c r="A9" s="127" t="s">
        <v>100</v>
      </c>
      <c r="B9" s="128">
        <v>191</v>
      </c>
    </row>
    <row r="10" spans="1:5" x14ac:dyDescent="0.2">
      <c r="A10" s="127" t="s">
        <v>102</v>
      </c>
      <c r="B10" s="128">
        <v>0</v>
      </c>
    </row>
    <row r="11" spans="1:5" ht="15" x14ac:dyDescent="0.2">
      <c r="A11" s="149" t="s">
        <v>160</v>
      </c>
      <c r="B11" s="170">
        <f>SUM(B8:B10)</f>
        <v>7624</v>
      </c>
    </row>
    <row r="12" spans="1:5" x14ac:dyDescent="0.2">
      <c r="A12" s="127" t="s">
        <v>101</v>
      </c>
      <c r="B12" s="163">
        <v>11725</v>
      </c>
    </row>
    <row r="13" spans="1:5" ht="15" thickBot="1" x14ac:dyDescent="0.25">
      <c r="A13" s="127" t="s">
        <v>102</v>
      </c>
      <c r="B13" s="163">
        <v>0</v>
      </c>
    </row>
    <row r="14" spans="1:5" ht="15" x14ac:dyDescent="0.2">
      <c r="A14" s="149" t="s">
        <v>172</v>
      </c>
      <c r="B14" s="162">
        <f>SUM(B11:B13)</f>
        <v>19349</v>
      </c>
    </row>
    <row r="15" spans="1:5" x14ac:dyDescent="0.2">
      <c r="A15" s="127" t="s">
        <v>101</v>
      </c>
      <c r="B15" s="163">
        <v>12739</v>
      </c>
    </row>
    <row r="16" spans="1:5" ht="15" thickBot="1" x14ac:dyDescent="0.25">
      <c r="A16" s="127" t="s">
        <v>102</v>
      </c>
      <c r="B16" s="163">
        <v>2</v>
      </c>
    </row>
    <row r="17" spans="1:2" ht="15" x14ac:dyDescent="0.2">
      <c r="A17" s="149" t="s">
        <v>183</v>
      </c>
      <c r="B17" s="162">
        <f>SUM(B14:B16)</f>
        <v>32090</v>
      </c>
    </row>
    <row r="18" spans="1:2" x14ac:dyDescent="0.2">
      <c r="A18" s="148"/>
      <c r="B18" s="163"/>
    </row>
    <row r="19" spans="1:2" x14ac:dyDescent="0.2">
      <c r="A19" s="148" t="s">
        <v>95</v>
      </c>
      <c r="B19" s="163"/>
    </row>
    <row r="20" spans="1:2" x14ac:dyDescent="0.2">
      <c r="A20" s="127" t="s">
        <v>94</v>
      </c>
      <c r="B20" s="163">
        <v>-3631</v>
      </c>
    </row>
    <row r="21" spans="1:2" x14ac:dyDescent="0.2">
      <c r="A21" s="127" t="s">
        <v>103</v>
      </c>
      <c r="B21" s="163">
        <v>-1030</v>
      </c>
    </row>
    <row r="22" spans="1:2" x14ac:dyDescent="0.2">
      <c r="A22" s="127" t="s">
        <v>102</v>
      </c>
      <c r="B22" s="171">
        <v>0</v>
      </c>
    </row>
    <row r="23" spans="1:2" ht="15" x14ac:dyDescent="0.2">
      <c r="A23" s="149" t="s">
        <v>160</v>
      </c>
      <c r="B23" s="166">
        <f>SUM(B20:B22)</f>
        <v>-4661</v>
      </c>
    </row>
    <row r="24" spans="1:2" x14ac:dyDescent="0.2">
      <c r="A24" s="127" t="s">
        <v>104</v>
      </c>
      <c r="B24" s="163">
        <v>-2093</v>
      </c>
    </row>
    <row r="25" spans="1:2" ht="15" thickBot="1" x14ac:dyDescent="0.25">
      <c r="A25" s="127" t="s">
        <v>102</v>
      </c>
      <c r="B25" s="165">
        <v>0</v>
      </c>
    </row>
    <row r="26" spans="1:2" ht="15" x14ac:dyDescent="0.2">
      <c r="A26" s="149" t="s">
        <v>172</v>
      </c>
      <c r="B26" s="166">
        <f>SUM(B23:B25)</f>
        <v>-6754</v>
      </c>
    </row>
    <row r="27" spans="1:2" x14ac:dyDescent="0.2">
      <c r="A27" s="127" t="s">
        <v>104</v>
      </c>
      <c r="B27" s="163">
        <v>-4676</v>
      </c>
    </row>
    <row r="28" spans="1:2" ht="15" thickBot="1" x14ac:dyDescent="0.25">
      <c r="A28" s="127" t="s">
        <v>102</v>
      </c>
      <c r="B28" s="165">
        <v>0</v>
      </c>
    </row>
    <row r="29" spans="1:2" ht="15" x14ac:dyDescent="0.2">
      <c r="A29" s="149" t="s">
        <v>183</v>
      </c>
      <c r="B29" s="166">
        <f>SUM(B26:B28)</f>
        <v>-11430</v>
      </c>
    </row>
    <row r="30" spans="1:2" x14ac:dyDescent="0.2">
      <c r="A30" s="148"/>
      <c r="B30" s="163"/>
    </row>
    <row r="31" spans="1:2" x14ac:dyDescent="0.2">
      <c r="A31" s="148" t="s">
        <v>97</v>
      </c>
      <c r="B31" s="163"/>
    </row>
    <row r="32" spans="1:2" ht="15.75" thickBot="1" x14ac:dyDescent="0.25">
      <c r="A32" s="150" t="s">
        <v>94</v>
      </c>
      <c r="B32" s="172">
        <v>3802</v>
      </c>
    </row>
    <row r="33" spans="1:2" ht="15.75" thickBot="1" x14ac:dyDescent="0.25">
      <c r="A33" s="151" t="s">
        <v>161</v>
      </c>
      <c r="B33" s="168">
        <v>2963</v>
      </c>
    </row>
    <row r="34" spans="1:2" ht="16.5" thickTop="1" thickBot="1" x14ac:dyDescent="0.25">
      <c r="A34" s="151" t="s">
        <v>174</v>
      </c>
      <c r="B34" s="168">
        <v>12595</v>
      </c>
    </row>
    <row r="35" spans="1:2" ht="16.5" thickTop="1" thickBot="1" x14ac:dyDescent="0.25">
      <c r="A35" s="151" t="s">
        <v>184</v>
      </c>
      <c r="B35" s="168">
        <f>B17+B29</f>
        <v>20660</v>
      </c>
    </row>
    <row r="36" spans="1:2" ht="15" thickTop="1" x14ac:dyDescent="0.2"/>
  </sheetData>
  <mergeCells count="1"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84"/>
  <sheetViews>
    <sheetView zoomScaleNormal="100" workbookViewId="0"/>
  </sheetViews>
  <sheetFormatPr defaultColWidth="69.42578125" defaultRowHeight="14.25" x14ac:dyDescent="0.2"/>
  <cols>
    <col min="1" max="1" width="46.7109375" style="1" bestFit="1" customWidth="1"/>
    <col min="2" max="3" width="13.28515625" style="1" customWidth="1"/>
    <col min="4" max="6" width="13.28515625" style="1" hidden="1" customWidth="1"/>
    <col min="7" max="7" width="14.42578125" style="1" customWidth="1"/>
    <col min="8" max="8" width="14.140625" style="1" customWidth="1"/>
    <col min="9" max="9" width="14" style="1" customWidth="1"/>
    <col min="10" max="16384" width="69.42578125" style="1"/>
  </cols>
  <sheetData>
    <row r="1" spans="1:6" ht="15" x14ac:dyDescent="0.25">
      <c r="A1" s="73" t="s">
        <v>176</v>
      </c>
      <c r="B1" s="43"/>
      <c r="C1" s="43"/>
      <c r="D1" s="43"/>
      <c r="E1" s="43"/>
      <c r="F1" s="43"/>
    </row>
    <row r="2" spans="1:6" ht="15" x14ac:dyDescent="0.25">
      <c r="A2" s="74" t="s">
        <v>180</v>
      </c>
      <c r="B2" s="43"/>
      <c r="C2" s="43"/>
      <c r="D2" s="43"/>
      <c r="E2" s="43"/>
      <c r="F2" s="43"/>
    </row>
    <row r="3" spans="1:6" x14ac:dyDescent="0.2">
      <c r="A3" s="74" t="s">
        <v>72</v>
      </c>
      <c r="B3" s="44"/>
      <c r="C3" s="44"/>
      <c r="D3" s="44"/>
      <c r="E3" s="44"/>
      <c r="F3" s="44"/>
    </row>
    <row r="4" spans="1:6" x14ac:dyDescent="0.2">
      <c r="A4" s="74"/>
      <c r="B4" s="44"/>
      <c r="C4" s="44"/>
      <c r="D4" s="44"/>
      <c r="E4" s="44"/>
      <c r="F4" s="44"/>
    </row>
    <row r="5" spans="1:6" ht="15.75" thickBot="1" x14ac:dyDescent="0.25">
      <c r="A5" s="124" t="s">
        <v>32</v>
      </c>
    </row>
    <row r="6" spans="1:6" ht="16.5" thickTop="1" thickBot="1" x14ac:dyDescent="0.25">
      <c r="A6" s="125"/>
      <c r="B6" s="126">
        <v>2013</v>
      </c>
      <c r="C6" s="126">
        <v>2012</v>
      </c>
      <c r="D6" s="126">
        <v>2011</v>
      </c>
      <c r="E6" s="126">
        <v>2010</v>
      </c>
      <c r="F6" s="126">
        <v>2009</v>
      </c>
    </row>
    <row r="7" spans="1:6" x14ac:dyDescent="0.2">
      <c r="A7" s="127" t="s">
        <v>114</v>
      </c>
      <c r="B7" s="163">
        <v>897502</v>
      </c>
      <c r="C7" s="163">
        <f>856685</f>
        <v>856685</v>
      </c>
      <c r="D7" s="163">
        <f>734343</f>
        <v>734343</v>
      </c>
      <c r="E7" s="128">
        <v>590668</v>
      </c>
      <c r="F7" s="128">
        <v>492094</v>
      </c>
    </row>
    <row r="8" spans="1:6" x14ac:dyDescent="0.2">
      <c r="A8" s="127" t="s">
        <v>115</v>
      </c>
      <c r="B8" s="163">
        <v>280048</v>
      </c>
      <c r="C8" s="163">
        <f>171170</f>
        <v>171170</v>
      </c>
      <c r="D8" s="163">
        <f>130806</f>
        <v>130806</v>
      </c>
      <c r="E8" s="128">
        <v>116951</v>
      </c>
      <c r="F8" s="128">
        <v>161760</v>
      </c>
    </row>
    <row r="9" spans="1:6" x14ac:dyDescent="0.2">
      <c r="A9" s="127" t="s">
        <v>116</v>
      </c>
      <c r="B9" s="163">
        <v>545853</v>
      </c>
      <c r="C9" s="163">
        <f>584517</f>
        <v>584517</v>
      </c>
      <c r="D9" s="163">
        <f>480583</f>
        <v>480583</v>
      </c>
      <c r="E9" s="128">
        <v>326326</v>
      </c>
      <c r="F9" s="128">
        <v>132095</v>
      </c>
    </row>
    <row r="10" spans="1:6" x14ac:dyDescent="0.2">
      <c r="A10" s="127" t="s">
        <v>117</v>
      </c>
      <c r="B10" s="163">
        <v>240638</v>
      </c>
      <c r="C10" s="163">
        <f>211252</f>
        <v>211252</v>
      </c>
      <c r="D10" s="163">
        <f>174881</f>
        <v>174881</v>
      </c>
      <c r="E10" s="128">
        <v>138284</v>
      </c>
      <c r="F10" s="128">
        <v>81380</v>
      </c>
    </row>
    <row r="11" spans="1:6" x14ac:dyDescent="0.2">
      <c r="A11" s="127" t="s">
        <v>118</v>
      </c>
      <c r="B11" s="163">
        <v>295143</v>
      </c>
      <c r="C11" s="163">
        <f>234201</f>
        <v>234201</v>
      </c>
      <c r="D11" s="163">
        <f>152953</f>
        <v>152953</v>
      </c>
      <c r="E11" s="128">
        <v>109685</v>
      </c>
      <c r="F11" s="128">
        <v>58821</v>
      </c>
    </row>
    <row r="12" spans="1:6" x14ac:dyDescent="0.2">
      <c r="A12" s="127" t="s">
        <v>119</v>
      </c>
      <c r="B12" s="163">
        <v>400432</v>
      </c>
      <c r="C12" s="163">
        <f>242579</f>
        <v>242579</v>
      </c>
      <c r="D12" s="163">
        <f>85859</f>
        <v>85859</v>
      </c>
      <c r="E12" s="128">
        <v>109232</v>
      </c>
      <c r="F12" s="128">
        <v>47425</v>
      </c>
    </row>
    <row r="13" spans="1:6" x14ac:dyDescent="0.2">
      <c r="A13" s="127" t="s">
        <v>120</v>
      </c>
      <c r="B13" s="163">
        <v>260174</v>
      </c>
      <c r="C13" s="163">
        <f>205436</f>
        <v>205436</v>
      </c>
      <c r="D13" s="163">
        <f>157107</f>
        <v>157107</v>
      </c>
      <c r="E13" s="128">
        <v>133087</v>
      </c>
      <c r="F13" s="128">
        <v>69682</v>
      </c>
    </row>
    <row r="14" spans="1:6" x14ac:dyDescent="0.2">
      <c r="A14" s="127" t="s">
        <v>121</v>
      </c>
      <c r="B14" s="163">
        <v>37764</v>
      </c>
      <c r="C14" s="163">
        <f>29493</f>
        <v>29493</v>
      </c>
      <c r="D14" s="163">
        <f>13047</f>
        <v>13047</v>
      </c>
      <c r="E14" s="128">
        <v>4824</v>
      </c>
      <c r="F14" s="128">
        <v>2951</v>
      </c>
    </row>
    <row r="15" spans="1:6" x14ac:dyDescent="0.2">
      <c r="A15" s="127" t="s">
        <v>122</v>
      </c>
      <c r="B15" s="163">
        <v>0</v>
      </c>
      <c r="C15" s="163">
        <v>0</v>
      </c>
      <c r="D15" s="163">
        <f>14</f>
        <v>14</v>
      </c>
      <c r="E15" s="128">
        <v>1737</v>
      </c>
      <c r="F15" s="128">
        <v>1773</v>
      </c>
    </row>
    <row r="16" spans="1:6" ht="15" thickBot="1" x14ac:dyDescent="0.25">
      <c r="A16" s="127" t="s">
        <v>123</v>
      </c>
      <c r="B16" s="163">
        <v>59806</v>
      </c>
      <c r="C16" s="163">
        <f>59138</f>
        <v>59138</v>
      </c>
      <c r="D16" s="163">
        <v>43172</v>
      </c>
      <c r="E16" s="128">
        <v>27727</v>
      </c>
      <c r="F16" s="128">
        <v>1627</v>
      </c>
    </row>
    <row r="17" spans="1:6" x14ac:dyDescent="0.2">
      <c r="A17" s="127"/>
      <c r="B17" s="173">
        <f>SUM(B7:B16)</f>
        <v>3017360</v>
      </c>
      <c r="C17" s="173">
        <f>SUM(C7:C16)</f>
        <v>2594471</v>
      </c>
      <c r="D17" s="173">
        <f>SUM(D7:D16)</f>
        <v>1972765</v>
      </c>
      <c r="E17" s="129">
        <v>1558521</v>
      </c>
      <c r="F17" s="129">
        <v>1049608</v>
      </c>
    </row>
    <row r="18" spans="1:6" x14ac:dyDescent="0.2">
      <c r="A18" s="127"/>
      <c r="B18" s="163"/>
      <c r="C18" s="163"/>
      <c r="D18" s="163"/>
      <c r="E18" s="130"/>
      <c r="F18" s="130"/>
    </row>
    <row r="19" spans="1:6" ht="15" thickBot="1" x14ac:dyDescent="0.25">
      <c r="A19" s="127" t="s">
        <v>124</v>
      </c>
      <c r="B19" s="163">
        <v>-37348</v>
      </c>
      <c r="C19" s="163">
        <v>-51053</v>
      </c>
      <c r="D19" s="163">
        <v>-43772</v>
      </c>
      <c r="E19" s="128">
        <v>-26287</v>
      </c>
      <c r="F19" s="128">
        <v>-17149</v>
      </c>
    </row>
    <row r="20" spans="1:6" ht="15.75" thickBot="1" x14ac:dyDescent="0.25">
      <c r="A20" s="131" t="s">
        <v>40</v>
      </c>
      <c r="B20" s="174">
        <f>SUM(B17:B19)</f>
        <v>2980012</v>
      </c>
      <c r="C20" s="174">
        <f>SUM(C17:C19)</f>
        <v>2543418</v>
      </c>
      <c r="D20" s="174">
        <f>SUM(D17:D19)</f>
        <v>1928993</v>
      </c>
      <c r="E20" s="132">
        <v>1532234</v>
      </c>
      <c r="F20" s="132">
        <v>1032459</v>
      </c>
    </row>
    <row r="21" spans="1:6" ht="15" thickTop="1" x14ac:dyDescent="0.2"/>
    <row r="23" spans="1:6" ht="15.75" thickBot="1" x14ac:dyDescent="0.25">
      <c r="A23" s="124" t="s">
        <v>153</v>
      </c>
    </row>
    <row r="24" spans="1:6" ht="16.5" thickTop="1" thickBot="1" x14ac:dyDescent="0.25">
      <c r="A24" s="133"/>
      <c r="B24" s="126">
        <v>2013</v>
      </c>
      <c r="C24" s="126">
        <v>2012</v>
      </c>
      <c r="D24" s="126">
        <v>2011</v>
      </c>
      <c r="E24" s="126">
        <v>2010</v>
      </c>
      <c r="F24" s="126">
        <v>2009</v>
      </c>
    </row>
    <row r="25" spans="1:6" x14ac:dyDescent="0.2">
      <c r="A25" s="127" t="s">
        <v>162</v>
      </c>
      <c r="B25" s="163">
        <v>627139</v>
      </c>
      <c r="C25" s="163">
        <f>593263</f>
        <v>593263</v>
      </c>
      <c r="D25" s="163">
        <f>433181</f>
        <v>433181</v>
      </c>
      <c r="E25" s="128">
        <f>224471+121000</f>
        <v>345471</v>
      </c>
      <c r="F25" s="128">
        <v>191211</v>
      </c>
    </row>
    <row r="26" spans="1:6" x14ac:dyDescent="0.2">
      <c r="A26" s="127"/>
      <c r="B26" s="163"/>
      <c r="C26" s="163"/>
      <c r="D26" s="163"/>
      <c r="E26" s="128"/>
      <c r="F26" s="128">
        <v>80905</v>
      </c>
    </row>
    <row r="27" spans="1:6" x14ac:dyDescent="0.2">
      <c r="A27" s="127" t="s">
        <v>77</v>
      </c>
      <c r="B27" s="163">
        <v>175603</v>
      </c>
      <c r="C27" s="163">
        <f>122712</f>
        <v>122712</v>
      </c>
      <c r="D27" s="163">
        <f>132485</f>
        <v>132485</v>
      </c>
      <c r="E27" s="128">
        <v>93934</v>
      </c>
      <c r="F27" s="128">
        <v>73777</v>
      </c>
    </row>
    <row r="28" spans="1:6" x14ac:dyDescent="0.2">
      <c r="A28" s="127" t="s">
        <v>125</v>
      </c>
      <c r="B28" s="163">
        <v>0</v>
      </c>
      <c r="C28" s="163">
        <v>0</v>
      </c>
      <c r="D28" s="163">
        <v>0</v>
      </c>
      <c r="E28" s="128">
        <v>1049</v>
      </c>
      <c r="F28" s="128">
        <v>16382</v>
      </c>
    </row>
    <row r="29" spans="1:6" x14ac:dyDescent="0.2">
      <c r="A29" s="127" t="s">
        <v>45</v>
      </c>
      <c r="B29" s="163">
        <v>29269</v>
      </c>
      <c r="C29" s="163">
        <f>25791</f>
        <v>25791</v>
      </c>
      <c r="D29" s="163">
        <v>17341</v>
      </c>
      <c r="E29" s="128">
        <v>7032</v>
      </c>
      <c r="F29" s="128">
        <v>2556</v>
      </c>
    </row>
    <row r="30" spans="1:6" ht="15" thickBot="1" x14ac:dyDescent="0.25">
      <c r="A30" s="127" t="s">
        <v>51</v>
      </c>
      <c r="B30" s="163">
        <v>31462</v>
      </c>
      <c r="C30" s="163">
        <f>652</f>
        <v>652</v>
      </c>
      <c r="D30" s="163">
        <f>32644</f>
        <v>32644</v>
      </c>
      <c r="E30" s="128">
        <v>5724</v>
      </c>
      <c r="F30" s="128">
        <v>4953</v>
      </c>
    </row>
    <row r="31" spans="1:6" x14ac:dyDescent="0.2">
      <c r="A31" s="127"/>
      <c r="B31" s="173">
        <f>SUM(B25:B30)</f>
        <v>863473</v>
      </c>
      <c r="C31" s="173">
        <f>SUM(C25:C30)</f>
        <v>742418</v>
      </c>
      <c r="D31" s="173">
        <f>SUM(D25:D30)</f>
        <v>615651</v>
      </c>
      <c r="E31" s="129">
        <v>453210</v>
      </c>
      <c r="F31" s="129">
        <v>369784</v>
      </c>
    </row>
    <row r="32" spans="1:6" x14ac:dyDescent="0.2">
      <c r="A32" s="127"/>
      <c r="B32" s="163"/>
      <c r="C32" s="163"/>
      <c r="D32" s="163"/>
      <c r="E32" s="130"/>
      <c r="F32" s="130"/>
    </row>
    <row r="33" spans="1:6" ht="15" thickBot="1" x14ac:dyDescent="0.25">
      <c r="A33" s="127" t="s">
        <v>124</v>
      </c>
      <c r="B33" s="163">
        <v>-1256</v>
      </c>
      <c r="C33" s="163">
        <v>-6371</v>
      </c>
      <c r="D33" s="163">
        <v>-3539</v>
      </c>
      <c r="E33" s="128">
        <v>-3815</v>
      </c>
      <c r="F33" s="128">
        <v>-1356</v>
      </c>
    </row>
    <row r="34" spans="1:6" ht="15.75" thickBot="1" x14ac:dyDescent="0.25">
      <c r="A34" s="131" t="s">
        <v>40</v>
      </c>
      <c r="B34" s="174">
        <f>SUM(B31:B33)</f>
        <v>862217</v>
      </c>
      <c r="C34" s="174">
        <f>SUM(C31:C33)</f>
        <v>736047</v>
      </c>
      <c r="D34" s="174">
        <f>SUM(D31:D33)</f>
        <v>612112</v>
      </c>
      <c r="E34" s="132">
        <v>449395</v>
      </c>
      <c r="F34" s="132">
        <v>368428</v>
      </c>
    </row>
    <row r="35" spans="1:6" ht="15" thickTop="1" x14ac:dyDescent="0.2"/>
    <row r="37" spans="1:6" ht="15" x14ac:dyDescent="0.2">
      <c r="A37" s="124" t="s">
        <v>154</v>
      </c>
    </row>
    <row r="38" spans="1:6" ht="29.25" thickBot="1" x14ac:dyDescent="0.25">
      <c r="A38" s="134" t="s">
        <v>126</v>
      </c>
    </row>
    <row r="39" spans="1:6" ht="16.5" thickTop="1" thickBot="1" x14ac:dyDescent="0.25">
      <c r="A39" s="133"/>
      <c r="B39" s="126">
        <v>2013</v>
      </c>
      <c r="C39" s="126">
        <v>2012</v>
      </c>
      <c r="D39" s="126">
        <v>2011</v>
      </c>
      <c r="E39" s="126">
        <v>2010</v>
      </c>
      <c r="F39" s="126">
        <v>2009</v>
      </c>
    </row>
    <row r="40" spans="1:6" x14ac:dyDescent="0.2">
      <c r="A40" s="135" t="s">
        <v>127</v>
      </c>
      <c r="B40" s="163">
        <v>1260004</v>
      </c>
      <c r="C40" s="163">
        <f>1087585</f>
        <v>1087585</v>
      </c>
      <c r="D40" s="163">
        <f>840891</f>
        <v>840891</v>
      </c>
      <c r="E40" s="128">
        <v>674477</v>
      </c>
      <c r="F40" s="128">
        <v>392809</v>
      </c>
    </row>
    <row r="41" spans="1:6" x14ac:dyDescent="0.2">
      <c r="A41" s="135" t="s">
        <v>128</v>
      </c>
      <c r="B41" s="163">
        <v>85479</v>
      </c>
      <c r="C41" s="163">
        <f>71150</f>
        <v>71150</v>
      </c>
      <c r="D41" s="163">
        <f>62498</f>
        <v>62498</v>
      </c>
      <c r="E41" s="128">
        <v>44075</v>
      </c>
      <c r="F41" s="128">
        <v>30961</v>
      </c>
    </row>
    <row r="42" spans="1:6" x14ac:dyDescent="0.2">
      <c r="A42" s="135" t="s">
        <v>129</v>
      </c>
      <c r="B42" s="163">
        <v>770</v>
      </c>
      <c r="C42" s="163">
        <f>1496</f>
        <v>1496</v>
      </c>
      <c r="D42" s="163">
        <f>1392</f>
        <v>1392</v>
      </c>
      <c r="E42" s="128">
        <v>1341</v>
      </c>
      <c r="F42" s="130">
        <v>888</v>
      </c>
    </row>
    <row r="43" spans="1:6" ht="15" thickBot="1" x14ac:dyDescent="0.25">
      <c r="A43" s="135" t="s">
        <v>61</v>
      </c>
      <c r="B43" s="163">
        <v>2209</v>
      </c>
      <c r="C43" s="163">
        <f>2177</f>
        <v>2177</v>
      </c>
      <c r="D43" s="163">
        <f>1583</f>
        <v>1583</v>
      </c>
      <c r="E43" s="130">
        <v>11</v>
      </c>
      <c r="F43" s="130">
        <v>84</v>
      </c>
    </row>
    <row r="44" spans="1:6" ht="15.75" thickBot="1" x14ac:dyDescent="0.25">
      <c r="A44" s="131" t="s">
        <v>40</v>
      </c>
      <c r="B44" s="174">
        <f>SUM(B40:B43)</f>
        <v>1348462</v>
      </c>
      <c r="C44" s="174">
        <f>SUM(C40:C43)</f>
        <v>1162408</v>
      </c>
      <c r="D44" s="174">
        <f>SUM(D40:D43)</f>
        <v>906364</v>
      </c>
      <c r="E44" s="132">
        <v>719904</v>
      </c>
      <c r="F44" s="132">
        <v>424742</v>
      </c>
    </row>
    <row r="45" spans="1:6" ht="15" thickTop="1" x14ac:dyDescent="0.2"/>
    <row r="47" spans="1:6" ht="15" x14ac:dyDescent="0.2">
      <c r="A47" s="124" t="s">
        <v>144</v>
      </c>
    </row>
    <row r="48" spans="1:6" ht="29.25" thickBot="1" x14ac:dyDescent="0.25">
      <c r="A48" s="134" t="s">
        <v>164</v>
      </c>
    </row>
    <row r="49" spans="1:6" ht="16.5" thickTop="1" thickBot="1" x14ac:dyDescent="0.25">
      <c r="A49" s="125"/>
      <c r="B49" s="126">
        <v>2013</v>
      </c>
      <c r="C49" s="126">
        <v>2012</v>
      </c>
      <c r="D49" s="126">
        <v>2011</v>
      </c>
      <c r="E49" s="126">
        <v>2010</v>
      </c>
      <c r="F49" s="126">
        <v>2009</v>
      </c>
    </row>
    <row r="50" spans="1:6" x14ac:dyDescent="0.2">
      <c r="A50" s="127" t="s">
        <v>130</v>
      </c>
      <c r="B50" s="163">
        <v>81090</v>
      </c>
      <c r="C50" s="163">
        <f>78695</f>
        <v>78695</v>
      </c>
      <c r="D50" s="163">
        <f>39226</f>
        <v>39226</v>
      </c>
      <c r="E50" s="128">
        <v>30143</v>
      </c>
      <c r="F50" s="128">
        <v>16908</v>
      </c>
    </row>
    <row r="51" spans="1:6" x14ac:dyDescent="0.2">
      <c r="A51" s="127" t="s">
        <v>175</v>
      </c>
      <c r="B51" s="163">
        <v>110370</v>
      </c>
      <c r="C51" s="163">
        <f>90789</f>
        <v>90789</v>
      </c>
      <c r="D51" s="163">
        <f>65636</f>
        <v>65636</v>
      </c>
      <c r="E51" s="128">
        <v>46058</v>
      </c>
      <c r="F51" s="128">
        <v>37198</v>
      </c>
    </row>
    <row r="52" spans="1:6" x14ac:dyDescent="0.2">
      <c r="A52" s="127" t="s">
        <v>131</v>
      </c>
      <c r="B52" s="163">
        <v>52021</v>
      </c>
      <c r="C52" s="163">
        <f>55103</f>
        <v>55103</v>
      </c>
      <c r="D52" s="163">
        <f>36974</f>
        <v>36974</v>
      </c>
      <c r="E52" s="128">
        <v>22307</v>
      </c>
      <c r="F52" s="128">
        <v>19308</v>
      </c>
    </row>
    <row r="53" spans="1:6" x14ac:dyDescent="0.2">
      <c r="A53" s="127" t="s">
        <v>132</v>
      </c>
      <c r="B53" s="163">
        <v>26391</v>
      </c>
      <c r="C53" s="163">
        <f>31569</f>
        <v>31569</v>
      </c>
      <c r="D53" s="163">
        <f>15414</f>
        <v>15414</v>
      </c>
      <c r="E53" s="128">
        <v>21595</v>
      </c>
      <c r="F53" s="128">
        <v>25270</v>
      </c>
    </row>
    <row r="54" spans="1:6" x14ac:dyDescent="0.2">
      <c r="A54" s="127" t="s">
        <v>133</v>
      </c>
      <c r="B54" s="163">
        <v>68084</v>
      </c>
      <c r="C54" s="163">
        <f>66040</f>
        <v>66040</v>
      </c>
      <c r="D54" s="163">
        <f>62021</f>
        <v>62021</v>
      </c>
      <c r="E54" s="128">
        <v>20912</v>
      </c>
      <c r="F54" s="128">
        <v>13527</v>
      </c>
    </row>
    <row r="55" spans="1:6" x14ac:dyDescent="0.2">
      <c r="A55" s="127" t="s">
        <v>134</v>
      </c>
      <c r="B55" s="163">
        <v>14154</v>
      </c>
      <c r="C55" s="163">
        <f>12855</f>
        <v>12855</v>
      </c>
      <c r="D55" s="163">
        <f>12035</f>
        <v>12035</v>
      </c>
      <c r="E55" s="128">
        <v>10094</v>
      </c>
      <c r="F55" s="128">
        <v>9031</v>
      </c>
    </row>
    <row r="56" spans="1:6" x14ac:dyDescent="0.2">
      <c r="A56" s="127" t="s">
        <v>135</v>
      </c>
      <c r="B56" s="163">
        <v>23566</v>
      </c>
      <c r="C56" s="163">
        <f>27939</f>
        <v>27939</v>
      </c>
      <c r="D56" s="163">
        <f>25831</f>
        <v>25831</v>
      </c>
      <c r="E56" s="128">
        <v>18123</v>
      </c>
      <c r="F56" s="128">
        <v>26881</v>
      </c>
    </row>
    <row r="57" spans="1:6" x14ac:dyDescent="0.2">
      <c r="A57" s="127" t="s">
        <v>136</v>
      </c>
      <c r="B57" s="163">
        <v>70205</v>
      </c>
      <c r="C57" s="163">
        <f>103953</f>
        <v>103953</v>
      </c>
      <c r="D57" s="163">
        <f>35624</f>
        <v>35624</v>
      </c>
      <c r="E57" s="128">
        <v>28058</v>
      </c>
      <c r="F57" s="128">
        <v>26143</v>
      </c>
    </row>
    <row r="58" spans="1:6" x14ac:dyDescent="0.2">
      <c r="A58" s="127" t="s">
        <v>137</v>
      </c>
      <c r="B58" s="163">
        <v>45594</v>
      </c>
      <c r="C58" s="163">
        <f>51097</f>
        <v>51097</v>
      </c>
      <c r="D58" s="163">
        <f>45769</f>
        <v>45769</v>
      </c>
      <c r="E58" s="128">
        <v>28025</v>
      </c>
      <c r="F58" s="128">
        <v>7546</v>
      </c>
    </row>
    <row r="59" spans="1:6" x14ac:dyDescent="0.2">
      <c r="A59" s="127" t="s">
        <v>138</v>
      </c>
      <c r="B59" s="163">
        <v>8107</v>
      </c>
      <c r="C59" s="163">
        <f>8541</f>
        <v>8541</v>
      </c>
      <c r="D59" s="163">
        <f>8263</f>
        <v>8263</v>
      </c>
      <c r="E59" s="128">
        <v>5444</v>
      </c>
      <c r="F59" s="128">
        <v>5531</v>
      </c>
    </row>
    <row r="60" spans="1:6" x14ac:dyDescent="0.2">
      <c r="A60" s="127" t="s">
        <v>58</v>
      </c>
      <c r="B60" s="163"/>
      <c r="C60" s="163"/>
      <c r="D60" s="163"/>
      <c r="E60" s="130" t="s">
        <v>91</v>
      </c>
      <c r="F60" s="128">
        <v>4011</v>
      </c>
    </row>
    <row r="61" spans="1:6" x14ac:dyDescent="0.2">
      <c r="A61" s="127" t="s">
        <v>139</v>
      </c>
      <c r="B61" s="163">
        <v>8672</v>
      </c>
      <c r="C61" s="163">
        <f>2198</f>
        <v>2198</v>
      </c>
      <c r="D61" s="163">
        <f>751</f>
        <v>751</v>
      </c>
      <c r="E61" s="128">
        <v>2524</v>
      </c>
      <c r="F61" s="128">
        <v>4848</v>
      </c>
    </row>
    <row r="62" spans="1:6" x14ac:dyDescent="0.2">
      <c r="A62" s="127" t="s">
        <v>140</v>
      </c>
      <c r="B62" s="163">
        <v>9153</v>
      </c>
      <c r="C62" s="163">
        <f>11907</f>
        <v>11907</v>
      </c>
      <c r="D62" s="163">
        <f>2799</f>
        <v>2799</v>
      </c>
      <c r="E62" s="128">
        <v>2174</v>
      </c>
      <c r="F62" s="128">
        <v>1971</v>
      </c>
    </row>
    <row r="63" spans="1:6" x14ac:dyDescent="0.2">
      <c r="A63" s="127" t="s">
        <v>141</v>
      </c>
      <c r="B63" s="163">
        <v>3613</v>
      </c>
      <c r="C63" s="163">
        <f>3995</f>
        <v>3995</v>
      </c>
      <c r="D63" s="163">
        <f>3027</f>
        <v>3027</v>
      </c>
      <c r="E63" s="128">
        <v>1345</v>
      </c>
      <c r="F63" s="128">
        <v>1123</v>
      </c>
    </row>
    <row r="64" spans="1:6" x14ac:dyDescent="0.2">
      <c r="A64" s="127" t="s">
        <v>41</v>
      </c>
      <c r="B64" s="163">
        <v>4146</v>
      </c>
      <c r="C64" s="163">
        <f>9617</f>
        <v>9617</v>
      </c>
      <c r="D64" s="163">
        <f>3580</f>
        <v>3580</v>
      </c>
      <c r="E64" s="128">
        <v>1736</v>
      </c>
      <c r="F64" s="128">
        <v>1425</v>
      </c>
    </row>
    <row r="65" spans="1:6" x14ac:dyDescent="0.2">
      <c r="A65" s="127" t="s">
        <v>142</v>
      </c>
      <c r="B65" s="163">
        <v>8654</v>
      </c>
      <c r="C65" s="163">
        <f>7788</f>
        <v>7788</v>
      </c>
      <c r="D65" s="163">
        <f>4855</f>
        <v>4855</v>
      </c>
      <c r="E65" s="128">
        <v>2839</v>
      </c>
      <c r="F65" s="128">
        <v>1681</v>
      </c>
    </row>
    <row r="66" spans="1:6" x14ac:dyDescent="0.2">
      <c r="A66" s="127" t="s">
        <v>143</v>
      </c>
      <c r="B66" s="163">
        <v>4498</v>
      </c>
      <c r="C66" s="163">
        <f>13372</f>
        <v>13372</v>
      </c>
      <c r="D66" s="163">
        <f>2442</f>
        <v>2442</v>
      </c>
      <c r="E66" s="128">
        <v>12620</v>
      </c>
      <c r="F66" s="130">
        <v>3</v>
      </c>
    </row>
    <row r="67" spans="1:6" ht="15" thickBot="1" x14ac:dyDescent="0.25">
      <c r="A67" s="127" t="s">
        <v>144</v>
      </c>
      <c r="B67" s="164">
        <v>35400</v>
      </c>
      <c r="C67" s="164">
        <f>25286</f>
        <v>25286</v>
      </c>
      <c r="D67" s="164">
        <f>20880</f>
        <v>20880</v>
      </c>
      <c r="E67" s="136">
        <v>56532</v>
      </c>
      <c r="F67" s="128">
        <v>12390</v>
      </c>
    </row>
    <row r="68" spans="1:6" ht="15.75" thickBot="1" x14ac:dyDescent="0.25">
      <c r="A68" s="131" t="s">
        <v>40</v>
      </c>
      <c r="B68" s="174">
        <f>SUM(B50:B67)</f>
        <v>573718</v>
      </c>
      <c r="C68" s="174">
        <f>SUM(C50:C67)</f>
        <v>600744</v>
      </c>
      <c r="D68" s="174">
        <f>SUM(D50:D67)</f>
        <v>385127</v>
      </c>
      <c r="E68" s="132">
        <v>310529</v>
      </c>
      <c r="F68" s="137">
        <v>214795</v>
      </c>
    </row>
    <row r="69" spans="1:6" ht="15" thickTop="1" x14ac:dyDescent="0.2"/>
    <row r="71" spans="1:6" ht="15" x14ac:dyDescent="0.2">
      <c r="A71" s="124" t="s">
        <v>155</v>
      </c>
    </row>
    <row r="72" spans="1:6" ht="15" thickBot="1" x14ac:dyDescent="0.25">
      <c r="A72" s="134" t="s">
        <v>145</v>
      </c>
    </row>
    <row r="73" spans="1:6" ht="16.5" thickTop="1" thickBot="1" x14ac:dyDescent="0.25">
      <c r="A73" s="125"/>
      <c r="B73" s="126">
        <v>2013</v>
      </c>
      <c r="C73" s="126">
        <v>2012</v>
      </c>
      <c r="D73" s="126">
        <v>2011</v>
      </c>
      <c r="E73" s="126">
        <v>2010</v>
      </c>
      <c r="F73" s="126">
        <v>2009</v>
      </c>
    </row>
    <row r="74" spans="1:6" ht="15" thickBot="1" x14ac:dyDescent="0.25">
      <c r="A74" s="127"/>
      <c r="B74" s="130" t="s">
        <v>146</v>
      </c>
      <c r="C74" s="130" t="s">
        <v>146</v>
      </c>
      <c r="D74" s="130" t="s">
        <v>146</v>
      </c>
      <c r="E74" s="130" t="s">
        <v>146</v>
      </c>
      <c r="F74" s="130" t="s">
        <v>146</v>
      </c>
    </row>
    <row r="75" spans="1:6" x14ac:dyDescent="0.2">
      <c r="A75" s="138" t="s">
        <v>37</v>
      </c>
      <c r="B75" s="173"/>
      <c r="C75" s="173"/>
      <c r="D75" s="173"/>
      <c r="E75" s="139"/>
      <c r="F75" s="139"/>
    </row>
    <row r="76" spans="1:6" ht="15" thickBot="1" x14ac:dyDescent="0.25">
      <c r="A76" s="127" t="s">
        <v>147</v>
      </c>
      <c r="B76" s="163">
        <v>268</v>
      </c>
      <c r="C76" s="163">
        <f>160</f>
        <v>160</v>
      </c>
      <c r="D76" s="163">
        <f>347</f>
        <v>347</v>
      </c>
      <c r="E76" s="145">
        <v>346</v>
      </c>
      <c r="F76" s="141">
        <v>267</v>
      </c>
    </row>
    <row r="77" spans="1:6" ht="15" thickBot="1" x14ac:dyDescent="0.25">
      <c r="A77" s="127" t="s">
        <v>163</v>
      </c>
      <c r="B77" s="165">
        <v>0</v>
      </c>
      <c r="C77" s="165">
        <v>0</v>
      </c>
      <c r="D77" s="165">
        <f>1260</f>
        <v>1260</v>
      </c>
      <c r="E77" s="140">
        <v>0</v>
      </c>
      <c r="F77" s="128">
        <v>-39649</v>
      </c>
    </row>
    <row r="78" spans="1:6" x14ac:dyDescent="0.2">
      <c r="A78" s="127"/>
      <c r="B78" s="163">
        <f>SUM(B76:B77)</f>
        <v>268</v>
      </c>
      <c r="C78" s="163">
        <f>SUM(C76:C77)</f>
        <v>160</v>
      </c>
      <c r="D78" s="163">
        <f>SUM(D76:D77)</f>
        <v>1607</v>
      </c>
      <c r="E78" s="130">
        <v>346</v>
      </c>
      <c r="F78" s="142">
        <v>267</v>
      </c>
    </row>
    <row r="79" spans="1:6" x14ac:dyDescent="0.2">
      <c r="A79" s="143" t="s">
        <v>148</v>
      </c>
      <c r="B79" s="163"/>
      <c r="C79" s="163"/>
      <c r="D79" s="163"/>
      <c r="E79" s="130"/>
      <c r="F79" s="130"/>
    </row>
    <row r="80" spans="1:6" x14ac:dyDescent="0.2">
      <c r="A80" s="127" t="s">
        <v>149</v>
      </c>
      <c r="B80" s="163">
        <v>-1865</v>
      </c>
      <c r="C80" s="163">
        <v>-1627</v>
      </c>
      <c r="D80" s="163" t="s">
        <v>91</v>
      </c>
      <c r="E80" s="128">
        <v>-1772</v>
      </c>
      <c r="F80" s="128">
        <v>-39649</v>
      </c>
    </row>
    <row r="81" spans="1:6" ht="15" thickBot="1" x14ac:dyDescent="0.25">
      <c r="A81" s="127" t="s">
        <v>150</v>
      </c>
      <c r="B81" s="165">
        <v>-22180</v>
      </c>
      <c r="C81" s="165">
        <v>-12789</v>
      </c>
      <c r="D81" s="165">
        <v>-7450</v>
      </c>
      <c r="E81" s="144">
        <v>-12643</v>
      </c>
      <c r="F81" s="144">
        <v>-23127</v>
      </c>
    </row>
    <row r="82" spans="1:6" ht="15" thickBot="1" x14ac:dyDescent="0.25">
      <c r="A82" s="127"/>
      <c r="B82" s="163">
        <f>SUM(B80:B81)</f>
        <v>-24045</v>
      </c>
      <c r="C82" s="163">
        <f>SUM(C80:C81)</f>
        <v>-14416</v>
      </c>
      <c r="D82" s="163">
        <f>SUM(D80:D81)</f>
        <v>-7450</v>
      </c>
      <c r="E82" s="128">
        <v>-14415</v>
      </c>
      <c r="F82" s="128">
        <v>-62776</v>
      </c>
    </row>
    <row r="83" spans="1:6" ht="15.75" thickBot="1" x14ac:dyDescent="0.25">
      <c r="A83" s="131" t="s">
        <v>40</v>
      </c>
      <c r="B83" s="174">
        <f>B78+B82</f>
        <v>-23777</v>
      </c>
      <c r="C83" s="174">
        <f>C78+C82</f>
        <v>-14256</v>
      </c>
      <c r="D83" s="174">
        <f>D78+D82</f>
        <v>-5843</v>
      </c>
      <c r="E83" s="132">
        <v>-14069</v>
      </c>
      <c r="F83" s="137">
        <v>-62509</v>
      </c>
    </row>
    <row r="84" spans="1:6" ht="15" thickTop="1" x14ac:dyDescent="0.2"/>
  </sheetData>
  <pageMargins left="0.45" right="0.45" top="0.5" bottom="0.5" header="0.3" footer="0.3"/>
  <pageSetup fitToHeight="0" orientation="portrait" r:id="rId1"/>
  <rowBreaks count="1" manualBreakCount="1">
    <brk id="45" max="16383" man="1"/>
  </rowBreaks>
  <ignoredErrors>
    <ignoredError sqref="B44 B68 B31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Te dhenat ligjore</vt:lpstr>
      <vt:lpstr>Bilanci</vt:lpstr>
      <vt:lpstr>Pasqyra e te ardhurave</vt:lpstr>
      <vt:lpstr>Shenimet Bilanci</vt:lpstr>
      <vt:lpstr>Aktive te qendrueshme</vt:lpstr>
      <vt:lpstr>Aktive jo te prekshme</vt:lpstr>
      <vt:lpstr>Shenimet Pasqyra e te Ardhurave</vt:lpstr>
      <vt:lpstr>'Aktive te qendrueshme'!_Hlk256697691</vt:lpstr>
      <vt:lpstr>'Shenimet Pasqyra e te Ardhurave'!_Ref229998554</vt:lpstr>
      <vt:lpstr>'Shenimet Pasqyra e te Ardhurave'!_Ref256755875</vt:lpstr>
      <vt:lpstr>'Aktive jo te prekshme'!_Ref257150452</vt:lpstr>
      <vt:lpstr>'Aktive jo te prekshme'!Print_Area</vt:lpstr>
      <vt:lpstr>Bilanci!Print_Area</vt:lpstr>
      <vt:lpstr>'Pasqyra e te ardhurave'!Print_Area</vt:lpstr>
      <vt:lpstr>'Shenimet Bilanci'!Print_Area</vt:lpstr>
      <vt:lpstr>'Shenimet Bilanci'!Print_Titles</vt:lpstr>
      <vt:lpstr>'Shenimet Pasqyra e te Ardhurave'!Print_Titles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Osvelda Qafa</dc:creator>
  <cp:lastModifiedBy>Osvelda Qafa</cp:lastModifiedBy>
  <cp:lastPrinted>2014-07-30T10:06:16Z</cp:lastPrinted>
  <dcterms:created xsi:type="dcterms:W3CDTF">2010-06-29T08:54:42Z</dcterms:created>
  <dcterms:modified xsi:type="dcterms:W3CDTF">2014-07-30T10:16:02Z</dcterms:modified>
</cp:coreProperties>
</file>