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kopertina" sheetId="17" r:id="rId1"/>
    <sheet name="aktiv" sheetId="13" r:id="rId2"/>
    <sheet name="pasivi" sheetId="1" r:id="rId3"/>
    <sheet name="ardh-shp.nat" sheetId="2" r:id="rId4"/>
    <sheet name="fluksi met direkte" sheetId="3" r:id="rId5"/>
    <sheet name="ndr.kapital" sheetId="4" r:id="rId6"/>
    <sheet name="amortiz." sheetId="6" r:id="rId7"/>
    <sheet name="AAM2013" sheetId="9" r:id="rId8"/>
    <sheet name="aktiv pas.kons" sheetId="11" r:id="rId9"/>
    <sheet name="pasiv pas.kond" sheetId="10" r:id="rId10"/>
    <sheet name="ardh shp kons" sheetId="12" r:id="rId11"/>
    <sheet name="fkuksi pas kons" sheetId="14" r:id="rId12"/>
    <sheet name="Sheet2" sheetId="19" r:id="rId13"/>
    <sheet name="Sheet3" sheetId="20" r:id="rId14"/>
    <sheet name="Foglio1" sheetId="21" r:id="rId15"/>
    <sheet name="Sheet4" sheetId="22" r:id="rId16"/>
    <sheet name="Foglio2" sheetId="2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25725"/>
</workbook>
</file>

<file path=xl/calcChain.xml><?xml version="1.0" encoding="utf-8"?>
<calcChain xmlns="http://schemas.openxmlformats.org/spreadsheetml/2006/main">
  <c r="G36" i="2"/>
  <c r="G40" s="1"/>
  <c r="I41" s="1"/>
  <c r="I6" i="12"/>
  <c r="C28" i="2" l="1"/>
  <c r="D24" l="1"/>
  <c r="D29" s="1"/>
  <c r="D14"/>
  <c r="C14"/>
  <c r="D13"/>
  <c r="C32" i="3"/>
  <c r="C31" s="1"/>
  <c r="D31"/>
  <c r="C25"/>
  <c r="D25"/>
  <c r="C21"/>
  <c r="D18"/>
  <c r="E15" i="10"/>
  <c r="E14"/>
  <c r="E13"/>
  <c r="G28"/>
  <c r="D20" i="2" l="1"/>
  <c r="D21" s="1"/>
  <c r="C18" i="3"/>
  <c r="D10"/>
  <c r="C24" i="2"/>
  <c r="C29" s="1"/>
  <c r="C10" i="3"/>
  <c r="D30" i="2"/>
  <c r="G16" i="11"/>
  <c r="F25" i="10"/>
  <c r="F6"/>
  <c r="G7"/>
  <c r="D7"/>
  <c r="E29" i="14"/>
  <c r="F28"/>
  <c r="D28"/>
  <c r="C28"/>
  <c r="E27"/>
  <c r="E26"/>
  <c r="E25"/>
  <c r="E24"/>
  <c r="E23"/>
  <c r="F22"/>
  <c r="D22"/>
  <c r="C22"/>
  <c r="E21"/>
  <c r="E20"/>
  <c r="E19"/>
  <c r="C18"/>
  <c r="E18" s="1"/>
  <c r="E17"/>
  <c r="E16"/>
  <c r="F15"/>
  <c r="D15"/>
  <c r="E14"/>
  <c r="E13"/>
  <c r="E12"/>
  <c r="E11"/>
  <c r="E10"/>
  <c r="E9"/>
  <c r="E8"/>
  <c r="F7"/>
  <c r="D7"/>
  <c r="C7"/>
  <c r="E31" i="12"/>
  <c r="E29"/>
  <c r="E26"/>
  <c r="E25"/>
  <c r="E24"/>
  <c r="E23"/>
  <c r="F22"/>
  <c r="D22"/>
  <c r="D27" s="1"/>
  <c r="E21"/>
  <c r="E20"/>
  <c r="E17"/>
  <c r="E16"/>
  <c r="E15"/>
  <c r="E14"/>
  <c r="E13"/>
  <c r="F12"/>
  <c r="D12"/>
  <c r="D18" s="1"/>
  <c r="D19" s="1"/>
  <c r="C12"/>
  <c r="F11"/>
  <c r="E11"/>
  <c r="E9"/>
  <c r="E8"/>
  <c r="E7"/>
  <c r="D33" i="11"/>
  <c r="D29" s="1"/>
  <c r="D27" s="1"/>
  <c r="F32"/>
  <c r="F31"/>
  <c r="E29"/>
  <c r="E27" s="1"/>
  <c r="G27"/>
  <c r="G26"/>
  <c r="D26"/>
  <c r="F26" s="1"/>
  <c r="F24"/>
  <c r="F23"/>
  <c r="F22"/>
  <c r="F21"/>
  <c r="F20"/>
  <c r="F19"/>
  <c r="F18"/>
  <c r="D17"/>
  <c r="F17" s="1"/>
  <c r="E16"/>
  <c r="F14"/>
  <c r="F13"/>
  <c r="F12"/>
  <c r="G11"/>
  <c r="E11"/>
  <c r="F9"/>
  <c r="F8"/>
  <c r="G7"/>
  <c r="E7"/>
  <c r="D7"/>
  <c r="F38" i="10"/>
  <c r="F37"/>
  <c r="F36"/>
  <c r="F35"/>
  <c r="F34"/>
  <c r="F33"/>
  <c r="F32"/>
  <c r="F31"/>
  <c r="F30"/>
  <c r="F29"/>
  <c r="E28"/>
  <c r="D28"/>
  <c r="F26"/>
  <c r="F24"/>
  <c r="F23"/>
  <c r="F22"/>
  <c r="F21"/>
  <c r="G20"/>
  <c r="E20"/>
  <c r="F19"/>
  <c r="F18"/>
  <c r="F17"/>
  <c r="F16"/>
  <c r="F15"/>
  <c r="F14"/>
  <c r="F13"/>
  <c r="F12"/>
  <c r="F11"/>
  <c r="F10"/>
  <c r="G9"/>
  <c r="G5" s="1"/>
  <c r="G39" s="1"/>
  <c r="E9"/>
  <c r="E5" s="1"/>
  <c r="E39" s="1"/>
  <c r="D9"/>
  <c r="F29" i="11" l="1"/>
  <c r="F27" s="1"/>
  <c r="F18" i="12"/>
  <c r="F7" i="11"/>
  <c r="D16"/>
  <c r="E22" i="14"/>
  <c r="E28"/>
  <c r="E30" s="1"/>
  <c r="E15"/>
  <c r="E7"/>
  <c r="D31" i="2"/>
  <c r="D32" s="1"/>
  <c r="C15" i="14"/>
  <c r="D25" i="11"/>
  <c r="F25" s="1"/>
  <c r="E12" i="12"/>
  <c r="C18"/>
  <c r="F28" i="10"/>
  <c r="E6" i="11"/>
  <c r="E38" s="1"/>
  <c r="F16"/>
  <c r="G6"/>
  <c r="F8" i="10"/>
  <c r="F7"/>
  <c r="D5"/>
  <c r="F9"/>
  <c r="G27"/>
  <c r="E27"/>
  <c r="D28" i="12"/>
  <c r="E6"/>
  <c r="E10"/>
  <c r="G38" i="11"/>
  <c r="D20" i="10"/>
  <c r="D30" i="12" l="1"/>
  <c r="E18"/>
  <c r="C19"/>
  <c r="E19" s="1"/>
  <c r="C27"/>
  <c r="E22"/>
  <c r="D39" i="10"/>
  <c r="F39" s="1"/>
  <c r="F5"/>
  <c r="D27"/>
  <c r="F27" s="1"/>
  <c r="F20"/>
  <c r="E27" i="12" l="1"/>
  <c r="C28"/>
  <c r="C30" l="1"/>
  <c r="E30" s="1"/>
  <c r="E28"/>
  <c r="G48" i="9" l="1"/>
  <c r="D43"/>
  <c r="G43" s="1"/>
  <c r="E42"/>
  <c r="G41"/>
  <c r="G33"/>
  <c r="F34"/>
  <c r="G28"/>
  <c r="F42" s="1"/>
  <c r="G27"/>
  <c r="G18"/>
  <c r="G17"/>
  <c r="G16"/>
  <c r="E47"/>
  <c r="E46"/>
  <c r="E45"/>
  <c r="F20"/>
  <c r="E44"/>
  <c r="G11"/>
  <c r="D42"/>
  <c r="G9"/>
  <c r="D47"/>
  <c r="H203" i="6"/>
  <c r="F201"/>
  <c r="G201" s="1"/>
  <c r="F200"/>
  <c r="G200" s="1"/>
  <c r="G199"/>
  <c r="K199" s="1"/>
  <c r="G198"/>
  <c r="K198" s="1"/>
  <c r="G197"/>
  <c r="K197" s="1"/>
  <c r="G196"/>
  <c r="K196" s="1"/>
  <c r="G195"/>
  <c r="K195" s="1"/>
  <c r="G194"/>
  <c r="K194" s="1"/>
  <c r="G193"/>
  <c r="K193" s="1"/>
  <c r="G192"/>
  <c r="K192" s="1"/>
  <c r="G191"/>
  <c r="K191" s="1"/>
  <c r="G190"/>
  <c r="K190" s="1"/>
  <c r="G189"/>
  <c r="K189" s="1"/>
  <c r="G188"/>
  <c r="K188" s="1"/>
  <c r="G187"/>
  <c r="K187" s="1"/>
  <c r="F186"/>
  <c r="G186" s="1"/>
  <c r="K186" s="1"/>
  <c r="F185"/>
  <c r="G185" s="1"/>
  <c r="K185" s="1"/>
  <c r="F184"/>
  <c r="G184" s="1"/>
  <c r="K184" s="1"/>
  <c r="F183"/>
  <c r="G183" s="1"/>
  <c r="K183" s="1"/>
  <c r="F182"/>
  <c r="G182" s="1"/>
  <c r="K182" s="1"/>
  <c r="F181"/>
  <c r="G181" s="1"/>
  <c r="K181" s="1"/>
  <c r="F180"/>
  <c r="G180" s="1"/>
  <c r="K180" s="1"/>
  <c r="F179"/>
  <c r="G179" s="1"/>
  <c r="K179" s="1"/>
  <c r="F178"/>
  <c r="G178" s="1"/>
  <c r="K178" s="1"/>
  <c r="F177"/>
  <c r="G177" s="1"/>
  <c r="K177" s="1"/>
  <c r="F176"/>
  <c r="G176" s="1"/>
  <c r="K176" s="1"/>
  <c r="F175"/>
  <c r="G175" s="1"/>
  <c r="K175" s="1"/>
  <c r="F174"/>
  <c r="G174" s="1"/>
  <c r="K174" s="1"/>
  <c r="G173"/>
  <c r="I173" s="1"/>
  <c r="K173" s="1"/>
  <c r="G172"/>
  <c r="I172" s="1"/>
  <c r="K172" s="1"/>
  <c r="G171"/>
  <c r="I171" s="1"/>
  <c r="K171" s="1"/>
  <c r="G170"/>
  <c r="I170" s="1"/>
  <c r="K170" s="1"/>
  <c r="G169"/>
  <c r="I169" s="1"/>
  <c r="K169" s="1"/>
  <c r="G168"/>
  <c r="I168" s="1"/>
  <c r="K168" s="1"/>
  <c r="G167"/>
  <c r="I167" s="1"/>
  <c r="K167" s="1"/>
  <c r="G166"/>
  <c r="I166" s="1"/>
  <c r="K166" s="1"/>
  <c r="G165"/>
  <c r="I165" s="1"/>
  <c r="K165" s="1"/>
  <c r="G164"/>
  <c r="I164" s="1"/>
  <c r="K164" s="1"/>
  <c r="G163"/>
  <c r="I163" s="1"/>
  <c r="K163" s="1"/>
  <c r="G162"/>
  <c r="I162" s="1"/>
  <c r="K162" s="1"/>
  <c r="F161"/>
  <c r="G161" s="1"/>
  <c r="I161" s="1"/>
  <c r="K161" s="1"/>
  <c r="G160"/>
  <c r="I160" s="1"/>
  <c r="K160" s="1"/>
  <c r="G159"/>
  <c r="I159" s="1"/>
  <c r="K159" s="1"/>
  <c r="G158"/>
  <c r="I158" s="1"/>
  <c r="K158" s="1"/>
  <c r="F157"/>
  <c r="G157" s="1"/>
  <c r="I157" s="1"/>
  <c r="K157" s="1"/>
  <c r="G156"/>
  <c r="I156" s="1"/>
  <c r="K156" s="1"/>
  <c r="I155"/>
  <c r="K155" s="1"/>
  <c r="I154"/>
  <c r="K154" s="1"/>
  <c r="G153"/>
  <c r="I153" s="1"/>
  <c r="K153" s="1"/>
  <c r="F153"/>
  <c r="I152"/>
  <c r="K152" s="1"/>
  <c r="F151"/>
  <c r="G151" s="1"/>
  <c r="I151" s="1"/>
  <c r="K151" s="1"/>
  <c r="F150"/>
  <c r="G150" s="1"/>
  <c r="I150" s="1"/>
  <c r="K150" s="1"/>
  <c r="F149"/>
  <c r="G149" s="1"/>
  <c r="I149" s="1"/>
  <c r="K149" s="1"/>
  <c r="F148"/>
  <c r="G148" s="1"/>
  <c r="I148" s="1"/>
  <c r="K148" s="1"/>
  <c r="F147"/>
  <c r="G147" s="1"/>
  <c r="I147" s="1"/>
  <c r="K147" s="1"/>
  <c r="G146"/>
  <c r="I146" s="1"/>
  <c r="K146" s="1"/>
  <c r="G145"/>
  <c r="I145" s="1"/>
  <c r="K145" s="1"/>
  <c r="G144"/>
  <c r="I144" s="1"/>
  <c r="K144" s="1"/>
  <c r="I143"/>
  <c r="K143" s="1"/>
  <c r="G142"/>
  <c r="I142" s="1"/>
  <c r="K142" s="1"/>
  <c r="G141"/>
  <c r="I141" s="1"/>
  <c r="K141" s="1"/>
  <c r="G140"/>
  <c r="I140" s="1"/>
  <c r="K140" s="1"/>
  <c r="G139"/>
  <c r="I139" s="1"/>
  <c r="K139" s="1"/>
  <c r="G138"/>
  <c r="I138" s="1"/>
  <c r="K138" s="1"/>
  <c r="G137"/>
  <c r="I137" s="1"/>
  <c r="K137" s="1"/>
  <c r="G136"/>
  <c r="I136" s="1"/>
  <c r="K136" s="1"/>
  <c r="G135"/>
  <c r="I135" s="1"/>
  <c r="K135" s="1"/>
  <c r="G134"/>
  <c r="I134" s="1"/>
  <c r="K134" s="1"/>
  <c r="G133"/>
  <c r="I133" s="1"/>
  <c r="K133" s="1"/>
  <c r="G132"/>
  <c r="I132" s="1"/>
  <c r="K132" s="1"/>
  <c r="F131"/>
  <c r="G131" s="1"/>
  <c r="I131" s="1"/>
  <c r="K131" s="1"/>
  <c r="G130"/>
  <c r="I130" s="1"/>
  <c r="K130" s="1"/>
  <c r="G129"/>
  <c r="I129" s="1"/>
  <c r="K129" s="1"/>
  <c r="G128"/>
  <c r="I128" s="1"/>
  <c r="K128" s="1"/>
  <c r="G127"/>
  <c r="I127" s="1"/>
  <c r="K127" s="1"/>
  <c r="G126"/>
  <c r="I126" s="1"/>
  <c r="K126" s="1"/>
  <c r="G125"/>
  <c r="I125" s="1"/>
  <c r="K125" s="1"/>
  <c r="F124"/>
  <c r="G124" s="1"/>
  <c r="I124" s="1"/>
  <c r="K124" s="1"/>
  <c r="F123"/>
  <c r="G123" s="1"/>
  <c r="I123" s="1"/>
  <c r="K123" s="1"/>
  <c r="G122"/>
  <c r="I122" s="1"/>
  <c r="K122" s="1"/>
  <c r="G121"/>
  <c r="I121" s="1"/>
  <c r="K121" s="1"/>
  <c r="G120"/>
  <c r="I120" s="1"/>
  <c r="K120" s="1"/>
  <c r="G119"/>
  <c r="I119" s="1"/>
  <c r="K119" s="1"/>
  <c r="G118"/>
  <c r="I118" s="1"/>
  <c r="F117"/>
  <c r="G117" s="1"/>
  <c r="I117" s="1"/>
  <c r="K117" s="1"/>
  <c r="G116"/>
  <c r="I116" s="1"/>
  <c r="K116" s="1"/>
  <c r="G115"/>
  <c r="I115" s="1"/>
  <c r="K115" s="1"/>
  <c r="G114"/>
  <c r="I114" s="1"/>
  <c r="K114" s="1"/>
  <c r="G113"/>
  <c r="I113" s="1"/>
  <c r="G112"/>
  <c r="I112" s="1"/>
  <c r="K112" s="1"/>
  <c r="G111"/>
  <c r="I111" s="1"/>
  <c r="K111" s="1"/>
  <c r="G110"/>
  <c r="I110" s="1"/>
  <c r="G109"/>
  <c r="I109" s="1"/>
  <c r="K109" s="1"/>
  <c r="G108"/>
  <c r="I108" s="1"/>
  <c r="K108" s="1"/>
  <c r="G107"/>
  <c r="I107" s="1"/>
  <c r="K107" s="1"/>
  <c r="G106"/>
  <c r="I106" s="1"/>
  <c r="K106" s="1"/>
  <c r="G105"/>
  <c r="I105" s="1"/>
  <c r="K105" s="1"/>
  <c r="G104"/>
  <c r="I104" s="1"/>
  <c r="G103"/>
  <c r="I103" s="1"/>
  <c r="K103" s="1"/>
  <c r="G102"/>
  <c r="I102" s="1"/>
  <c r="K102" s="1"/>
  <c r="G101"/>
  <c r="I101" s="1"/>
  <c r="K101" s="1"/>
  <c r="G100"/>
  <c r="I100" s="1"/>
  <c r="G99"/>
  <c r="I99" s="1"/>
  <c r="G98"/>
  <c r="I98" s="1"/>
  <c r="G97"/>
  <c r="I97" s="1"/>
  <c r="K97" s="1"/>
  <c r="G96"/>
  <c r="I96" s="1"/>
  <c r="F95"/>
  <c r="G95" s="1"/>
  <c r="I95" s="1"/>
  <c r="K95" s="1"/>
  <c r="F94"/>
  <c r="G94" s="1"/>
  <c r="I94" s="1"/>
  <c r="K94" s="1"/>
  <c r="F93"/>
  <c r="G93" s="1"/>
  <c r="I93" s="1"/>
  <c r="K93" s="1"/>
  <c r="G92"/>
  <c r="I92" s="1"/>
  <c r="K92" s="1"/>
  <c r="F91"/>
  <c r="G91" s="1"/>
  <c r="I91" s="1"/>
  <c r="C91"/>
  <c r="B91"/>
  <c r="F90"/>
  <c r="G90" s="1"/>
  <c r="I90" s="1"/>
  <c r="B90"/>
  <c r="F89"/>
  <c r="G89" s="1"/>
  <c r="I89" s="1"/>
  <c r="K89" s="1"/>
  <c r="C89"/>
  <c r="B89"/>
  <c r="F88"/>
  <c r="G88" s="1"/>
  <c r="I88" s="1"/>
  <c r="K88" s="1"/>
  <c r="B88"/>
  <c r="F87"/>
  <c r="G87" s="1"/>
  <c r="I87" s="1"/>
  <c r="K87" s="1"/>
  <c r="C87"/>
  <c r="B87"/>
  <c r="G86"/>
  <c r="I86" s="1"/>
  <c r="F86"/>
  <c r="B86"/>
  <c r="G85"/>
  <c r="I85" s="1"/>
  <c r="B85"/>
  <c r="G84"/>
  <c r="I84" s="1"/>
  <c r="B84"/>
  <c r="G83"/>
  <c r="I83" s="1"/>
  <c r="K83" s="1"/>
  <c r="B83"/>
  <c r="G82"/>
  <c r="I82" s="1"/>
  <c r="K82" s="1"/>
  <c r="C82"/>
  <c r="B82"/>
  <c r="G81"/>
  <c r="I81" s="1"/>
  <c r="K81" s="1"/>
  <c r="C81"/>
  <c r="B81"/>
  <c r="G80"/>
  <c r="I80" s="1"/>
  <c r="C80"/>
  <c r="B80"/>
  <c r="G79"/>
  <c r="I79" s="1"/>
  <c r="B79"/>
  <c r="G78"/>
  <c r="I78" s="1"/>
  <c r="C78"/>
  <c r="B78"/>
  <c r="G77"/>
  <c r="I77" s="1"/>
  <c r="K77" s="1"/>
  <c r="C77"/>
  <c r="B77"/>
  <c r="G76"/>
  <c r="I76" s="1"/>
  <c r="K76" s="1"/>
  <c r="C76"/>
  <c r="B76"/>
  <c r="G75"/>
  <c r="I75" s="1"/>
  <c r="K75" s="1"/>
  <c r="C75"/>
  <c r="B75"/>
  <c r="G74"/>
  <c r="I74" s="1"/>
  <c r="K74" s="1"/>
  <c r="C74"/>
  <c r="B74"/>
  <c r="G73"/>
  <c r="I73" s="1"/>
  <c r="C73"/>
  <c r="B73"/>
  <c r="G72"/>
  <c r="I72" s="1"/>
  <c r="C72"/>
  <c r="B72"/>
  <c r="G71"/>
  <c r="I71" s="1"/>
  <c r="C71"/>
  <c r="B71"/>
  <c r="G70"/>
  <c r="I70" s="1"/>
  <c r="B70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I56"/>
  <c r="F56"/>
  <c r="I55"/>
  <c r="K55" s="1"/>
  <c r="F55"/>
  <c r="I54"/>
  <c r="F54"/>
  <c r="I53"/>
  <c r="F53"/>
  <c r="I52"/>
  <c r="F52"/>
  <c r="I51"/>
  <c r="K51" s="1"/>
  <c r="F51"/>
  <c r="G50"/>
  <c r="I50" s="1"/>
  <c r="K50" s="1"/>
  <c r="G49"/>
  <c r="I49" s="1"/>
  <c r="K49" s="1"/>
  <c r="G48"/>
  <c r="I48" s="1"/>
  <c r="K48" s="1"/>
  <c r="G47"/>
  <c r="I47" s="1"/>
  <c r="C47"/>
  <c r="B47"/>
  <c r="G46"/>
  <c r="I46" s="1"/>
  <c r="C46"/>
  <c r="B46"/>
  <c r="G45"/>
  <c r="I45" s="1"/>
  <c r="C45"/>
  <c r="B45"/>
  <c r="G44"/>
  <c r="I44" s="1"/>
  <c r="C44"/>
  <c r="B44"/>
  <c r="G43"/>
  <c r="I43" s="1"/>
  <c r="C43"/>
  <c r="B43"/>
  <c r="G42"/>
  <c r="I42" s="1"/>
  <c r="C42"/>
  <c r="B42"/>
  <c r="G41"/>
  <c r="I41" s="1"/>
  <c r="C41"/>
  <c r="B41"/>
  <c r="G40"/>
  <c r="I40" s="1"/>
  <c r="K40" s="1"/>
  <c r="B40"/>
  <c r="G39"/>
  <c r="I39" s="1"/>
  <c r="K39" s="1"/>
  <c r="B39"/>
  <c r="G38"/>
  <c r="I38" s="1"/>
  <c r="K38" s="1"/>
  <c r="B38"/>
  <c r="G37"/>
  <c r="I37" s="1"/>
  <c r="K37" s="1"/>
  <c r="B37"/>
  <c r="G36"/>
  <c r="I36" s="1"/>
  <c r="E36"/>
  <c r="C36"/>
  <c r="B36"/>
  <c r="G35"/>
  <c r="I35" s="1"/>
  <c r="C35"/>
  <c r="B35"/>
  <c r="G34"/>
  <c r="I34" s="1"/>
  <c r="E34"/>
  <c r="B34"/>
  <c r="G33"/>
  <c r="I33" s="1"/>
  <c r="K33" s="1"/>
  <c r="B33"/>
  <c r="I32"/>
  <c r="F32"/>
  <c r="C32"/>
  <c r="B32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K6"/>
  <c r="I6"/>
  <c r="I21" i="4"/>
  <c r="I20"/>
  <c r="I19"/>
  <c r="E17"/>
  <c r="E22" s="1"/>
  <c r="D17"/>
  <c r="D22" s="1"/>
  <c r="I16"/>
  <c r="I15"/>
  <c r="I14"/>
  <c r="I13"/>
  <c r="F12"/>
  <c r="F17" s="1"/>
  <c r="F22" s="1"/>
  <c r="G12"/>
  <c r="C17"/>
  <c r="E38" i="1"/>
  <c r="D38"/>
  <c r="E16"/>
  <c r="E15"/>
  <c r="D8"/>
  <c r="E7"/>
  <c r="E28" i="13"/>
  <c r="E27" s="1"/>
  <c r="D27"/>
  <c r="D17"/>
  <c r="E17"/>
  <c r="E10"/>
  <c r="E6"/>
  <c r="D6"/>
  <c r="E10" i="1" l="1"/>
  <c r="E5" s="1"/>
  <c r="F84" i="6"/>
  <c r="I191"/>
  <c r="E24" i="1"/>
  <c r="E23" s="1"/>
  <c r="E31" s="1"/>
  <c r="E5" i="13"/>
  <c r="E32"/>
  <c r="E30" s="1"/>
  <c r="D7" i="1"/>
  <c r="E32"/>
  <c r="H12" i="4"/>
  <c r="F49" i="6"/>
  <c r="F75"/>
  <c r="F77"/>
  <c r="F82"/>
  <c r="I199"/>
  <c r="I187"/>
  <c r="I195"/>
  <c r="G42" i="9"/>
  <c r="E49"/>
  <c r="G10"/>
  <c r="G15"/>
  <c r="E20"/>
  <c r="F35" i="6"/>
  <c r="F36"/>
  <c r="F37"/>
  <c r="F39"/>
  <c r="F42"/>
  <c r="F44"/>
  <c r="F46"/>
  <c r="F48"/>
  <c r="F50"/>
  <c r="F57"/>
  <c r="F59"/>
  <c r="F61"/>
  <c r="F63"/>
  <c r="F65"/>
  <c r="F67"/>
  <c r="F69"/>
  <c r="F70"/>
  <c r="F72"/>
  <c r="F74"/>
  <c r="F76"/>
  <c r="F78"/>
  <c r="F79"/>
  <c r="F81"/>
  <c r="I189"/>
  <c r="I193"/>
  <c r="I197"/>
  <c r="I201"/>
  <c r="K201"/>
  <c r="I200"/>
  <c r="K200"/>
  <c r="I8"/>
  <c r="F33"/>
  <c r="F34"/>
  <c r="F38"/>
  <c r="F40"/>
  <c r="F41"/>
  <c r="F43"/>
  <c r="F45"/>
  <c r="F47"/>
  <c r="F58"/>
  <c r="F60"/>
  <c r="F62"/>
  <c r="F64"/>
  <c r="F66"/>
  <c r="F68"/>
  <c r="F71"/>
  <c r="F73"/>
  <c r="F80"/>
  <c r="F83"/>
  <c r="I174"/>
  <c r="I175"/>
  <c r="I176"/>
  <c r="I177"/>
  <c r="I178"/>
  <c r="I179"/>
  <c r="I180"/>
  <c r="I181"/>
  <c r="I182"/>
  <c r="I183"/>
  <c r="I184"/>
  <c r="I185"/>
  <c r="I186"/>
  <c r="I188"/>
  <c r="I190"/>
  <c r="I192"/>
  <c r="I194"/>
  <c r="I196"/>
  <c r="I198"/>
  <c r="C22" i="4"/>
  <c r="G17"/>
  <c r="G22" s="1"/>
  <c r="I12"/>
  <c r="I10"/>
  <c r="E43" i="1" l="1"/>
  <c r="E41" i="13"/>
  <c r="I17" i="4"/>
  <c r="E34" i="9" l="1"/>
  <c r="G31"/>
  <c r="F46" s="1"/>
  <c r="G32" l="1"/>
  <c r="F47" s="1"/>
  <c r="G47" s="1"/>
  <c r="D45"/>
  <c r="G13"/>
  <c r="G14" l="1"/>
  <c r="D46"/>
  <c r="G46" s="1"/>
  <c r="G30"/>
  <c r="F45" s="1"/>
  <c r="G45" s="1"/>
  <c r="D44"/>
  <c r="D20"/>
  <c r="G12"/>
  <c r="D10" i="13"/>
  <c r="D5" s="1"/>
  <c r="G20" i="9" l="1"/>
  <c r="D34"/>
  <c r="G29"/>
  <c r="D49"/>
  <c r="F44" l="1"/>
  <c r="G34"/>
  <c r="D32" i="13" l="1"/>
  <c r="D30" s="1"/>
  <c r="D41" s="1"/>
  <c r="F49" i="9"/>
  <c r="G44"/>
  <c r="G49" s="1"/>
  <c r="D10" i="1" l="1"/>
  <c r="D5" s="1"/>
  <c r="D32" l="1"/>
  <c r="H22" i="4" l="1"/>
  <c r="I18"/>
  <c r="I22" s="1"/>
  <c r="F202" i="6"/>
  <c r="G202" s="1"/>
  <c r="C12" i="2"/>
  <c r="C20" s="1"/>
  <c r="D25" i="1"/>
  <c r="D24" s="1"/>
  <c r="D23" s="1"/>
  <c r="D31" l="1"/>
  <c r="D43"/>
  <c r="K202" i="6"/>
  <c r="K203" s="1"/>
  <c r="I202"/>
  <c r="I203" s="1"/>
  <c r="G203"/>
  <c r="C8" i="2" l="1"/>
  <c r="C30" l="1"/>
  <c r="C32" s="1"/>
  <c r="C21"/>
  <c r="D15" i="11"/>
  <c r="F15" l="1"/>
  <c r="F11" s="1"/>
  <c r="F6" s="1"/>
  <c r="F38" s="1"/>
  <c r="D11"/>
  <c r="D6" s="1"/>
  <c r="D38" s="1"/>
</calcChain>
</file>

<file path=xl/comments1.xml><?xml version="1.0" encoding="utf-8"?>
<comments xmlns="http://schemas.openxmlformats.org/spreadsheetml/2006/main">
  <authors>
    <author>Titi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comments2.xml><?xml version="1.0" encoding="utf-8"?>
<comments xmlns="http://schemas.openxmlformats.org/spreadsheetml/2006/main">
  <authors>
    <author>Titi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sharedStrings.xml><?xml version="1.0" encoding="utf-8"?>
<sst xmlns="http://schemas.openxmlformats.org/spreadsheetml/2006/main" count="1001" uniqueCount="482">
  <si>
    <t>Pasqyra Financiare te Vitit 2013</t>
  </si>
  <si>
    <t>GARDEN LINE</t>
  </si>
  <si>
    <t>Nr.</t>
  </si>
  <si>
    <t>AKTIVET</t>
  </si>
  <si>
    <t xml:space="preserve">Shenime </t>
  </si>
  <si>
    <t>Periudha</t>
  </si>
  <si>
    <t>Raportuese</t>
  </si>
  <si>
    <t>Para ardhese</t>
  </si>
  <si>
    <t>I</t>
  </si>
  <si>
    <t>AKTIVET AFATSHKURTRA</t>
  </si>
  <si>
    <t>leke</t>
  </si>
  <si>
    <t xml:space="preserve"> 1. Aktivet monetare</t>
  </si>
  <si>
    <t xml:space="preserve">    &gt;Banka</t>
  </si>
  <si>
    <t xml:space="preserve">    &gt;Arka</t>
  </si>
  <si>
    <t xml:space="preserve"> 2. Derivative dhe aktive te mbajtura per tregtim</t>
  </si>
  <si>
    <t xml:space="preserve"> 3. Aktive te tjera financiare afatshkurtra</t>
  </si>
  <si>
    <t xml:space="preserve">    &gt;Kliente per mallra, produkte e sherbime</t>
  </si>
  <si>
    <t xml:space="preserve">    &gt;Debitore, Kreditore te tjere</t>
  </si>
  <si>
    <t xml:space="preserve">    &gt;Tatim mbi fitimin</t>
  </si>
  <si>
    <t xml:space="preserve">    &gt;TVSH</t>
  </si>
  <si>
    <t xml:space="preserve">    &gt;Te tjera kerkesa te arketueshme </t>
  </si>
  <si>
    <t xml:space="preserve">    &gt;  tatim fitimi nga kontrolli</t>
  </si>
  <si>
    <t xml:space="preserve"> 4. Inventari</t>
  </si>
  <si>
    <t xml:space="preserve">    &gt;Lendet e para</t>
  </si>
  <si>
    <t xml:space="preserve">    &gt;Inventari imet</t>
  </si>
  <si>
    <t xml:space="preserve">    &gt;Prodhim ne proces</t>
  </si>
  <si>
    <t xml:space="preserve">    &gt;Produkte te gatshme</t>
  </si>
  <si>
    <t xml:space="preserve">    &gt;Mallra per shitje</t>
  </si>
  <si>
    <t xml:space="preserve">    &gt;</t>
  </si>
  <si>
    <t xml:space="preserve">    &gt;Para pagesa per furnizime</t>
  </si>
  <si>
    <t xml:space="preserve"> 5. Aktive biologjike afatshkurtra</t>
  </si>
  <si>
    <t xml:space="preserve"> 6. Aktive afatshkurtra te mbajtura per rishitje</t>
  </si>
  <si>
    <t xml:space="preserve"> 7. Parapagime dhe shpenzime te shtyra</t>
  </si>
  <si>
    <t xml:space="preserve">    &gt;Shpenzime te periudhave te ardhshme</t>
  </si>
  <si>
    <t>II</t>
  </si>
  <si>
    <t>AKTIVET AFATGJATA</t>
  </si>
  <si>
    <t xml:space="preserve"> 1. Investimet financiare afatgjata</t>
  </si>
  <si>
    <t xml:space="preserve"> 2. Aktive afatgjata materiale</t>
  </si>
  <si>
    <t xml:space="preserve">    &gt;Toka</t>
  </si>
  <si>
    <t xml:space="preserve">    &gt;Ndertesa dhe instalime</t>
  </si>
  <si>
    <t xml:space="preserve">    &gt;Makineri dhe pajisje(mjete transporti)</t>
  </si>
  <si>
    <t xml:space="preserve"> 3. Aktivet biologjeke afatgjata</t>
  </si>
  <si>
    <t xml:space="preserve"> 4. Aktive afatgjata jo materiale</t>
  </si>
  <si>
    <t xml:space="preserve"> 5. Kapitali aksioner I pa paguar</t>
  </si>
  <si>
    <t xml:space="preserve"> 6. Aktive te tjera afatgjata</t>
  </si>
  <si>
    <t>TOTALI I AKTIVEVE  ( I+II )</t>
  </si>
  <si>
    <t>PASIVET DHE KAPITALI</t>
  </si>
  <si>
    <t>Shenime</t>
  </si>
  <si>
    <t>PASIVET AFATSHKURTRA</t>
  </si>
  <si>
    <t xml:space="preserve"> 1. Derivativet</t>
  </si>
  <si>
    <t xml:space="preserve"> 2. Huamarrjet</t>
  </si>
  <si>
    <t xml:space="preserve">    &gt;Overdraftet bankare</t>
  </si>
  <si>
    <t xml:space="preserve">    &gt;Huamarrje afatshkurtra</t>
  </si>
  <si>
    <t xml:space="preserve"> 3. Huat dhe parapagimet</t>
  </si>
  <si>
    <t xml:space="preserve">    &gt;Te pagueshme ndaj furnitoreve</t>
  </si>
  <si>
    <t xml:space="preserve">    &gt;Te pagueshme ndaj punonjesve</t>
  </si>
  <si>
    <t xml:space="preserve">    &gt;Detyrime per Sigurime Shoq. Shend.</t>
  </si>
  <si>
    <t xml:space="preserve">    &gt;Detyrime tatimore per TAP - in</t>
  </si>
  <si>
    <t xml:space="preserve">    &gt;Detyrime tatimore per Tatim Fitimin</t>
  </si>
  <si>
    <t xml:space="preserve">    &gt;Detyrime tatimore per TVSH-ne</t>
  </si>
  <si>
    <t xml:space="preserve">    &gt;Detyrime tjera </t>
  </si>
  <si>
    <t xml:space="preserve">    &gt;Te drejta e detyrime ndaj ortakeve</t>
  </si>
  <si>
    <t xml:space="preserve">    &gt;Dividente per t'u paguar</t>
  </si>
  <si>
    <t xml:space="preserve">    &gt;Debitore dhe Kreditore te tjere </t>
  </si>
  <si>
    <t xml:space="preserve"> 4. Grandet dhe te ardhurat e shtyra</t>
  </si>
  <si>
    <t xml:space="preserve"> 5. Provizionet afatshkurtra</t>
  </si>
  <si>
    <t xml:space="preserve"> PASIVET AFATGJATA</t>
  </si>
  <si>
    <t xml:space="preserve"> 1. Huat afatgjata</t>
  </si>
  <si>
    <t xml:space="preserve">    &gt;Hua, bono dhe detyrime nga qeraja financiare</t>
  </si>
  <si>
    <t xml:space="preserve">    &gt;Hua,  te tjera afat gjate  financiare</t>
  </si>
  <si>
    <t xml:space="preserve">    &gt;Bono te konvertueshme</t>
  </si>
  <si>
    <t xml:space="preserve"> 2. Huamarrje te tjera afatgjata</t>
  </si>
  <si>
    <t xml:space="preserve"> 3. Grantet dhe te ardhurat e shtyra kosova</t>
  </si>
  <si>
    <t xml:space="preserve"> 4. Provizionet afatgjata</t>
  </si>
  <si>
    <t xml:space="preserve">  TOTALI I PASIVEVE ( I+II )</t>
  </si>
  <si>
    <t>III</t>
  </si>
  <si>
    <t xml:space="preserve"> KAPITALI</t>
  </si>
  <si>
    <t xml:space="preserve"> 1. Aksionet e pakices (PF te konsoliduara)</t>
  </si>
  <si>
    <t xml:space="preserve"> 2. Kapitali aksionereve te shoq. Meme (PF te kons.)</t>
  </si>
  <si>
    <t xml:space="preserve"> 3. Kapitali aksionar</t>
  </si>
  <si>
    <t xml:space="preserve"> 4. Primi I aksionar</t>
  </si>
  <si>
    <t xml:space="preserve"> 5. Njesite ose aksionet e thesarit (Negative)</t>
  </si>
  <si>
    <t xml:space="preserve"> 6. Rezervat statutore</t>
  </si>
  <si>
    <t xml:space="preserve"> 7. Rezervat ligjore</t>
  </si>
  <si>
    <t xml:space="preserve"> 8. Rezervat e tjera investime</t>
  </si>
  <si>
    <t xml:space="preserve"> 9. Fitimet e pa shperndara</t>
  </si>
  <si>
    <t>10. Fitimi (Humbja) e vitit financiar</t>
  </si>
  <si>
    <t xml:space="preserve">  TOTALI I PASIVEVE DHE KAPITALIT  ( I + III )</t>
  </si>
  <si>
    <t>Pasqyra e te Ardhurave dhe Shpenzimeve 2013</t>
  </si>
  <si>
    <t>(Bazuar ne klasifikimin e Shpenzimeve sipas Natyres</t>
  </si>
  <si>
    <t>Pershkrimi i Elementeve</t>
  </si>
  <si>
    <t xml:space="preserve">   Shitjet neto</t>
  </si>
  <si>
    <t xml:space="preserve">   Shitjet neto dega Kosove</t>
  </si>
  <si>
    <t xml:space="preserve">   Te ardhura te tjera nga veprimtaria e shfrytezimit</t>
  </si>
  <si>
    <t xml:space="preserve">   Ndrysh. Ne invent. Prod. Gatshem e prodhimit ne proçes(-)</t>
  </si>
  <si>
    <t xml:space="preserve">   Materialet e konsumuara</t>
  </si>
  <si>
    <t xml:space="preserve">   Materialet e konsumuara dega kosove</t>
  </si>
  <si>
    <t xml:space="preserve">   Kosto e punes</t>
  </si>
  <si>
    <t xml:space="preserve">        Pagat e personelit</t>
  </si>
  <si>
    <t xml:space="preserve">   Shpenzimet per sigurime shoqerore e shendetesore</t>
  </si>
  <si>
    <t xml:space="preserve">   Amortizimet dhe zhvleresimet</t>
  </si>
  <si>
    <t xml:space="preserve">   Shpenzime te tjera</t>
  </si>
  <si>
    <t xml:space="preserve">   Shpenzime te tjera te  pazbritshme per efekt tatimi</t>
  </si>
  <si>
    <t>Totali I Shpenzimeve (shumat 4-7)</t>
  </si>
  <si>
    <t xml:space="preserve">  Fitimi (humbja) nga veprimtarite kryesore (1+2+/-3-8)</t>
  </si>
  <si>
    <t xml:space="preserve">  Te ardhurat dhe shpenzimet financiare nga njesite e kontrolluara</t>
  </si>
  <si>
    <t xml:space="preserve">  Te ardhurat dhe shpenzimet financiare nga pjesemarrjet</t>
  </si>
  <si>
    <t xml:space="preserve">  Te ardhurat dhe shpenzimet financiare </t>
  </si>
  <si>
    <t xml:space="preserve">   12.1   Te ardh. E shpenz.financ.nga invest.te tjera financ.afatgjata</t>
  </si>
  <si>
    <t xml:space="preserve">   12.2   Te ardhurat dhe shpenzimet nga interesat</t>
  </si>
  <si>
    <t xml:space="preserve">   12.3   Fitimet (Humbjet) nga kursi I kembimit</t>
  </si>
  <si>
    <t xml:space="preserve">   12.4   Te ardhura dhe shpenzime te tjera financiare</t>
  </si>
  <si>
    <t>Totali I te Ardhurave dhe Shpenzimeve Financiare(8+12)</t>
  </si>
  <si>
    <t xml:space="preserve">   Fitimi ( humbja) para tatimit (9+12+7.1)</t>
  </si>
  <si>
    <t xml:space="preserve">   Shpenzimet e tatimit mbi fitimin </t>
  </si>
  <si>
    <t xml:space="preserve">   Fitimi ( humbja) neto e vitit financier (14-15)</t>
  </si>
  <si>
    <t xml:space="preserve">   Elementet e pasqyrave te konsoliduara</t>
  </si>
  <si>
    <t>Pasqyra e Fluksit Monetar - Metoda Direkte 2013</t>
  </si>
  <si>
    <t>Pasqyra e Fluksit Monetar - Metoda Direkte</t>
  </si>
  <si>
    <t xml:space="preserve">  Fluksi monetar nga veprimtarite e shfrytezimit(1-15)</t>
  </si>
  <si>
    <t xml:space="preserve">             Mjetet monetare (MM) te arketuara nga klientet</t>
  </si>
  <si>
    <t xml:space="preserve">             MM te paguara ndaj furnitore dhe punonjesve</t>
  </si>
  <si>
    <t xml:space="preserve">             Arketimet nga ortaket</t>
  </si>
  <si>
    <t xml:space="preserve">             MM te ardhura nga veprimtarite</t>
  </si>
  <si>
    <t xml:space="preserve">             Interesi i paguar</t>
  </si>
  <si>
    <t xml:space="preserve">             Tatim mbi fitimin i paguar</t>
  </si>
  <si>
    <t xml:space="preserve">             MM neto nga veprimtarite e shfrytezimit</t>
  </si>
  <si>
    <t xml:space="preserve">  Fluksi monetar nga veprimtarite investuese(9-14)</t>
  </si>
  <si>
    <t xml:space="preserve">           Blerja e njesise se kontrolluar X minus parate e Arketuara</t>
  </si>
  <si>
    <t xml:space="preserve">           Blerja e aktiveve afatgjata materiale</t>
  </si>
  <si>
    <t xml:space="preserve">          Te ardhura nga shitja e pajisjeve</t>
  </si>
  <si>
    <t xml:space="preserve">           Interesi I arketuar</t>
  </si>
  <si>
    <t xml:space="preserve">          Dividentet e arketuar</t>
  </si>
  <si>
    <t xml:space="preserve">          MM neto te perdorura ne veprimtarite investuese</t>
  </si>
  <si>
    <r>
      <t xml:space="preserve">  Fluksi monetar nga aktivitetet financiare</t>
    </r>
    <r>
      <rPr>
        <b/>
        <i/>
        <sz val="8"/>
        <rFont val="Book Antiqua"/>
        <family val="1"/>
      </rPr>
      <t xml:space="preserve"> (16-20)</t>
    </r>
  </si>
  <si>
    <t xml:space="preserve">         Te ardhura nga emetimi I kapitalit aksioner</t>
  </si>
  <si>
    <t xml:space="preserve">         Te ardhura nga huamarrje afatgjata</t>
  </si>
  <si>
    <t xml:space="preserve">         Pagesat e detyrimeve te huave financiare</t>
  </si>
  <si>
    <t xml:space="preserve">         Dividente te paguar</t>
  </si>
  <si>
    <t xml:space="preserve">         MM neto te perdorura ne Veprimtarite Financiare </t>
  </si>
  <si>
    <t xml:space="preserve">  Rritja/Renia neto e mjeteve monetare</t>
  </si>
  <si>
    <t xml:space="preserve">  Mjetet monetare ne fillim te periudhes kontabel</t>
  </si>
  <si>
    <t xml:space="preserve">  Mjetet monetare ne fund te periudhes kontabel</t>
  </si>
  <si>
    <t>Pasqyrat e Ndryshimeve ne Kapital 2013</t>
  </si>
  <si>
    <t>Nje pasqyre e pa konsoliduar</t>
  </si>
  <si>
    <t>Emertimi</t>
  </si>
  <si>
    <t>Kapitali aksionar</t>
  </si>
  <si>
    <t>Primi aksionit</t>
  </si>
  <si>
    <t>Aksione thesari</t>
  </si>
  <si>
    <t>Rezerva stat. ligjore</t>
  </si>
  <si>
    <t>rezerve te tjera (invest)</t>
  </si>
  <si>
    <t>Fitimi pashperndare</t>
  </si>
  <si>
    <t>TOTALI</t>
  </si>
  <si>
    <t>investime</t>
  </si>
  <si>
    <t>I.</t>
  </si>
  <si>
    <t>Pozicioni me 31 dhjetor 2012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</si>
  <si>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</si>
  <si>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</si>
  <si>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</si>
  <si>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</si>
  <si>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</si>
  <si>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</si>
  <si>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</si>
  <si>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I aksionereve</t>
  </si>
  <si>
    <t>Emetimi I kapitalit aksionar</t>
  </si>
  <si>
    <t>Aksione te thesari te riblera</t>
  </si>
  <si>
    <t>Pozicioni me 31 dhjetor 2013</t>
  </si>
  <si>
    <t xml:space="preserve">Garden Line </t>
  </si>
  <si>
    <t>Nipti  K11427004I</t>
  </si>
  <si>
    <t>PASQYRA E AMORTIZIMIT GARDEN LINE 2013</t>
  </si>
  <si>
    <t>nr</t>
  </si>
  <si>
    <t>e m e r t i m i</t>
  </si>
  <si>
    <t xml:space="preserve">data </t>
  </si>
  <si>
    <t>njesia</t>
  </si>
  <si>
    <t>sasia</t>
  </si>
  <si>
    <t>cmimi</t>
  </si>
  <si>
    <t>vlefta</t>
  </si>
  <si>
    <t>amortizimi</t>
  </si>
  <si>
    <t xml:space="preserve">norma </t>
  </si>
  <si>
    <t>rend</t>
  </si>
  <si>
    <t>makinerive</t>
  </si>
  <si>
    <t>blerjes</t>
  </si>
  <si>
    <t>fillestare</t>
  </si>
  <si>
    <t>akomuluar</t>
  </si>
  <si>
    <t>mbetur</t>
  </si>
  <si>
    <t>amortiz.</t>
  </si>
  <si>
    <t>vjetor</t>
  </si>
  <si>
    <t>sera</t>
  </si>
  <si>
    <t>rivl sera</t>
  </si>
  <si>
    <t>share elektrike</t>
  </si>
  <si>
    <t>21.05.01</t>
  </si>
  <si>
    <t>cop</t>
  </si>
  <si>
    <t>panela druri</t>
  </si>
  <si>
    <t>22.05.01</t>
  </si>
  <si>
    <t>shkalle</t>
  </si>
  <si>
    <t>30.07.01</t>
  </si>
  <si>
    <t>saldatrice</t>
  </si>
  <si>
    <t>gjenerator</t>
  </si>
  <si>
    <t>31.08.01</t>
  </si>
  <si>
    <t>trapan</t>
  </si>
  <si>
    <t>matrapik</t>
  </si>
  <si>
    <t>pompe</t>
  </si>
  <si>
    <t>12.03.01</t>
  </si>
  <si>
    <t>pompe shytese</t>
  </si>
  <si>
    <t>25.07.01</t>
  </si>
  <si>
    <t>rezervuar</t>
  </si>
  <si>
    <t>15.11.01</t>
  </si>
  <si>
    <t>sera + aksesoret</t>
  </si>
  <si>
    <t>14.09.01</t>
  </si>
  <si>
    <t>furgon fiat</t>
  </si>
  <si>
    <t>16.12.01</t>
  </si>
  <si>
    <t>vinc kollone  8/k/f</t>
  </si>
  <si>
    <t>05.11.01</t>
  </si>
  <si>
    <t>vinc kollone 10/k/f</t>
  </si>
  <si>
    <t>karel levizes</t>
  </si>
  <si>
    <t>30.10.01</t>
  </si>
  <si>
    <t xml:space="preserve">pllaka druri dyshemeje </t>
  </si>
  <si>
    <t>03.11.01</t>
  </si>
  <si>
    <t>11.04.02</t>
  </si>
  <si>
    <t>25.04.02</t>
  </si>
  <si>
    <t>betonjere</t>
  </si>
  <si>
    <t>15.02.02</t>
  </si>
  <si>
    <t>transformator fuqie</t>
  </si>
  <si>
    <t>17.01.02</t>
  </si>
  <si>
    <t>kabina elektrike</t>
  </si>
  <si>
    <t>24.01.02</t>
  </si>
  <si>
    <t>pompa uji</t>
  </si>
  <si>
    <t>03.07.02</t>
  </si>
  <si>
    <t>04.07.03</t>
  </si>
  <si>
    <t>23.07.03</t>
  </si>
  <si>
    <t>14.07.07</t>
  </si>
  <si>
    <t>11.10.07</t>
  </si>
  <si>
    <t>01.11.07</t>
  </si>
  <si>
    <t>01.06.07</t>
  </si>
  <si>
    <t>27.02.07</t>
  </si>
  <si>
    <t>makine mbjellese Botton TM35</t>
  </si>
  <si>
    <t>11.08.08</t>
  </si>
  <si>
    <t>Trattore Valpadana</t>
  </si>
  <si>
    <t>Range Rover Sport 2.7 HSE</t>
  </si>
  <si>
    <t>paisje per vaditje</t>
  </si>
  <si>
    <t>25.01.08</t>
  </si>
  <si>
    <t xml:space="preserve">kaldaje </t>
  </si>
  <si>
    <t>paisje per sera m2.640dhe lulu 1800kg</t>
  </si>
  <si>
    <t>softuar</t>
  </si>
  <si>
    <t>12.11.08</t>
  </si>
  <si>
    <t>kasa fiskale</t>
  </si>
  <si>
    <t>25.06.08</t>
  </si>
  <si>
    <t>situacion punimesh</t>
  </si>
  <si>
    <t>30.09.08</t>
  </si>
  <si>
    <t>Banco x invaso 135x66 piccolo</t>
  </si>
  <si>
    <t>Botte per trattamenti + access.(bot sper</t>
  </si>
  <si>
    <t>Carretta 2 ruote sponde</t>
  </si>
  <si>
    <t>Filter gard system GMF 15</t>
  </si>
  <si>
    <t>Generatore aria caldo mobile mod. EC 25</t>
  </si>
  <si>
    <t>Generatore aria caldo mod.Jumbo 65 T</t>
  </si>
  <si>
    <t>Motorino gonfiaggio con temporizzatore</t>
  </si>
  <si>
    <t>Trattrice agricola fiat 70/66 (traktor)</t>
  </si>
  <si>
    <t>Sistemi filtrimit</t>
  </si>
  <si>
    <t>Pompa da irrigazione (pompe uji)</t>
  </si>
  <si>
    <t>Rollo per prati mod. Vergani</t>
  </si>
  <si>
    <t>Scaffalattura per attrezzi (raft)</t>
  </si>
  <si>
    <t>Tavolo per cernita ortaggi (tavoline)</t>
  </si>
  <si>
    <t>04.11.2009</t>
  </si>
  <si>
    <t>16.09.09</t>
  </si>
  <si>
    <t>05.01.2010</t>
  </si>
  <si>
    <t>12.03.10</t>
  </si>
  <si>
    <t>motokompresor ajri  perd</t>
  </si>
  <si>
    <t>02.05.11</t>
  </si>
  <si>
    <t>cekic shpues me ajer</t>
  </si>
  <si>
    <t>18.07.11</t>
  </si>
  <si>
    <t>kompresor ajri</t>
  </si>
  <si>
    <t>30.07.11</t>
  </si>
  <si>
    <t>mai motor mix pomp atlas copco</t>
  </si>
  <si>
    <t xml:space="preserve">wb 30xt  </t>
  </si>
  <si>
    <t>08.08.11</t>
  </si>
  <si>
    <t>motokultivator</t>
  </si>
  <si>
    <t>20.08.11</t>
  </si>
  <si>
    <t>motoshare me benzine</t>
  </si>
  <si>
    <t>28.08.11</t>
  </si>
  <si>
    <t xml:space="preserve">modem, </t>
  </si>
  <si>
    <t>31.08.11</t>
  </si>
  <si>
    <t>cikrik elektrik</t>
  </si>
  <si>
    <t>02.09.11</t>
  </si>
  <si>
    <t>kondicioner</t>
  </si>
  <si>
    <t>04.08.11</t>
  </si>
  <si>
    <t>tavoline pune  160 smart</t>
  </si>
  <si>
    <t>10.09.11</t>
  </si>
  <si>
    <t>tav pvc  80x80</t>
  </si>
  <si>
    <t>hark lidhes 80x80</t>
  </si>
  <si>
    <t>karike fixe</t>
  </si>
  <si>
    <t>karike me rota</t>
  </si>
  <si>
    <t>tav pic   80x80</t>
  </si>
  <si>
    <t>sirtariere</t>
  </si>
  <si>
    <t>dollap 83x42x85</t>
  </si>
  <si>
    <t>06.10.11</t>
  </si>
  <si>
    <t>tavoline mbedhje 220x110</t>
  </si>
  <si>
    <t>rafte pa rota</t>
  </si>
  <si>
    <t>rafte me rota</t>
  </si>
  <si>
    <t>30.09.11</t>
  </si>
  <si>
    <t>pompe + rekorderi</t>
  </si>
  <si>
    <t>07.11.11</t>
  </si>
  <si>
    <t>autoveture misubishi</t>
  </si>
  <si>
    <t>19.11.11</t>
  </si>
  <si>
    <t>furgon vito</t>
  </si>
  <si>
    <t xml:space="preserve">hynndai </t>
  </si>
  <si>
    <t>21.11.11</t>
  </si>
  <si>
    <t>land rover</t>
  </si>
  <si>
    <t>pirun ngrites</t>
  </si>
  <si>
    <t>06.12.11</t>
  </si>
  <si>
    <t>02.12.11</t>
  </si>
  <si>
    <t>telefona</t>
  </si>
  <si>
    <t>17.12.11</t>
  </si>
  <si>
    <t>kompjutri klodi</t>
  </si>
  <si>
    <t>teelefon nocia</t>
  </si>
  <si>
    <t>19.12.11</t>
  </si>
  <si>
    <t>Cekic Ajri 571</t>
  </si>
  <si>
    <t>05.12.2011</t>
  </si>
  <si>
    <t xml:space="preserve">mot.ngjeshje dheu    rul </t>
  </si>
  <si>
    <t>14.12.2011</t>
  </si>
  <si>
    <t>pompa uji per lulishte</t>
  </si>
  <si>
    <t>22.02.11</t>
  </si>
  <si>
    <t>10.06.11</t>
  </si>
  <si>
    <t>makin mbjellje bari</t>
  </si>
  <si>
    <t>05.08.11</t>
  </si>
  <si>
    <t>17.09.11</t>
  </si>
  <si>
    <t>pompe ujitje +770 cop aksesore</t>
  </si>
  <si>
    <t>17.10.11</t>
  </si>
  <si>
    <t xml:space="preserve">paisje per vendosje rjete </t>
  </si>
  <si>
    <t>22.10.11</t>
  </si>
  <si>
    <t>paisje per ujitje</t>
  </si>
  <si>
    <t>14.11.11</t>
  </si>
  <si>
    <t>kaldaje</t>
  </si>
  <si>
    <t>28.11.11</t>
  </si>
  <si>
    <t xml:space="preserve">paisje ngrohje sera </t>
  </si>
  <si>
    <t>zyra e re</t>
  </si>
  <si>
    <t>12.2011</t>
  </si>
  <si>
    <t>17.05.12</t>
  </si>
  <si>
    <t>kamjoncine mercedes benc</t>
  </si>
  <si>
    <t>printer</t>
  </si>
  <si>
    <t>10.01.12</t>
  </si>
  <si>
    <t>monitor</t>
  </si>
  <si>
    <t>03.01.12</t>
  </si>
  <si>
    <t>22.02.12</t>
  </si>
  <si>
    <t>cekic cpues</t>
  </si>
  <si>
    <t>29.02.12</t>
  </si>
  <si>
    <t>Compresor atlas copco 106xAHS</t>
  </si>
  <si>
    <t>paisje zyre</t>
  </si>
  <si>
    <t>24.02.12</t>
  </si>
  <si>
    <t>05.06.12</t>
  </si>
  <si>
    <t>autoveture cintroen</t>
  </si>
  <si>
    <t>11.06.12</t>
  </si>
  <si>
    <t>njesi qendrore</t>
  </si>
  <si>
    <t>27.08.12</t>
  </si>
  <si>
    <t>09.08.12</t>
  </si>
  <si>
    <t>impjanti ujit</t>
  </si>
  <si>
    <t>03.08.12</t>
  </si>
  <si>
    <t>kompjuter</t>
  </si>
  <si>
    <t>28.09.12</t>
  </si>
  <si>
    <t>lapton</t>
  </si>
  <si>
    <t>25.09.12</t>
  </si>
  <si>
    <t>03.10.12</t>
  </si>
  <si>
    <t>17.10.12</t>
  </si>
  <si>
    <t>15.11.12</t>
  </si>
  <si>
    <t>tv</t>
  </si>
  <si>
    <t>17.11.12</t>
  </si>
  <si>
    <t>fotokopje</t>
  </si>
  <si>
    <t>24.12.12</t>
  </si>
  <si>
    <t>29.12.12</t>
  </si>
  <si>
    <t>mak cpimi</t>
  </si>
  <si>
    <t>08.05.12</t>
  </si>
  <si>
    <t>mak per injektim cimento</t>
  </si>
  <si>
    <t xml:space="preserve">autokaro e perdorur </t>
  </si>
  <si>
    <t>19.06.12</t>
  </si>
  <si>
    <t xml:space="preserve">pirun vetlevizes perd tip gz 450 zm2 </t>
  </si>
  <si>
    <t>27.07.12</t>
  </si>
  <si>
    <t>kaldaja per sera + aksesore</t>
  </si>
  <si>
    <t>03.11.12</t>
  </si>
  <si>
    <t>furgoni bl.ne privat</t>
  </si>
  <si>
    <t>pirun I perdorur</t>
  </si>
  <si>
    <t>23.01.13</t>
  </si>
  <si>
    <t>pjese makinerie</t>
  </si>
  <si>
    <t>19.06.13</t>
  </si>
  <si>
    <t>makineri kopshti</t>
  </si>
  <si>
    <t>04.07.13</t>
  </si>
  <si>
    <t>kompresor ajri levizshem</t>
  </si>
  <si>
    <t>08.07.13</t>
  </si>
  <si>
    <t>kompresor I perdorur</t>
  </si>
  <si>
    <t>10.07.13</t>
  </si>
  <si>
    <t xml:space="preserve">eskavator I perdorur </t>
  </si>
  <si>
    <t>27.09.13</t>
  </si>
  <si>
    <t>rimorkio tit-sa26t marca ITAS-PTI</t>
  </si>
  <si>
    <t>04.10.13</t>
  </si>
  <si>
    <t>scania e perdorur Lip p94</t>
  </si>
  <si>
    <t>makineri speedy drill per veshje skarpati</t>
  </si>
  <si>
    <t>09.10.13</t>
  </si>
  <si>
    <t>makine spricim skarpatesh</t>
  </si>
  <si>
    <t>04.11.13</t>
  </si>
  <si>
    <t xml:space="preserve">brucatore per sera   3 komplete </t>
  </si>
  <si>
    <t>07.11.13</t>
  </si>
  <si>
    <t>makineri punime ne ruge r-628</t>
  </si>
  <si>
    <t>18.11.13</t>
  </si>
  <si>
    <t>gjenerator I perdorur</t>
  </si>
  <si>
    <t>23.12.13</t>
  </si>
  <si>
    <t>kazan im perd per kamjon</t>
  </si>
  <si>
    <t>ri perd tipi sam-322-k</t>
  </si>
  <si>
    <t>10.01.13</t>
  </si>
  <si>
    <t>tavoline TR8</t>
  </si>
  <si>
    <t>05.01.13</t>
  </si>
  <si>
    <t>raft</t>
  </si>
  <si>
    <t>kasa</t>
  </si>
  <si>
    <t>10.05.13</t>
  </si>
  <si>
    <t>28.06.13</t>
  </si>
  <si>
    <t>laptop</t>
  </si>
  <si>
    <t>06.06.13</t>
  </si>
  <si>
    <t>koke terheqje skaneri</t>
  </si>
  <si>
    <t>14.10.13</t>
  </si>
  <si>
    <t>kamjon</t>
  </si>
  <si>
    <t>01.06.13</t>
  </si>
  <si>
    <t>autokaro m.benz 7 vendesh</t>
  </si>
  <si>
    <t>31.10.13</t>
  </si>
  <si>
    <t>makine mbjellje bari ne skarpate</t>
  </si>
  <si>
    <t>28.11.13</t>
  </si>
  <si>
    <t>Eskavator I perdorur Komatsu</t>
  </si>
  <si>
    <t>19.02.13</t>
  </si>
  <si>
    <t>30.03.13</t>
  </si>
  <si>
    <t>ok</t>
  </si>
  <si>
    <t>Aktivet  Afat gjata Materiale me vleren fillestare   2013</t>
  </si>
  <si>
    <t>gjendja</t>
  </si>
  <si>
    <t>shtesa</t>
  </si>
  <si>
    <t>Paksime</t>
  </si>
  <si>
    <t xml:space="preserve">Gjendja </t>
  </si>
  <si>
    <t>01.01.2013</t>
  </si>
  <si>
    <t>31.12.2013</t>
  </si>
  <si>
    <t>Toka</t>
  </si>
  <si>
    <t>Ndertime</t>
  </si>
  <si>
    <t>rivlersim ndertese</t>
  </si>
  <si>
    <t>Makineri Paisje,vegla</t>
  </si>
  <si>
    <t>Mjete Transporti</t>
  </si>
  <si>
    <t>Kompjuterike</t>
  </si>
  <si>
    <t>Paisje Zyre</t>
  </si>
  <si>
    <t>Totali</t>
  </si>
  <si>
    <t>Amortizimi Aktiveve Afat gjate Materiale  2013</t>
  </si>
  <si>
    <t>Vlera Kontabile Neto e A.A.Materiale viti 2013</t>
  </si>
  <si>
    <t>fivlersim ndertese</t>
  </si>
  <si>
    <t>dega Tirane</t>
  </si>
  <si>
    <t>dega Kosove</t>
  </si>
  <si>
    <t>konsoliduar</t>
  </si>
  <si>
    <t xml:space="preserve"> 3. Grantet dhe te ardhurat e shtyra</t>
  </si>
  <si>
    <t xml:space="preserve">    &gt;Para pagesa per furnizime </t>
  </si>
  <si>
    <t xml:space="preserve">    &gt;rivlersimi</t>
  </si>
  <si>
    <t>dega tirane</t>
  </si>
  <si>
    <t>dega kosove</t>
  </si>
  <si>
    <t>Garden line        Pasqyra e te Ardhurave dhe Shpenzimeve 2013</t>
  </si>
  <si>
    <t>Garden Line            Pasqyra Financiare te Vitit 2013</t>
  </si>
  <si>
    <t xml:space="preserve">    &gt;Detyrime te tjera </t>
  </si>
  <si>
    <t>Emri dhe forma ligjore</t>
  </si>
  <si>
    <t xml:space="preserve">GARDEN LINE </t>
  </si>
  <si>
    <t>Sh.p.k</t>
  </si>
  <si>
    <t>Nipti</t>
  </si>
  <si>
    <t>K 11427004 I</t>
  </si>
  <si>
    <t xml:space="preserve">Adresa e selise </t>
  </si>
  <si>
    <t xml:space="preserve">VORE    MARIKAJ </t>
  </si>
  <si>
    <t xml:space="preserve">        </t>
  </si>
  <si>
    <t xml:space="preserve">Tirane </t>
  </si>
  <si>
    <t>Data e krijimit</t>
  </si>
  <si>
    <t>19.03.2001</t>
  </si>
  <si>
    <t>Nr. I Regjistrit tregetar</t>
  </si>
  <si>
    <t>VEPRIMTARIA KRYESORE</t>
  </si>
  <si>
    <t xml:space="preserve">PASQYRAT FINANCIARE </t>
  </si>
  <si>
    <t>(Ne zbatim te standartit Kombetar te Kontabilitetit nr 2 dhe ligjit</t>
  </si>
  <si>
    <t>nr 9228 date 29.04.2008 "Per Kontabilitetin dhe Pasqyrat Financiare)</t>
  </si>
  <si>
    <t xml:space="preserve">VITI </t>
  </si>
  <si>
    <t xml:space="preserve">Pasqyrat financiare jane individuale </t>
  </si>
  <si>
    <t>Pasqyrat financiare jane te konsoliduara</t>
  </si>
  <si>
    <t xml:space="preserve">Pasqyrat financiare jane te shprehura ne </t>
  </si>
  <si>
    <t xml:space="preserve">Pasqyrat financiare jane te rumbullakosura ne  </t>
  </si>
  <si>
    <t xml:space="preserve">Periudha Kontabile e Pasqyrave Financiare </t>
  </si>
  <si>
    <t xml:space="preserve">nga </t>
  </si>
  <si>
    <t>deri</t>
  </si>
  <si>
    <t>Data e mbylljes se Pasqyrave Financiare</t>
  </si>
  <si>
    <t>28.03.2014</t>
  </si>
  <si>
    <t>Zhvillimi aktivitetit Ekonomik ne fushen Kopshtarise dhe Inxhinjerise Mjedisit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</si>
</sst>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16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i/>
      <sz val="11"/>
      <name val="Book Antiqua"/>
      <family val="1"/>
    </font>
    <font>
      <i/>
      <sz val="11"/>
      <name val="Book Antiqu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Book Antiqua"/>
      <family val="1"/>
    </font>
    <font>
      <b/>
      <sz val="8"/>
      <name val="Book Antiqua"/>
      <family val="1"/>
    </font>
    <font>
      <b/>
      <i/>
      <sz val="14"/>
      <name val="Book Antiqua"/>
      <family val="1"/>
    </font>
    <font>
      <b/>
      <i/>
      <sz val="14"/>
      <color indexed="8"/>
      <name val="Book Antiqua"/>
      <family val="1"/>
    </font>
    <font>
      <sz val="14"/>
      <color indexed="8"/>
      <name val="Book Antiqua"/>
      <family val="1"/>
    </font>
    <font>
      <b/>
      <i/>
      <sz val="8"/>
      <name val="Book Antiqua"/>
      <family val="1"/>
    </font>
    <font>
      <b/>
      <sz val="14"/>
      <color indexed="8"/>
      <name val="Book Antiqua"/>
      <family val="1"/>
    </font>
    <font>
      <b/>
      <u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8"/>
      <name val="Book Antiqua"/>
      <family val="1"/>
    </font>
    <font>
      <sz val="11"/>
      <name val="Calibri"/>
      <family val="2"/>
      <scheme val="minor"/>
    </font>
    <font>
      <sz val="14"/>
      <name val="Book Antiqua"/>
      <family val="1"/>
    </font>
    <font>
      <b/>
      <sz val="14"/>
      <name val="Book Antiqua"/>
      <family val="1"/>
    </font>
    <font>
      <i/>
      <sz val="16"/>
      <name val="Book Antiqua"/>
      <family val="1"/>
    </font>
    <font>
      <sz val="11"/>
      <color indexed="62"/>
      <name val="Book Antiqua"/>
      <family val="1"/>
    </font>
    <font>
      <b/>
      <i/>
      <sz val="10"/>
      <name val="Book Antiqua"/>
      <family val="1"/>
    </font>
    <font>
      <sz val="14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i/>
      <u/>
      <sz val="14"/>
      <name val="Times New Roman"/>
      <family val="1"/>
    </font>
    <font>
      <i/>
      <sz val="14"/>
      <name val="Times New Roman"/>
      <family val="1"/>
    </font>
    <font>
      <b/>
      <u/>
      <sz val="14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26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2" applyFont="1"/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64" fontId="5" fillId="0" borderId="9" xfId="1" applyNumberFormat="1" applyFont="1" applyBorder="1"/>
    <xf numFmtId="164" fontId="5" fillId="0" borderId="10" xfId="1" applyNumberFormat="1" applyFont="1" applyBorder="1"/>
    <xf numFmtId="0" fontId="5" fillId="0" borderId="7" xfId="2" applyFont="1" applyBorder="1"/>
    <xf numFmtId="0" fontId="6" fillId="0" borderId="8" xfId="2" applyFont="1" applyBorder="1"/>
    <xf numFmtId="0" fontId="5" fillId="0" borderId="8" xfId="2" applyFont="1" applyBorder="1"/>
    <xf numFmtId="164" fontId="4" fillId="0" borderId="10" xfId="1" applyNumberFormat="1" applyFont="1" applyBorder="1"/>
    <xf numFmtId="0" fontId="4" fillId="0" borderId="7" xfId="2" applyFont="1" applyBorder="1"/>
    <xf numFmtId="0" fontId="4" fillId="0" borderId="8" xfId="2" applyFont="1" applyBorder="1"/>
    <xf numFmtId="164" fontId="4" fillId="0" borderId="9" xfId="1" applyNumberFormat="1" applyFont="1" applyBorder="1"/>
    <xf numFmtId="0" fontId="6" fillId="0" borderId="9" xfId="2" applyFont="1" applyBorder="1"/>
    <xf numFmtId="0" fontId="5" fillId="0" borderId="0" xfId="2" applyFont="1" applyBorder="1"/>
    <xf numFmtId="164" fontId="4" fillId="0" borderId="9" xfId="1" applyNumberFormat="1" applyFont="1" applyFill="1" applyBorder="1"/>
    <xf numFmtId="0" fontId="4" fillId="0" borderId="11" xfId="2" applyFont="1" applyBorder="1"/>
    <xf numFmtId="0" fontId="5" fillId="0" borderId="12" xfId="2" applyFont="1" applyBorder="1"/>
    <xf numFmtId="3" fontId="4" fillId="0" borderId="13" xfId="2" applyNumberFormat="1" applyFont="1" applyBorder="1"/>
    <xf numFmtId="3" fontId="4" fillId="0" borderId="14" xfId="2" applyNumberFormat="1" applyFont="1" applyBorder="1"/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164" fontId="5" fillId="0" borderId="5" xfId="1" applyNumberFormat="1" applyFont="1" applyBorder="1"/>
    <xf numFmtId="164" fontId="5" fillId="0" borderId="6" xfId="1" applyNumberFormat="1" applyFont="1" applyBorder="1"/>
    <xf numFmtId="0" fontId="5" fillId="0" borderId="9" xfId="3" applyFont="1" applyBorder="1" applyAlignment="1">
      <alignment horizontal="left"/>
    </xf>
    <xf numFmtId="0" fontId="5" fillId="0" borderId="8" xfId="3" applyFont="1" applyBorder="1" applyAlignment="1">
      <alignment horizontal="center"/>
    </xf>
    <xf numFmtId="0" fontId="4" fillId="0" borderId="9" xfId="3" applyFont="1" applyBorder="1" applyAlignment="1">
      <alignment horizontal="left"/>
    </xf>
    <xf numFmtId="164" fontId="4" fillId="0" borderId="14" xfId="1" applyNumberFormat="1" applyFont="1" applyBorder="1"/>
    <xf numFmtId="0" fontId="3" fillId="0" borderId="0" xfId="3" applyFont="1" applyFill="1" applyAlignment="1"/>
    <xf numFmtId="0" fontId="3" fillId="0" borderId="0" xfId="3" applyFont="1" applyFill="1" applyAlignment="1">
      <alignment horizont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4" fillId="0" borderId="17" xfId="3" applyFont="1" applyFill="1" applyBorder="1" applyAlignment="1">
      <alignment horizontal="center"/>
    </xf>
    <xf numFmtId="0" fontId="5" fillId="0" borderId="17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0" fontId="4" fillId="0" borderId="5" xfId="3" applyFont="1" applyFill="1" applyBorder="1" applyAlignment="1"/>
    <xf numFmtId="164" fontId="5" fillId="0" borderId="5" xfId="1" applyNumberFormat="1" applyFont="1" applyFill="1" applyBorder="1"/>
    <xf numFmtId="0" fontId="4" fillId="0" borderId="8" xfId="3" applyFont="1" applyFill="1" applyBorder="1" applyAlignment="1"/>
    <xf numFmtId="0" fontId="4" fillId="0" borderId="9" xfId="3" applyFont="1" applyFill="1" applyBorder="1" applyAlignment="1"/>
    <xf numFmtId="164" fontId="5" fillId="0" borderId="9" xfId="1" applyNumberFormat="1" applyFont="1" applyFill="1" applyBorder="1"/>
    <xf numFmtId="0" fontId="7" fillId="0" borderId="8" xfId="3" applyFont="1" applyFill="1" applyBorder="1" applyAlignment="1"/>
    <xf numFmtId="0" fontId="7" fillId="0" borderId="8" xfId="3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0" fontId="5" fillId="0" borderId="9" xfId="3" applyFont="1" applyFill="1" applyBorder="1" applyAlignment="1">
      <alignment horizontal="center"/>
    </xf>
    <xf numFmtId="0" fontId="5" fillId="0" borderId="8" xfId="3" applyFont="1" applyFill="1" applyBorder="1" applyAlignment="1"/>
    <xf numFmtId="0" fontId="10" fillId="0" borderId="0" xfId="0" applyFont="1"/>
    <xf numFmtId="164" fontId="10" fillId="0" borderId="0" xfId="1" applyNumberFormat="1" applyFont="1"/>
    <xf numFmtId="0" fontId="11" fillId="0" borderId="0" xfId="0" applyFont="1"/>
    <xf numFmtId="0" fontId="12" fillId="0" borderId="0" xfId="0" applyFont="1"/>
    <xf numFmtId="164" fontId="11" fillId="0" borderId="0" xfId="1" applyNumberFormat="1" applyFont="1"/>
    <xf numFmtId="0" fontId="14" fillId="0" borderId="0" xfId="0" applyFont="1" applyAlignment="1">
      <alignment horizontal="center"/>
    </xf>
    <xf numFmtId="164" fontId="14" fillId="0" borderId="0" xfId="1" applyNumberFormat="1" applyFont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6" fillId="0" borderId="5" xfId="3" applyFont="1" applyBorder="1" applyAlignment="1"/>
    <xf numFmtId="0" fontId="4" fillId="0" borderId="8" xfId="3" applyFont="1" applyBorder="1" applyAlignment="1"/>
    <xf numFmtId="0" fontId="4" fillId="0" borderId="9" xfId="3" applyFont="1" applyBorder="1" applyAlignment="1"/>
    <xf numFmtId="0" fontId="4" fillId="0" borderId="8" xfId="3" applyFont="1" applyBorder="1" applyAlignment="1">
      <alignment horizontal="left"/>
    </xf>
    <xf numFmtId="0" fontId="6" fillId="0" borderId="8" xfId="3" applyFont="1" applyBorder="1" applyAlignment="1"/>
    <xf numFmtId="0" fontId="7" fillId="0" borderId="8" xfId="3" applyFont="1" applyBorder="1" applyAlignment="1"/>
    <xf numFmtId="0" fontId="5" fillId="0" borderId="18" xfId="3" applyFont="1" applyBorder="1" applyAlignment="1"/>
    <xf numFmtId="164" fontId="5" fillId="0" borderId="17" xfId="1" applyNumberFormat="1" applyFont="1" applyBorder="1"/>
    <xf numFmtId="164" fontId="4" fillId="0" borderId="17" xfId="1" applyNumberFormat="1" applyFont="1" applyBorder="1"/>
    <xf numFmtId="164" fontId="4" fillId="0" borderId="19" xfId="1" applyNumberFormat="1" applyFont="1" applyBorder="1"/>
    <xf numFmtId="164" fontId="5" fillId="0" borderId="19" xfId="1" applyNumberFormat="1" applyFont="1" applyBorder="1"/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/>
    <xf numFmtId="164" fontId="4" fillId="0" borderId="13" xfId="1" applyNumberFormat="1" applyFont="1" applyBorder="1"/>
    <xf numFmtId="0" fontId="4" fillId="0" borderId="9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4" fillId="0" borderId="0" xfId="0" applyFont="1"/>
    <xf numFmtId="0" fontId="17" fillId="0" borderId="0" xfId="0" applyFont="1"/>
    <xf numFmtId="0" fontId="4" fillId="0" borderId="0" xfId="0" applyFont="1" applyBorder="1"/>
    <xf numFmtId="0" fontId="18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20" xfId="0" applyFont="1" applyBorder="1" applyAlignment="1">
      <alignment horizontal="center"/>
    </xf>
    <xf numFmtId="0" fontId="4" fillId="0" borderId="17" xfId="0" applyFont="1" applyBorder="1"/>
    <xf numFmtId="164" fontId="4" fillId="0" borderId="0" xfId="1" applyNumberFormat="1" applyFont="1" applyBorder="1"/>
    <xf numFmtId="0" fontId="4" fillId="0" borderId="9" xfId="0" applyFont="1" applyFill="1" applyBorder="1"/>
    <xf numFmtId="0" fontId="4" fillId="0" borderId="21" xfId="0" applyFont="1" applyFill="1" applyBorder="1"/>
    <xf numFmtId="0" fontId="18" fillId="0" borderId="17" xfId="0" applyFont="1" applyFill="1" applyBorder="1"/>
    <xf numFmtId="0" fontId="4" fillId="0" borderId="22" xfId="0" applyFont="1" applyFill="1" applyBorder="1" applyAlignment="1">
      <alignment horizontal="center"/>
    </xf>
    <xf numFmtId="0" fontId="18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23" xfId="0" applyFont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3" xfId="0" applyFont="1" applyFill="1" applyBorder="1" applyAlignment="1">
      <alignment horizontal="left"/>
    </xf>
    <xf numFmtId="164" fontId="5" fillId="0" borderId="13" xfId="1" applyNumberFormat="1" applyFont="1" applyBorder="1"/>
    <xf numFmtId="0" fontId="19" fillId="0" borderId="0" xfId="0" applyFont="1"/>
    <xf numFmtId="0" fontId="19" fillId="0" borderId="9" xfId="0" applyFont="1" applyFill="1" applyBorder="1" applyAlignment="1">
      <alignment horizontal="center"/>
    </xf>
    <xf numFmtId="0" fontId="19" fillId="0" borderId="9" xfId="0" applyFont="1" applyFill="1" applyBorder="1"/>
    <xf numFmtId="164" fontId="19" fillId="0" borderId="9" xfId="1" applyNumberFormat="1" applyFont="1" applyFill="1" applyBorder="1"/>
    <xf numFmtId="9" fontId="19" fillId="0" borderId="9" xfId="0" applyNumberFormat="1" applyFont="1" applyFill="1" applyBorder="1"/>
    <xf numFmtId="164" fontId="19" fillId="0" borderId="9" xfId="1" applyNumberFormat="1" applyFont="1" applyBorder="1"/>
    <xf numFmtId="164" fontId="19" fillId="0" borderId="0" xfId="1" applyNumberFormat="1" applyFont="1" applyFill="1" applyAlignment="1">
      <alignment horizontal="center"/>
    </xf>
    <xf numFmtId="0" fontId="19" fillId="0" borderId="24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15" xfId="0" applyFont="1" applyFill="1" applyBorder="1"/>
    <xf numFmtId="21" fontId="19" fillId="0" borderId="9" xfId="0" applyNumberFormat="1" applyFont="1" applyFill="1" applyBorder="1" applyAlignment="1">
      <alignment horizontal="left"/>
    </xf>
    <xf numFmtId="21" fontId="19" fillId="0" borderId="9" xfId="0" applyNumberFormat="1" applyFont="1" applyFill="1" applyBorder="1"/>
    <xf numFmtId="0" fontId="10" fillId="0" borderId="0" xfId="0" applyFont="1" applyFill="1" applyAlignment="1">
      <alignment horizontal="center"/>
    </xf>
    <xf numFmtId="49" fontId="19" fillId="0" borderId="9" xfId="0" applyNumberFormat="1" applyFont="1" applyFill="1" applyBorder="1"/>
    <xf numFmtId="21" fontId="19" fillId="0" borderId="9" xfId="0" applyNumberFormat="1" applyFont="1" applyFill="1" applyBorder="1" applyAlignment="1"/>
    <xf numFmtId="21" fontId="20" fillId="0" borderId="9" xfId="0" applyNumberFormat="1" applyFont="1" applyFill="1" applyBorder="1" applyAlignment="1"/>
    <xf numFmtId="46" fontId="19" fillId="0" borderId="9" xfId="0" applyNumberFormat="1" applyFont="1" applyFill="1" applyBorder="1" applyAlignment="1"/>
    <xf numFmtId="49" fontId="21" fillId="0" borderId="9" xfId="0" applyNumberFormat="1" applyFont="1" applyFill="1" applyBorder="1" applyAlignment="1"/>
    <xf numFmtId="49" fontId="21" fillId="0" borderId="9" xfId="1" applyNumberFormat="1" applyFont="1" applyFill="1" applyBorder="1" applyAlignment="1">
      <alignment horizontal="center"/>
    </xf>
    <xf numFmtId="49" fontId="21" fillId="0" borderId="13" xfId="1" applyNumberFormat="1" applyFont="1" applyFill="1" applyBorder="1" applyAlignment="1">
      <alignment horizontal="center"/>
    </xf>
    <xf numFmtId="164" fontId="19" fillId="0" borderId="13" xfId="1" applyNumberFormat="1" applyFont="1" applyFill="1" applyBorder="1"/>
    <xf numFmtId="164" fontId="21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/>
    <xf numFmtId="164" fontId="21" fillId="0" borderId="9" xfId="1" applyNumberFormat="1" applyFont="1" applyFill="1" applyBorder="1" applyAlignment="1">
      <alignment horizontal="left"/>
    </xf>
    <xf numFmtId="164" fontId="21" fillId="0" borderId="9" xfId="1" applyNumberFormat="1" applyFont="1" applyFill="1" applyBorder="1" applyAlignment="1">
      <alignment horizontal="right"/>
    </xf>
    <xf numFmtId="164" fontId="20" fillId="0" borderId="9" xfId="1" applyNumberFormat="1" applyFont="1" applyFill="1" applyBorder="1"/>
    <xf numFmtId="0" fontId="10" fillId="0" borderId="9" xfId="1" applyNumberFormat="1" applyFont="1" applyFill="1" applyBorder="1" applyAlignment="1">
      <alignment horizontal="left"/>
    </xf>
    <xf numFmtId="43" fontId="19" fillId="0" borderId="9" xfId="1" applyFont="1" applyFill="1" applyBorder="1" applyAlignment="1">
      <alignment horizontal="left"/>
    </xf>
    <xf numFmtId="0" fontId="22" fillId="0" borderId="9" xfId="0" applyNumberFormat="1" applyFont="1" applyFill="1" applyBorder="1" applyAlignment="1"/>
    <xf numFmtId="0" fontId="0" fillId="0" borderId="0" xfId="0" applyFill="1"/>
    <xf numFmtId="43" fontId="19" fillId="0" borderId="13" xfId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19" fillId="0" borderId="0" xfId="0" applyFont="1" applyFill="1"/>
    <xf numFmtId="0" fontId="22" fillId="0" borderId="0" xfId="0" applyNumberFormat="1" applyFont="1" applyFill="1" applyAlignment="1"/>
    <xf numFmtId="0" fontId="19" fillId="0" borderId="9" xfId="0" applyFont="1" applyFill="1" applyBorder="1" applyAlignment="1">
      <alignment horizontal="left"/>
    </xf>
    <xf numFmtId="3" fontId="19" fillId="0" borderId="9" xfId="0" applyNumberFormat="1" applyFont="1" applyFill="1" applyBorder="1" applyAlignment="1">
      <alignment horizontal="left"/>
    </xf>
    <xf numFmtId="164" fontId="19" fillId="0" borderId="9" xfId="0" applyNumberFormat="1" applyFont="1" applyFill="1" applyBorder="1" applyAlignment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164" fontId="20" fillId="0" borderId="0" xfId="1" applyNumberFormat="1" applyFont="1" applyFill="1"/>
    <xf numFmtId="164" fontId="19" fillId="0" borderId="0" xfId="1" applyNumberFormat="1" applyFont="1" applyFill="1"/>
    <xf numFmtId="0" fontId="19" fillId="0" borderId="0" xfId="0" applyFont="1" applyFill="1" applyAlignment="1">
      <alignment horizontal="left"/>
    </xf>
    <xf numFmtId="0" fontId="20" fillId="0" borderId="17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left"/>
    </xf>
    <xf numFmtId="164" fontId="20" fillId="0" borderId="17" xfId="1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164" fontId="20" fillId="0" borderId="5" xfId="1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/>
    </xf>
    <xf numFmtId="9" fontId="19" fillId="0" borderId="13" xfId="0" applyNumberFormat="1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left"/>
    </xf>
    <xf numFmtId="9" fontId="19" fillId="0" borderId="5" xfId="0" applyNumberFormat="1" applyFont="1" applyFill="1" applyBorder="1"/>
    <xf numFmtId="0" fontId="10" fillId="0" borderId="9" xfId="0" applyNumberFormat="1" applyFont="1" applyFill="1" applyBorder="1" applyAlignment="1">
      <alignment horizontal="left"/>
    </xf>
    <xf numFmtId="0" fontId="19" fillId="0" borderId="25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9" fillId="0" borderId="26" xfId="0" applyFont="1" applyFill="1" applyBorder="1"/>
    <xf numFmtId="0" fontId="19" fillId="0" borderId="26" xfId="0" applyFont="1" applyFill="1" applyBorder="1" applyAlignment="1">
      <alignment horizontal="left"/>
    </xf>
    <xf numFmtId="164" fontId="19" fillId="0" borderId="26" xfId="1" applyNumberFormat="1" applyFont="1" applyFill="1" applyBorder="1"/>
    <xf numFmtId="164" fontId="19" fillId="0" borderId="27" xfId="1" applyNumberFormat="1" applyFont="1" applyFill="1" applyBorder="1"/>
    <xf numFmtId="0" fontId="0" fillId="0" borderId="0" xfId="0" applyFont="1" applyFill="1"/>
    <xf numFmtId="0" fontId="23" fillId="0" borderId="0" xfId="0" applyFont="1" applyFill="1"/>
    <xf numFmtId="0" fontId="0" fillId="0" borderId="0" xfId="0" applyFill="1" applyAlignment="1">
      <alignment horizontal="left"/>
    </xf>
    <xf numFmtId="0" fontId="26" fillId="0" borderId="0" xfId="0" applyFont="1"/>
    <xf numFmtId="0" fontId="6" fillId="0" borderId="28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9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30" xfId="2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7" xfId="3" applyFont="1" applyBorder="1"/>
    <xf numFmtId="164" fontId="4" fillId="0" borderId="8" xfId="1" applyNumberFormat="1" applyFont="1" applyBorder="1"/>
    <xf numFmtId="0" fontId="19" fillId="0" borderId="7" xfId="3" applyFont="1" applyBorder="1"/>
    <xf numFmtId="0" fontId="20" fillId="0" borderId="7" xfId="3" applyFont="1" applyBorder="1" applyAlignment="1">
      <alignment horizontal="center"/>
    </xf>
    <xf numFmtId="0" fontId="5" fillId="0" borderId="0" xfId="3" applyFont="1" applyBorder="1"/>
    <xf numFmtId="0" fontId="10" fillId="0" borderId="0" xfId="0" applyFont="1" applyBorder="1"/>
    <xf numFmtId="164" fontId="5" fillId="0" borderId="0" xfId="3" applyNumberFormat="1" applyFont="1" applyBorder="1"/>
    <xf numFmtId="165" fontId="4" fillId="0" borderId="0" xfId="3" applyNumberFormat="1" applyFont="1" applyBorder="1"/>
    <xf numFmtId="165" fontId="5" fillId="0" borderId="0" xfId="3" applyNumberFormat="1" applyFont="1" applyBorder="1"/>
    <xf numFmtId="0" fontId="4" fillId="0" borderId="0" xfId="3" applyFont="1" applyBorder="1"/>
    <xf numFmtId="0" fontId="4" fillId="0" borderId="0" xfId="3" applyFont="1"/>
    <xf numFmtId="0" fontId="3" fillId="0" borderId="15" xfId="2" applyFont="1" applyBorder="1" applyAlignment="1">
      <alignment horizontal="center"/>
    </xf>
    <xf numFmtId="164" fontId="10" fillId="0" borderId="0" xfId="0" applyNumberFormat="1" applyFont="1"/>
    <xf numFmtId="3" fontId="4" fillId="0" borderId="12" xfId="2" applyNumberFormat="1" applyFont="1" applyBorder="1"/>
    <xf numFmtId="0" fontId="4" fillId="0" borderId="0" xfId="2" applyFont="1" applyBorder="1"/>
    <xf numFmtId="3" fontId="4" fillId="0" borderId="0" xfId="2" applyNumberFormat="1" applyFont="1" applyBorder="1"/>
    <xf numFmtId="0" fontId="27" fillId="0" borderId="0" xfId="2" applyFont="1" applyBorder="1"/>
    <xf numFmtId="0" fontId="5" fillId="0" borderId="0" xfId="2" applyFont="1" applyBorder="1" applyAlignment="1">
      <alignment horizontal="center"/>
    </xf>
    <xf numFmtId="3" fontId="5" fillId="0" borderId="0" xfId="2" applyNumberFormat="1" applyFont="1" applyBorder="1"/>
    <xf numFmtId="0" fontId="4" fillId="0" borderId="5" xfId="3" applyFont="1" applyBorder="1" applyAlignment="1"/>
    <xf numFmtId="0" fontId="7" fillId="0" borderId="8" xfId="3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5" fillId="0" borderId="8" xfId="3" applyFont="1" applyBorder="1" applyAlignment="1"/>
    <xf numFmtId="0" fontId="6" fillId="0" borderId="33" xfId="2" applyFont="1" applyBorder="1" applyAlignment="1">
      <alignment horizontal="center"/>
    </xf>
    <xf numFmtId="0" fontId="6" fillId="0" borderId="34" xfId="2" applyFont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164" fontId="4" fillId="0" borderId="18" xfId="1" applyNumberFormat="1" applyFont="1" applyBorder="1"/>
    <xf numFmtId="164" fontId="4" fillId="0" borderId="12" xfId="1" applyNumberFormat="1" applyFont="1" applyBorder="1"/>
    <xf numFmtId="0" fontId="4" fillId="0" borderId="0" xfId="3" applyFont="1" applyBorder="1" applyAlignment="1"/>
    <xf numFmtId="0" fontId="4" fillId="0" borderId="0" xfId="3" applyFont="1" applyBorder="1" applyAlignment="1">
      <alignment horizontal="center"/>
    </xf>
    <xf numFmtId="164" fontId="4" fillId="0" borderId="0" xfId="3" applyNumberFormat="1" applyFont="1" applyBorder="1" applyAlignment="1"/>
    <xf numFmtId="0" fontId="5" fillId="0" borderId="0" xfId="3" applyFont="1" applyBorder="1" applyAlignment="1"/>
    <xf numFmtId="0" fontId="20" fillId="0" borderId="5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164" fontId="20" fillId="0" borderId="5" xfId="1" applyNumberFormat="1" applyFont="1" applyBorder="1"/>
    <xf numFmtId="164" fontId="20" fillId="0" borderId="31" xfId="1" applyNumberFormat="1" applyFont="1" applyBorder="1"/>
    <xf numFmtId="164" fontId="20" fillId="0" borderId="6" xfId="1" applyNumberFormat="1" applyFont="1" applyBorder="1"/>
    <xf numFmtId="0" fontId="20" fillId="0" borderId="8" xfId="3" applyFont="1" applyBorder="1"/>
    <xf numFmtId="164" fontId="19" fillId="0" borderId="8" xfId="1" applyNumberFormat="1" applyFont="1" applyBorder="1"/>
    <xf numFmtId="164" fontId="19" fillId="0" borderId="10" xfId="1" applyNumberFormat="1" applyFont="1" applyBorder="1"/>
    <xf numFmtId="0" fontId="20" fillId="0" borderId="9" xfId="3" applyFont="1" applyBorder="1" applyAlignment="1">
      <alignment horizontal="left"/>
    </xf>
    <xf numFmtId="0" fontId="20" fillId="0" borderId="16" xfId="3" applyFont="1" applyBorder="1" applyAlignment="1">
      <alignment horizontal="center"/>
    </xf>
    <xf numFmtId="0" fontId="19" fillId="0" borderId="8" xfId="3" applyFont="1" applyBorder="1"/>
    <xf numFmtId="164" fontId="20" fillId="0" borderId="9" xfId="1" applyNumberFormat="1" applyFont="1" applyBorder="1"/>
    <xf numFmtId="164" fontId="20" fillId="0" borderId="10" xfId="1" applyNumberFormat="1" applyFont="1" applyBorder="1"/>
    <xf numFmtId="164" fontId="19" fillId="0" borderId="31" xfId="1" applyNumberFormat="1" applyFont="1" applyBorder="1"/>
    <xf numFmtId="164" fontId="19" fillId="0" borderId="8" xfId="1" applyNumberFormat="1" applyFont="1" applyFill="1" applyBorder="1"/>
    <xf numFmtId="0" fontId="20" fillId="0" borderId="8" xfId="3" applyFont="1" applyBorder="1" applyAlignment="1">
      <alignment horizontal="center"/>
    </xf>
    <xf numFmtId="0" fontId="19" fillId="0" borderId="9" xfId="3" applyFont="1" applyBorder="1" applyAlignment="1">
      <alignment horizontal="left"/>
    </xf>
    <xf numFmtId="164" fontId="20" fillId="0" borderId="8" xfId="1" applyNumberFormat="1" applyFont="1" applyBorder="1"/>
    <xf numFmtId="0" fontId="20" fillId="0" borderId="4" xfId="2" applyFont="1" applyBorder="1" applyAlignment="1">
      <alignment horizontal="center"/>
    </xf>
    <xf numFmtId="0" fontId="20" fillId="0" borderId="31" xfId="2" applyFont="1" applyBorder="1" applyAlignment="1">
      <alignment horizontal="center"/>
    </xf>
    <xf numFmtId="0" fontId="19" fillId="0" borderId="31" xfId="2" applyFont="1" applyBorder="1" applyAlignment="1">
      <alignment horizontal="center"/>
    </xf>
    <xf numFmtId="0" fontId="20" fillId="0" borderId="7" xfId="2" applyFont="1" applyBorder="1"/>
    <xf numFmtId="0" fontId="28" fillId="0" borderId="8" xfId="2" applyFont="1" applyBorder="1"/>
    <xf numFmtId="0" fontId="20" fillId="0" borderId="8" xfId="2" applyFont="1" applyBorder="1"/>
    <xf numFmtId="0" fontId="19" fillId="0" borderId="7" xfId="2" applyFont="1" applyBorder="1"/>
    <xf numFmtId="0" fontId="19" fillId="0" borderId="8" xfId="2" applyFont="1" applyBorder="1"/>
    <xf numFmtId="0" fontId="28" fillId="0" borderId="9" xfId="2" applyFont="1" applyBorder="1"/>
    <xf numFmtId="0" fontId="20" fillId="0" borderId="0" xfId="2" applyFont="1" applyBorder="1"/>
    <xf numFmtId="0" fontId="20" fillId="0" borderId="7" xfId="2" applyFont="1" applyBorder="1" applyAlignment="1">
      <alignment horizontal="center"/>
    </xf>
    <xf numFmtId="0" fontId="19" fillId="0" borderId="8" xfId="2" applyFont="1" applyBorder="1" applyAlignment="1">
      <alignment horizontal="center"/>
    </xf>
    <xf numFmtId="0" fontId="20" fillId="0" borderId="8" xfId="2" applyFont="1" applyBorder="1" applyAlignment="1">
      <alignment horizontal="center"/>
    </xf>
    <xf numFmtId="0" fontId="5" fillId="0" borderId="9" xfId="3" applyFont="1" applyBorder="1"/>
    <xf numFmtId="0" fontId="4" fillId="0" borderId="9" xfId="3" applyFont="1" applyBorder="1"/>
    <xf numFmtId="0" fontId="4" fillId="0" borderId="17" xfId="3" applyFont="1" applyBorder="1" applyAlignment="1">
      <alignment horizontal="center"/>
    </xf>
    <xf numFmtId="0" fontId="4" fillId="0" borderId="18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5" fillId="0" borderId="0" xfId="0" applyFont="1" applyFill="1"/>
    <xf numFmtId="0" fontId="24" fillId="0" borderId="0" xfId="0" applyFont="1" applyFill="1"/>
    <xf numFmtId="0" fontId="19" fillId="0" borderId="8" xfId="0" applyFont="1" applyFill="1" applyBorder="1"/>
    <xf numFmtId="0" fontId="20" fillId="0" borderId="16" xfId="0" applyFont="1" applyFill="1" applyBorder="1"/>
    <xf numFmtId="0" fontId="19" fillId="0" borderId="16" xfId="0" applyFont="1" applyFill="1" applyBorder="1"/>
    <xf numFmtId="164" fontId="20" fillId="0" borderId="16" xfId="1" applyNumberFormat="1" applyFont="1" applyFill="1" applyBorder="1"/>
    <xf numFmtId="164" fontId="20" fillId="0" borderId="24" xfId="1" applyNumberFormat="1" applyFont="1" applyFill="1" applyBorder="1"/>
    <xf numFmtId="0" fontId="25" fillId="0" borderId="0" xfId="0" applyFont="1" applyFill="1"/>
    <xf numFmtId="0" fontId="29" fillId="0" borderId="37" xfId="0" applyFont="1" applyBorder="1"/>
    <xf numFmtId="0" fontId="30" fillId="0" borderId="38" xfId="0" applyFont="1" applyBorder="1"/>
    <xf numFmtId="0" fontId="29" fillId="0" borderId="38" xfId="0" applyFont="1" applyBorder="1"/>
    <xf numFmtId="0" fontId="31" fillId="0" borderId="38" xfId="0" applyFont="1" applyBorder="1"/>
    <xf numFmtId="0" fontId="32" fillId="0" borderId="38" xfId="0" applyFont="1" applyBorder="1"/>
    <xf numFmtId="0" fontId="31" fillId="0" borderId="34" xfId="0" applyFont="1" applyBorder="1"/>
    <xf numFmtId="0" fontId="29" fillId="0" borderId="0" xfId="0" applyFont="1" applyBorder="1"/>
    <xf numFmtId="0" fontId="29" fillId="0" borderId="23" xfId="0" applyFont="1" applyBorder="1"/>
    <xf numFmtId="0" fontId="33" fillId="0" borderId="0" xfId="0" applyFont="1" applyBorder="1"/>
    <xf numFmtId="0" fontId="31" fillId="0" borderId="0" xfId="0" applyFont="1" applyBorder="1"/>
    <xf numFmtId="0" fontId="31" fillId="0" borderId="35" xfId="0" applyFont="1" applyBorder="1"/>
    <xf numFmtId="0" fontId="30" fillId="0" borderId="0" xfId="0" applyFont="1" applyBorder="1"/>
    <xf numFmtId="0" fontId="29" fillId="0" borderId="35" xfId="0" applyFont="1" applyBorder="1"/>
    <xf numFmtId="0" fontId="34" fillId="0" borderId="0" xfId="0" applyFont="1" applyBorder="1"/>
    <xf numFmtId="14" fontId="31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/>
    <xf numFmtId="0" fontId="35" fillId="0" borderId="35" xfId="0" applyFont="1" applyBorder="1"/>
    <xf numFmtId="0" fontId="38" fillId="0" borderId="35" xfId="0" applyFont="1" applyBorder="1" applyAlignment="1">
      <alignment horizontal="center"/>
    </xf>
    <xf numFmtId="0" fontId="29" fillId="0" borderId="25" xfId="0" applyFont="1" applyBorder="1"/>
    <xf numFmtId="0" fontId="29" fillId="0" borderId="26" xfId="0" applyFont="1" applyBorder="1"/>
    <xf numFmtId="0" fontId="29" fillId="0" borderId="39" xfId="0" applyFont="1" applyBorder="1"/>
    <xf numFmtId="164" fontId="0" fillId="0" borderId="0" xfId="0" applyNumberFormat="1"/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3" fillId="0" borderId="32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4" fillId="0" borderId="21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0" fontId="6" fillId="0" borderId="21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4" fillId="0" borderId="22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164" fontId="4" fillId="0" borderId="8" xfId="1" applyNumberFormat="1" applyFont="1" applyFill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exsel%20vilma%20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rikolek"/>
      <sheetName val="kredi 12"/>
      <sheetName val="kredia 13"/>
      <sheetName val="KREDI 11"/>
      <sheetName val="agrikoE"/>
      <sheetName val="rogat"/>
      <sheetName val="sig"/>
      <sheetName val="sig-025"/>
      <sheetName val="pag.ndrysh"/>
      <sheetName val="b.lek.intesa"/>
      <sheetName val="agriko $"/>
      <sheetName val="intesa$"/>
      <sheetName val="b.€ intesa"/>
      <sheetName val="bkt.lek"/>
      <sheetName val="bkt €"/>
      <sheetName val="veneto lek "/>
      <sheetName val="venetoE "/>
      <sheetName val="tvsh"/>
      <sheetName val="sistemimi"/>
      <sheetName val="KASA"/>
      <sheetName val="arka 13"/>
      <sheetName val="lb.bl 13"/>
      <sheetName val="saldot"/>
      <sheetName val="bilanci"/>
      <sheetName val="Foglio1"/>
      <sheetName val="shp.tjera"/>
      <sheetName val="permb bankave"/>
      <sheetName val="Sheet3"/>
      <sheetName val="imp.13"/>
      <sheetName val="amort."/>
      <sheetName val="btirana€"/>
      <sheetName val="shitje 13"/>
      <sheetName val="b.rajff.l"/>
      <sheetName val="b.tirana.lek"/>
      <sheetName val="AAM2013"/>
      <sheetName val="rajf .b.€"/>
      <sheetName val="b.p.cred.lek"/>
      <sheetName val="nd,kap kos"/>
      <sheetName val="pas."/>
      <sheetName val="akt"/>
      <sheetName val="f.m.dir."/>
      <sheetName val="t.fitimi"/>
      <sheetName val="furnt"/>
      <sheetName val="a-sh.fun"/>
      <sheetName val="klient 12"/>
      <sheetName val="mj.k.lizing"/>
      <sheetName val="bl.vend"/>
      <sheetName val="f.m.ind"/>
      <sheetName val="638"/>
      <sheetName val="a-sh.nat"/>
      <sheetName val="P2"/>
      <sheetName val="PI"/>
      <sheetName val="mjk.11"/>
      <sheetName val="inv mj.k 2011"/>
      <sheetName val="vodafon "/>
      <sheetName val="Sheet1"/>
      <sheetName val="sig-25.12"/>
      <sheetName val="Sheet2"/>
      <sheetName val="svilupo€"/>
      <sheetName val="LISTA"/>
      <sheetName val="sig-027.1"/>
      <sheetName val="B&gt;ProcLEK"/>
      <sheetName val="b.€.rajf"/>
      <sheetName val="b.svilupo.lek"/>
      <sheetName val="shpjegime"/>
      <sheetName val="shpjegues"/>
      <sheetName val="klient "/>
      <sheetName val="618"/>
      <sheetName val="llog.370"/>
      <sheetName val="k.2010"/>
      <sheetName val="661"/>
      <sheetName val="nd.kap.pakons"/>
      <sheetName val="sig alberto"/>
      <sheetName val="bordero"/>
      <sheetName val="k. 2008"/>
      <sheetName val="furnitore"/>
      <sheetName val="kredia"/>
      <sheetName val="k.2009"/>
      <sheetName val="inv.mjk"/>
      <sheetName val="lizing 07-11"/>
      <sheetName val="kont678"/>
      <sheetName val="kont.286"/>
      <sheetName val="kont 559"/>
      <sheetName val="kont 543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D7">
            <v>0</v>
          </cell>
          <cell r="H7">
            <v>0</v>
          </cell>
        </row>
        <row r="27">
          <cell r="H27">
            <v>0</v>
          </cell>
        </row>
        <row r="35">
          <cell r="D35">
            <v>963727</v>
          </cell>
        </row>
        <row r="40">
          <cell r="G40">
            <v>3117144.8115003109</v>
          </cell>
        </row>
        <row r="51">
          <cell r="F51">
            <v>953977552.14999962</v>
          </cell>
        </row>
        <row r="52">
          <cell r="F52">
            <v>3046.03</v>
          </cell>
        </row>
      </sheetData>
      <sheetData sheetId="24">
        <row r="250">
          <cell r="AA250">
            <v>2798200</v>
          </cell>
        </row>
        <row r="1464">
          <cell r="L1464">
            <v>329725970.17799997</v>
          </cell>
        </row>
      </sheetData>
      <sheetData sheetId="25"/>
      <sheetData sheetId="26"/>
      <sheetData sheetId="27"/>
      <sheetData sheetId="28">
        <row r="10">
          <cell r="O10">
            <v>3985558</v>
          </cell>
        </row>
        <row r="15">
          <cell r="O15">
            <v>2992669</v>
          </cell>
        </row>
        <row r="67">
          <cell r="O67">
            <v>3512648.4999999995</v>
          </cell>
        </row>
        <row r="77">
          <cell r="O77">
            <v>566237.33799999999</v>
          </cell>
        </row>
        <row r="86">
          <cell r="O86">
            <v>849983</v>
          </cell>
        </row>
        <row r="87">
          <cell r="O87">
            <v>2924914</v>
          </cell>
        </row>
        <row r="114">
          <cell r="O114">
            <v>3702464.9999999995</v>
          </cell>
        </row>
        <row r="118">
          <cell r="O118">
            <v>3405286.9999999995</v>
          </cell>
        </row>
        <row r="119">
          <cell r="O119">
            <v>13235102.999999998</v>
          </cell>
        </row>
        <row r="126">
          <cell r="O126">
            <v>3797206.2369999997</v>
          </cell>
        </row>
        <row r="140">
          <cell r="O140">
            <v>2004984.2</v>
          </cell>
        </row>
        <row r="143">
          <cell r="O143">
            <v>1334613.1000000001</v>
          </cell>
        </row>
        <row r="152">
          <cell r="O152">
            <v>2673272.2834999999</v>
          </cell>
        </row>
        <row r="157">
          <cell r="O157">
            <v>7125134</v>
          </cell>
        </row>
        <row r="162">
          <cell r="O162">
            <v>799419</v>
          </cell>
        </row>
        <row r="175">
          <cell r="E175">
            <v>207703980.79400009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D8">
            <v>3117144.8115003109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ig o27"/>
      <sheetName val="bordero"/>
      <sheetName val="tvsh"/>
      <sheetName val="furnitor"/>
      <sheetName val="kliente"/>
      <sheetName val="shitje 07"/>
      <sheetName val="leasing"/>
      <sheetName val="Sheet3"/>
      <sheetName val="inv.mjk"/>
      <sheetName val="amort."/>
      <sheetName val="bilanci"/>
      <sheetName val="mj.k.leasing"/>
      <sheetName val="b.rajff.l"/>
      <sheetName val="b.lek.bia"/>
      <sheetName val="rogat"/>
      <sheetName val="Sheet1"/>
      <sheetName val="sig 025"/>
      <sheetName val="det tj"/>
      <sheetName val="pagat"/>
      <sheetName val="b,€.amer"/>
      <sheetName val="b.amer.lek"/>
      <sheetName val="b.€ bia"/>
      <sheetName val="kredia"/>
      <sheetName val="Sheet2"/>
      <sheetName val="imp.07"/>
      <sheetName val="Sheet4"/>
      <sheetName val="bl.vend"/>
      <sheetName val="jeta"/>
      <sheetName val="kont.286"/>
      <sheetName val="kont.148"/>
      <sheetName val="kont 144"/>
      <sheetName val="kont.113"/>
      <sheetName val="b.€.rajf"/>
      <sheetName val="p.4"/>
      <sheetName val="dek.f"/>
      <sheetName val="t.fitimi"/>
      <sheetName val="p.3"/>
      <sheetName val="vodafon "/>
      <sheetName val="furnt"/>
      <sheetName val="dekl"/>
      <sheetName val="permb leising"/>
      <sheetName val="p.arke"/>
      <sheetName val="lik leasing"/>
      <sheetName val="286"/>
      <sheetName val="144"/>
      <sheetName val="148"/>
      <sheetName val="113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 t="str">
            <v>pirun ngites me goma tip 938.13</v>
          </cell>
        </row>
      </sheetData>
      <sheetData sheetId="7"/>
      <sheetData sheetId="8"/>
      <sheetData sheetId="9"/>
      <sheetData sheetId="10"/>
      <sheetData sheetId="11">
        <row r="9">
          <cell r="D9" t="str">
            <v>pirun ngites me goma tip 938.13</v>
          </cell>
          <cell r="H9">
            <v>7323982.9236000003</v>
          </cell>
        </row>
        <row r="10">
          <cell r="D10" t="str">
            <v>ford fiesta</v>
          </cell>
          <cell r="H10">
            <v>1086662.5</v>
          </cell>
        </row>
        <row r="11">
          <cell r="D11" t="str">
            <v>ford ranger pick-up</v>
          </cell>
          <cell r="H11">
            <v>1247457.926</v>
          </cell>
        </row>
        <row r="12">
          <cell r="D12" t="str">
            <v>ford transit pick up</v>
          </cell>
          <cell r="H12">
            <v>2078010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5">
          <cell r="M35">
            <v>86382886.952000022</v>
          </cell>
        </row>
      </sheetData>
      <sheetData sheetId="23"/>
      <sheetData sheetId="24">
        <row r="37">
          <cell r="B37" t="str">
            <v>15.03.07</v>
          </cell>
        </row>
        <row r="39">
          <cell r="E39" t="str">
            <v>traktor</v>
          </cell>
        </row>
        <row r="100">
          <cell r="E100" t="str">
            <v>imp.vadites</v>
          </cell>
          <cell r="J100">
            <v>877765.65720000002</v>
          </cell>
          <cell r="M100">
            <v>27871</v>
          </cell>
        </row>
        <row r="120">
          <cell r="E120" t="str">
            <v xml:space="preserve">pompa </v>
          </cell>
          <cell r="F120">
            <v>2</v>
          </cell>
          <cell r="J120">
            <v>221667.08</v>
          </cell>
          <cell r="M120">
            <v>0</v>
          </cell>
        </row>
        <row r="124">
          <cell r="B124" t="str">
            <v>15.10.07</v>
          </cell>
          <cell r="E124" t="str">
            <v xml:space="preserve">kazan hekuri </v>
          </cell>
          <cell r="J124">
            <v>64617</v>
          </cell>
          <cell r="M124">
            <v>10041</v>
          </cell>
        </row>
        <row r="130">
          <cell r="B130" t="str">
            <v>23.10.07</v>
          </cell>
          <cell r="E130" t="str">
            <v xml:space="preserve">pompa </v>
          </cell>
          <cell r="F130">
            <v>3</v>
          </cell>
          <cell r="J130">
            <v>194343.32</v>
          </cell>
          <cell r="M130">
            <v>13522</v>
          </cell>
        </row>
      </sheetData>
      <sheetData sheetId="25"/>
      <sheetData sheetId="26">
        <row r="28">
          <cell r="B28" t="str">
            <v>30.01.07</v>
          </cell>
          <cell r="D28" t="str">
            <v>matrapik</v>
          </cell>
          <cell r="E28">
            <v>17650</v>
          </cell>
        </row>
        <row r="50">
          <cell r="B50" t="str">
            <v>19.05.07</v>
          </cell>
          <cell r="D50" t="str">
            <v>share</v>
          </cell>
          <cell r="E50">
            <v>41667</v>
          </cell>
        </row>
        <row r="52">
          <cell r="B52" t="str">
            <v>21.05.07</v>
          </cell>
          <cell r="D52" t="str">
            <v>makine korese</v>
          </cell>
          <cell r="E52">
            <v>58333</v>
          </cell>
        </row>
        <row r="56">
          <cell r="B56" t="str">
            <v>13.06.07</v>
          </cell>
          <cell r="D56" t="str">
            <v>aspirator</v>
          </cell>
          <cell r="E56">
            <v>66667</v>
          </cell>
        </row>
        <row r="57">
          <cell r="B57" t="str">
            <v>29.06.07</v>
          </cell>
          <cell r="D57" t="str">
            <v>makine korese</v>
          </cell>
          <cell r="E57">
            <v>10833</v>
          </cell>
        </row>
        <row r="76">
          <cell r="B76" t="str">
            <v>21,11,07</v>
          </cell>
          <cell r="D76" t="str">
            <v>dyer dritare</v>
          </cell>
          <cell r="E76">
            <v>125000</v>
          </cell>
        </row>
        <row r="83">
          <cell r="B83" t="str">
            <v>30,11,07</v>
          </cell>
          <cell r="D83" t="str">
            <v>printer</v>
          </cell>
          <cell r="E83">
            <v>133333</v>
          </cell>
        </row>
      </sheetData>
      <sheetData sheetId="27"/>
      <sheetData sheetId="28">
        <row r="3">
          <cell r="E3">
            <v>122.92</v>
          </cell>
        </row>
      </sheetData>
      <sheetData sheetId="29">
        <row r="6">
          <cell r="E6">
            <v>124.19</v>
          </cell>
        </row>
      </sheetData>
      <sheetData sheetId="30">
        <row r="3">
          <cell r="E3">
            <v>122.2</v>
          </cell>
        </row>
      </sheetData>
      <sheetData sheetId="31">
        <row r="6">
          <cell r="E6">
            <v>125.94</v>
          </cell>
        </row>
      </sheetData>
      <sheetData sheetId="32">
        <row r="189">
          <cell r="D189">
            <v>1776064.2800000003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7">
          <cell r="F277">
            <v>843496.33333333337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kt"/>
      <sheetName val="nd,kap kos"/>
      <sheetName val="amort."/>
      <sheetName val="pas."/>
      <sheetName val="a-sh.nat"/>
      <sheetName val="bilanci"/>
      <sheetName val="tvsh"/>
      <sheetName val="furnt"/>
      <sheetName val="a-sh.fun"/>
      <sheetName val="f.m.dir."/>
      <sheetName val="f.m.ind"/>
      <sheetName val="nd.kap.pakons"/>
      <sheetName val="Sheet9"/>
      <sheetName val="sig o27"/>
      <sheetName val="sig 027"/>
      <sheetName val="sig-025"/>
      <sheetName val="sig 025"/>
      <sheetName val="rogat"/>
      <sheetName val="bordero"/>
      <sheetName val="t.fitimi"/>
      <sheetName val="b.amer.lek"/>
      <sheetName val="bkt €"/>
      <sheetName val="bkt.lek"/>
      <sheetName val="kredia"/>
      <sheetName val="p.arke"/>
      <sheetName val="shitje 08"/>
      <sheetName val="lb shitjeve 09"/>
      <sheetName val="vodafon "/>
      <sheetName val="lb.bl 09"/>
      <sheetName val="lb.blerje"/>
      <sheetName val="Sheet2"/>
      <sheetName val="imp.08"/>
      <sheetName val="mj.k.lizing"/>
      <sheetName val="b.lek.intesa"/>
      <sheetName val="b,€amer"/>
      <sheetName val="lb.shitje 08"/>
      <sheetName val="rajf .b.€"/>
      <sheetName val="permb bankave"/>
      <sheetName val="bl.vend"/>
      <sheetName val="b.rajff.l"/>
      <sheetName val="b.€.rajf"/>
      <sheetName val="sabriu"/>
      <sheetName val="iliri"/>
      <sheetName val="b.€ intesa"/>
      <sheetName val="jeta"/>
      <sheetName val="Sheet1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p.4"/>
      <sheetName val="dek.f"/>
      <sheetName val="det tj"/>
      <sheetName val="pagat"/>
      <sheetName val="p.3"/>
      <sheetName val="dekl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>
            <v>71001214.436666667</v>
          </cell>
        </row>
      </sheetData>
      <sheetData sheetId="8"/>
      <sheetData sheetId="9">
        <row r="8">
          <cell r="C8">
            <v>12040009.870262558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3">
          <cell r="K43">
            <v>8508.43</v>
          </cell>
        </row>
      </sheetData>
      <sheetData sheetId="23">
        <row r="43">
          <cell r="K43">
            <v>8508.43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H40">
            <v>8787600</v>
          </cell>
        </row>
        <row r="41">
          <cell r="H41">
            <v>1088279.1666666665</v>
          </cell>
        </row>
        <row r="42">
          <cell r="H42">
            <v>1826681.6666666667</v>
          </cell>
        </row>
        <row r="43">
          <cell r="H43">
            <v>7420640</v>
          </cell>
        </row>
      </sheetData>
      <sheetData sheetId="33"/>
      <sheetData sheetId="34"/>
      <sheetData sheetId="35">
        <row r="4688">
          <cell r="D4688">
            <v>6806400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0">
          <cell r="F30">
            <v>8875.56</v>
          </cell>
        </row>
      </sheetData>
      <sheetData sheetId="49">
        <row r="39">
          <cell r="F39">
            <v>2767.05</v>
          </cell>
        </row>
      </sheetData>
      <sheetData sheetId="50">
        <row r="35">
          <cell r="F35">
            <v>3228.1400000000003</v>
          </cell>
        </row>
      </sheetData>
      <sheetData sheetId="51">
        <row r="43">
          <cell r="F43">
            <v>5354.44</v>
          </cell>
        </row>
      </sheetData>
      <sheetData sheetId="52">
        <row r="16">
          <cell r="F16">
            <v>15270.070000000002</v>
          </cell>
        </row>
      </sheetData>
      <sheetData sheetId="53">
        <row r="16">
          <cell r="F16">
            <v>1581.6200000000001</v>
          </cell>
        </row>
      </sheetData>
      <sheetData sheetId="54">
        <row r="17">
          <cell r="F17">
            <v>3227.29</v>
          </cell>
        </row>
      </sheetData>
      <sheetData sheetId="55">
        <row r="13">
          <cell r="F13">
            <v>7887.88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odafon "/>
      <sheetName val="Sheet4"/>
      <sheetName val="Sheet5"/>
      <sheetName val="t.fitimi"/>
      <sheetName val="llog.370"/>
      <sheetName val="inv mj.k 2009"/>
      <sheetName val="nd,kap kos"/>
      <sheetName val="pas."/>
      <sheetName val="djeta reps"/>
      <sheetName val="kredia"/>
      <sheetName val="a-sh.fun"/>
      <sheetName val="a-sh.nat"/>
      <sheetName val="furnt"/>
      <sheetName val="bl.vend"/>
      <sheetName val="akt"/>
      <sheetName val="amort."/>
      <sheetName val="imp.09"/>
      <sheetName val="bilanci"/>
      <sheetName val="imp09"/>
      <sheetName val="Sheet7"/>
      <sheetName val="f.m.dir."/>
      <sheetName val="f.m.ind"/>
      <sheetName val="nd.kap.pakons"/>
      <sheetName val="sig-027.1"/>
      <sheetName val="sig o27"/>
      <sheetName val="sig-025"/>
      <sheetName val="sig 027"/>
      <sheetName val="rogat"/>
      <sheetName val="sig alberto"/>
      <sheetName val="sig 025"/>
      <sheetName val="bordero"/>
      <sheetName val="lb.shitje"/>
      <sheetName val="k. 2008"/>
      <sheetName val="tvsh"/>
      <sheetName val="Sheet2"/>
      <sheetName val="furnitore"/>
      <sheetName val="b.€ intesa"/>
      <sheetName val="lb shitjeve 09"/>
      <sheetName val="lb.bl 09"/>
      <sheetName val="k.2009"/>
      <sheetName val="b.lek.intesa"/>
      <sheetName val="b,€amer"/>
      <sheetName val="b.amer.lek"/>
      <sheetName val="b.svilupo.lek"/>
      <sheetName val="svilupo€"/>
      <sheetName val="b.tirana.lek"/>
      <sheetName val="klient "/>
      <sheetName val="btirana€"/>
      <sheetName val="bkt.lek"/>
      <sheetName val="shitje 08"/>
      <sheetName val="lb.blerje"/>
      <sheetName val="permb bankave"/>
      <sheetName val="bkt €"/>
      <sheetName val="mj.k.lizing"/>
      <sheetName val="rajf .b.€"/>
      <sheetName val="09lizing"/>
      <sheetName val="lizing 09"/>
      <sheetName val="b.€.rajf"/>
      <sheetName val="p.arke"/>
      <sheetName val="b.rajff.l"/>
      <sheetName val="sabriu"/>
      <sheetName val="iliri"/>
      <sheetName val="Sheet3"/>
      <sheetName val="jeta"/>
      <sheetName val="Sheet1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8">
          <cell r="G118">
            <v>116150.98</v>
          </cell>
          <cell r="H118" t="str">
            <v>Pompa 2P</v>
          </cell>
        </row>
      </sheetData>
      <sheetData sheetId="5">
        <row r="45">
          <cell r="G45">
            <v>25962.639999999999</v>
          </cell>
        </row>
        <row r="46">
          <cell r="G46">
            <v>82945.94</v>
          </cell>
        </row>
        <row r="47">
          <cell r="G47">
            <v>70253.919999999998</v>
          </cell>
        </row>
        <row r="48">
          <cell r="G48">
            <v>79080</v>
          </cell>
        </row>
        <row r="49">
          <cell r="G49">
            <v>593315.1</v>
          </cell>
        </row>
        <row r="50">
          <cell r="G50">
            <v>197771.7</v>
          </cell>
        </row>
        <row r="51">
          <cell r="G51">
            <v>44270.400000000001</v>
          </cell>
        </row>
        <row r="52">
          <cell r="G52">
            <v>180317.28</v>
          </cell>
        </row>
        <row r="53">
          <cell r="G53">
            <v>1142148</v>
          </cell>
        </row>
        <row r="54">
          <cell r="G54">
            <v>77588.539999999994</v>
          </cell>
        </row>
        <row r="55">
          <cell r="G55">
            <v>28437.620000000003</v>
          </cell>
        </row>
        <row r="56">
          <cell r="G56">
            <v>19834.900000000001</v>
          </cell>
        </row>
        <row r="57">
          <cell r="G57">
            <v>39669.800000000003</v>
          </cell>
        </row>
        <row r="75">
          <cell r="B75" t="str">
            <v>shperndares dheu   cop</v>
          </cell>
          <cell r="F75">
            <v>67039</v>
          </cell>
          <cell r="G75">
            <v>67039</v>
          </cell>
        </row>
      </sheetData>
      <sheetData sheetId="6" refreshError="1"/>
      <sheetData sheetId="7" refreshError="1"/>
      <sheetData sheetId="8" refreshError="1"/>
      <sheetData sheetId="9">
        <row r="11">
          <cell r="L11">
            <v>87792533.545056358</v>
          </cell>
        </row>
      </sheetData>
      <sheetData sheetId="10">
        <row r="70">
          <cell r="K70">
            <v>20342.969999999987</v>
          </cell>
        </row>
      </sheetData>
      <sheetData sheetId="11" refreshError="1"/>
      <sheetData sheetId="12" refreshError="1"/>
      <sheetData sheetId="13" refreshError="1">
        <row r="26">
          <cell r="B26" t="str">
            <v>20.05.09</v>
          </cell>
          <cell r="C26" t="str">
            <v>la prealpina</v>
          </cell>
          <cell r="E26">
            <v>13950</v>
          </cell>
        </row>
        <row r="41">
          <cell r="B41" t="str">
            <v>09.07.09</v>
          </cell>
          <cell r="D41" t="str">
            <v>pompa uji</v>
          </cell>
          <cell r="E41">
            <v>65000</v>
          </cell>
        </row>
        <row r="49">
          <cell r="B49" t="str">
            <v>31.08.09</v>
          </cell>
          <cell r="D49" t="str">
            <v>ford ronger</v>
          </cell>
          <cell r="E49">
            <v>2426783.4</v>
          </cell>
        </row>
        <row r="50">
          <cell r="B50" t="str">
            <v>31.08.09</v>
          </cell>
          <cell r="D50" t="str">
            <v>ford tranzit</v>
          </cell>
          <cell r="E50">
            <v>2592245.9</v>
          </cell>
        </row>
        <row r="58">
          <cell r="B58" t="str">
            <v>15.09.09</v>
          </cell>
          <cell r="C58" t="str">
            <v>la prealpina</v>
          </cell>
          <cell r="E58">
            <v>22692</v>
          </cell>
        </row>
        <row r="91">
          <cell r="C91" t="str">
            <v>eurosistemalbania</v>
          </cell>
          <cell r="E91">
            <v>183400</v>
          </cell>
        </row>
        <row r="98">
          <cell r="B98">
            <v>0.46607638888888886</v>
          </cell>
          <cell r="C98" t="str">
            <v>iva elektrika</v>
          </cell>
          <cell r="E98">
            <v>49450</v>
          </cell>
        </row>
        <row r="99">
          <cell r="F99">
            <v>6000</v>
          </cell>
        </row>
        <row r="103">
          <cell r="C103" t="str">
            <v>iva elektrika</v>
          </cell>
          <cell r="E103">
            <v>9200</v>
          </cell>
        </row>
        <row r="121">
          <cell r="B121" t="str">
            <v>21.12.09</v>
          </cell>
          <cell r="E121">
            <v>37367</v>
          </cell>
        </row>
        <row r="125">
          <cell r="B125" t="str">
            <v>30.12.09</v>
          </cell>
          <cell r="E125">
            <v>270600</v>
          </cell>
        </row>
        <row r="126">
          <cell r="C126" t="str">
            <v>praktiker</v>
          </cell>
        </row>
        <row r="177">
          <cell r="C177" t="str">
            <v>univers reklama    tabele</v>
          </cell>
        </row>
        <row r="184">
          <cell r="C184" t="str">
            <v xml:space="preserve">kmpjutri turit </v>
          </cell>
          <cell r="D184">
            <v>41667</v>
          </cell>
        </row>
        <row r="186">
          <cell r="D186">
            <v>57833.33</v>
          </cell>
        </row>
      </sheetData>
      <sheetData sheetId="14">
        <row r="26">
          <cell r="B26" t="str">
            <v>20.05.09</v>
          </cell>
        </row>
      </sheetData>
      <sheetData sheetId="15" refreshError="1"/>
      <sheetData sheetId="16" refreshError="1">
        <row r="53">
          <cell r="B53" t="str">
            <v>05.09.09</v>
          </cell>
        </row>
        <row r="60">
          <cell r="B60" t="str">
            <v>12.09.09</v>
          </cell>
          <cell r="E60" t="str">
            <v>pjese mak.mb.bari  cop</v>
          </cell>
          <cell r="N60">
            <v>170121.01</v>
          </cell>
        </row>
        <row r="63">
          <cell r="B63" t="str">
            <v>12.09.09</v>
          </cell>
          <cell r="E63" t="str">
            <v>makine per mbjellje basri</v>
          </cell>
          <cell r="N63">
            <v>1936326</v>
          </cell>
        </row>
        <row r="71">
          <cell r="B71" t="str">
            <v>16.09.09</v>
          </cell>
          <cell r="E71" t="str">
            <v>mak perd.mbj.bari</v>
          </cell>
          <cell r="N71">
            <v>615678</v>
          </cell>
        </row>
        <row r="72">
          <cell r="E72" t="str">
            <v>makine per mbjellje basri</v>
          </cell>
          <cell r="N72">
            <v>3981381</v>
          </cell>
        </row>
      </sheetData>
      <sheetData sheetId="17">
        <row r="11">
          <cell r="L11">
            <v>87792533.545056358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4">
          <cell r="E14">
            <v>999485.02200599993</v>
          </cell>
        </row>
      </sheetData>
      <sheetData sheetId="37">
        <row r="53">
          <cell r="D53" t="str">
            <v>drini a</v>
          </cell>
        </row>
      </sheetData>
      <sheetData sheetId="38" refreshError="1"/>
      <sheetData sheetId="39" refreshError="1"/>
      <sheetData sheetId="40">
        <row r="11">
          <cell r="D11">
            <v>151510.5</v>
          </cell>
        </row>
      </sheetData>
      <sheetData sheetId="41" refreshError="1"/>
      <sheetData sheetId="42" refreshError="1"/>
      <sheetData sheetId="43">
        <row r="7">
          <cell r="F7">
            <v>1094927</v>
          </cell>
        </row>
      </sheetData>
      <sheetData sheetId="44" refreshError="1"/>
      <sheetData sheetId="45">
        <row r="12">
          <cell r="F12">
            <v>42000</v>
          </cell>
        </row>
      </sheetData>
      <sheetData sheetId="46">
        <row r="2">
          <cell r="A2" t="str">
            <v>turizmi plazh 2003</v>
          </cell>
        </row>
      </sheetData>
      <sheetData sheetId="47">
        <row r="8">
          <cell r="E8">
            <v>1950000</v>
          </cell>
        </row>
      </sheetData>
      <sheetData sheetId="48">
        <row r="7">
          <cell r="C7">
            <v>714240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2">
          <cell r="E22">
            <v>16422274.124999998</v>
          </cell>
        </row>
      </sheetData>
      <sheetData sheetId="55" refreshError="1"/>
      <sheetData sheetId="56" refreshError="1"/>
      <sheetData sheetId="57">
        <row r="26">
          <cell r="S26">
            <v>1792387.85</v>
          </cell>
        </row>
      </sheetData>
      <sheetData sheetId="58" refreshError="1"/>
      <sheetData sheetId="59">
        <row r="78">
          <cell r="C78">
            <v>230097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odafon "/>
      <sheetName val="Sheet4"/>
      <sheetName val="Sheet5"/>
      <sheetName val="klient "/>
      <sheetName val="djeta reps"/>
      <sheetName val="f.m.ind"/>
      <sheetName val="pas."/>
      <sheetName val="a-sh.nat"/>
      <sheetName val="akt"/>
      <sheetName val="bilanci"/>
      <sheetName val="klient 10"/>
      <sheetName val="shitje 10"/>
      <sheetName val="furnt"/>
      <sheetName val="a-sh.fun"/>
      <sheetName val="618"/>
      <sheetName val="f.m.dir."/>
      <sheetName val="nd,kap kos"/>
      <sheetName val="llog.370"/>
      <sheetName val="blerjet 2010"/>
      <sheetName val="P2"/>
      <sheetName val="k.2010"/>
      <sheetName val="661"/>
      <sheetName val="b.€ intesa"/>
      <sheetName val="lb.bl 10"/>
      <sheetName val="638"/>
      <sheetName val="b.lek.intesa"/>
      <sheetName val="AAM2010"/>
      <sheetName val="amort."/>
      <sheetName val="bl.vend"/>
      <sheetName val="PI"/>
      <sheetName val="Sheet1"/>
      <sheetName val="imp.10"/>
      <sheetName val="inv mj.k 2009"/>
      <sheetName val="nd.kap.pakons"/>
      <sheetName val="sig-027.1"/>
      <sheetName val="sig-025"/>
      <sheetName val="sig alberto"/>
      <sheetName val="bordero"/>
      <sheetName val="k. 2008"/>
      <sheetName val="KASA"/>
      <sheetName val="p.arke"/>
      <sheetName val="bkt.lek"/>
      <sheetName val="t.fitimi"/>
      <sheetName val="furnitore"/>
      <sheetName val="bkt €"/>
      <sheetName val="tvsh"/>
      <sheetName val="svilupo€"/>
      <sheetName val="lizing 10"/>
      <sheetName val="rogat"/>
      <sheetName val="b.rajff.l"/>
      <sheetName val="rajf .b.€"/>
      <sheetName val="mj.k.lizing"/>
      <sheetName val="kredia"/>
      <sheetName val="k.2009"/>
      <sheetName val="B&gt;ProcLEK"/>
      <sheetName val="b.€.rajf"/>
      <sheetName val="b.p.cred.lek"/>
      <sheetName val="b.svilupo.lek"/>
      <sheetName val="b.tirana.lek"/>
      <sheetName val="permb bankave"/>
      <sheetName val="btirana€"/>
      <sheetName val="09lizing"/>
      <sheetName val="lizing 09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G5">
            <v>3406779.7725999802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48">
          <cell r="C148" t="str">
            <v>26.06.2010</v>
          </cell>
        </row>
        <row r="232">
          <cell r="C232" t="str">
            <v>12.02.2010</v>
          </cell>
        </row>
        <row r="327">
          <cell r="E327">
            <v>34050</v>
          </cell>
          <cell r="H327" t="str">
            <v>kasa</v>
          </cell>
        </row>
        <row r="329">
          <cell r="D329" t="str">
            <v>kompjuter turi</v>
          </cell>
          <cell r="E329">
            <v>154210</v>
          </cell>
        </row>
        <row r="330">
          <cell r="E330">
            <v>295783</v>
          </cell>
          <cell r="H330" t="str">
            <v>sistemi  kamer vezhgimi</v>
          </cell>
        </row>
        <row r="341">
          <cell r="H341" t="str">
            <v>kompjuter +……..</v>
          </cell>
        </row>
      </sheetData>
      <sheetData sheetId="19"/>
      <sheetData sheetId="20"/>
      <sheetData sheetId="21"/>
      <sheetData sheetId="22">
        <row r="8">
          <cell r="A8" t="str">
            <v>22.01.10</v>
          </cell>
        </row>
      </sheetData>
      <sheetData sheetId="23"/>
      <sheetData sheetId="24"/>
      <sheetData sheetId="25">
        <row r="7">
          <cell r="A7" t="str">
            <v>28.12.09</v>
          </cell>
        </row>
      </sheetData>
      <sheetData sheetId="26"/>
      <sheetData sheetId="27"/>
      <sheetData sheetId="28">
        <row r="101">
          <cell r="E101">
            <v>24025</v>
          </cell>
        </row>
        <row r="364">
          <cell r="B364" t="str">
            <v>11.12.10</v>
          </cell>
          <cell r="D364" t="str">
            <v>stufa alogenia solaria</v>
          </cell>
          <cell r="E364">
            <v>6733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14">
          <cell r="J214">
            <v>4753687</v>
          </cell>
        </row>
      </sheetData>
      <sheetData sheetId="41">
        <row r="19">
          <cell r="A19" t="str">
            <v>26.02.10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14">
          <cell r="E114">
            <v>1812470.0432000004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36">
          <cell r="D136">
            <v>34297.166666666664</v>
          </cell>
        </row>
      </sheetData>
      <sheetData sheetId="62">
        <row r="4">
          <cell r="B4">
            <v>9801.4599999999991</v>
          </cell>
        </row>
      </sheetData>
      <sheetData sheetId="63"/>
      <sheetData sheetId="64"/>
      <sheetData sheetId="65">
        <row r="12">
          <cell r="F12">
            <v>8164.05</v>
          </cell>
        </row>
      </sheetData>
      <sheetData sheetId="66">
        <row r="21">
          <cell r="F21">
            <v>5173.37</v>
          </cell>
        </row>
      </sheetData>
      <sheetData sheetId="67">
        <row r="18">
          <cell r="F18">
            <v>1506.96</v>
          </cell>
        </row>
      </sheetData>
      <sheetData sheetId="68">
        <row r="27">
          <cell r="F27">
            <v>8129.5</v>
          </cell>
        </row>
      </sheetData>
      <sheetData sheetId="69">
        <row r="33">
          <cell r="F33">
            <v>18987.73</v>
          </cell>
        </row>
      </sheetData>
      <sheetData sheetId="70">
        <row r="33">
          <cell r="F33">
            <v>1593.68</v>
          </cell>
        </row>
      </sheetData>
      <sheetData sheetId="71">
        <row r="34">
          <cell r="F34">
            <v>2656.23</v>
          </cell>
        </row>
      </sheetData>
      <sheetData sheetId="72">
        <row r="33">
          <cell r="F33">
            <v>8859.93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mpolek"/>
      <sheetName val="kredi 12"/>
      <sheetName val="KREDI 11"/>
      <sheetName val="empoE"/>
      <sheetName val="b.€ intesa"/>
      <sheetName val="agriko $"/>
      <sheetName val="bkt.lek"/>
      <sheetName val="arka 12"/>
      <sheetName val="lb.bl 12"/>
      <sheetName val="veneto lek "/>
      <sheetName val="venetoE "/>
      <sheetName val="permb bankave"/>
      <sheetName val="amort."/>
      <sheetName val="btirana€"/>
      <sheetName val="AAM2011"/>
      <sheetName val="Foglio1"/>
      <sheetName val="KASA"/>
      <sheetName val="shitje 12"/>
      <sheetName val="b.lek.intesa"/>
      <sheetName val="b.tirana.lek"/>
      <sheetName val="rajf .b.€"/>
      <sheetName val="b.rajff.l"/>
      <sheetName val="bkt €"/>
      <sheetName val="saldot"/>
      <sheetName val="bilanci"/>
      <sheetName val="b.p.cred.lek"/>
      <sheetName val="akt"/>
      <sheetName val="f.m.dir."/>
      <sheetName val="pas."/>
      <sheetName val="t.fitimi"/>
      <sheetName val="rogat"/>
      <sheetName val="sig-025"/>
      <sheetName val="furnt"/>
      <sheetName val="a-sh.nat"/>
      <sheetName val="shp.tjera"/>
      <sheetName val="a-sh.fun"/>
      <sheetName val="klient 12"/>
      <sheetName val="Sheet1"/>
      <sheetName val="Sheet3"/>
      <sheetName val="imp.12"/>
      <sheetName val="tvsh"/>
      <sheetName val="mj.k.lizing"/>
      <sheetName val="bl.vend"/>
      <sheetName val="nd,kap kos"/>
      <sheetName val="f.m.ind"/>
      <sheetName val="638"/>
      <sheetName val="P2"/>
      <sheetName val="PI"/>
      <sheetName val="mjk.11"/>
      <sheetName val="inv mj.k 2011"/>
      <sheetName val="vodafon "/>
      <sheetName val="sig-25.12"/>
      <sheetName val="Sheet2"/>
      <sheetName val="svilupo€"/>
      <sheetName val="LISTA"/>
      <sheetName val="sig-027.1"/>
      <sheetName val="B&gt;ProcLEK"/>
      <sheetName val="b.€.rajf"/>
      <sheetName val="b.svilupo.lek"/>
      <sheetName val="shpjegime"/>
      <sheetName val="shpjegues"/>
      <sheetName val="klient "/>
      <sheetName val="618"/>
      <sheetName val="llog.370"/>
      <sheetName val="k.2010"/>
      <sheetName val="661"/>
      <sheetName val="nd.kap.pakons"/>
      <sheetName val="sig alberto"/>
      <sheetName val="bordero"/>
      <sheetName val="k. 2008"/>
      <sheetName val="furnitore"/>
      <sheetName val="kredia"/>
      <sheetName val="k.2009"/>
      <sheetName val="inv.mjk"/>
      <sheetName val="lizing 07-11"/>
      <sheetName val="kont678"/>
      <sheetName val="kont.286"/>
      <sheetName val="kont 559"/>
      <sheetName val="kont 543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0">
          <cell r="F150">
            <v>27833</v>
          </cell>
        </row>
        <row r="151">
          <cell r="F151">
            <v>36908</v>
          </cell>
        </row>
        <row r="152">
          <cell r="F152">
            <v>17375</v>
          </cell>
        </row>
        <row r="153">
          <cell r="F153">
            <v>259737.1</v>
          </cell>
        </row>
        <row r="160">
          <cell r="F160">
            <v>289475</v>
          </cell>
        </row>
      </sheetData>
      <sheetData sheetId="13"/>
      <sheetData sheetId="14">
        <row r="10">
          <cell r="G10">
            <v>14193694</v>
          </cell>
        </row>
      </sheetData>
      <sheetData sheetId="15">
        <row r="28">
          <cell r="X28">
            <v>27833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D5">
            <v>10500000</v>
          </cell>
        </row>
      </sheetData>
      <sheetData sheetId="25"/>
      <sheetData sheetId="26">
        <row r="8">
          <cell r="D8">
            <v>1688426.2318198681</v>
          </cell>
        </row>
      </sheetData>
      <sheetData sheetId="27">
        <row r="11">
          <cell r="C11">
            <v>794261097.25452006</v>
          </cell>
        </row>
      </sheetData>
      <sheetData sheetId="28">
        <row r="14">
          <cell r="E14">
            <v>86115</v>
          </cell>
        </row>
      </sheetData>
      <sheetData sheetId="29"/>
      <sheetData sheetId="30"/>
      <sheetData sheetId="31"/>
      <sheetData sheetId="32"/>
      <sheetData sheetId="33">
        <row r="11">
          <cell r="C11">
            <v>6312568.0027000904</v>
          </cell>
        </row>
      </sheetData>
      <sheetData sheetId="34"/>
      <sheetData sheetId="35"/>
      <sheetData sheetId="36"/>
      <sheetData sheetId="37"/>
      <sheetData sheetId="38"/>
      <sheetData sheetId="39">
        <row r="59">
          <cell r="O59">
            <v>7117181.2750000004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>
        <row r="14">
          <cell r="H14">
            <v>33836909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"/>
      <sheetName val="pasivi"/>
      <sheetName val="ardh nat"/>
      <sheetName val="nd kap"/>
      <sheetName val="fluk.m.d"/>
      <sheetName val="AAM12"/>
      <sheetName val="P2"/>
      <sheetName val="P1"/>
      <sheetName val="Shp.tjera"/>
      <sheetName val="amort"/>
      <sheetName val="shpjegus"/>
      <sheetName val="shpjegime"/>
      <sheetName val="Sheet9"/>
      <sheetName val="bilanci konsol.akt"/>
      <sheetName val="bil.koss pasiv"/>
      <sheetName val="ardh nat kons "/>
      <sheetName val=" fluk.par.kons"/>
      <sheetName val="nd kap kosova "/>
      <sheetName val="akt-apsnkosova"/>
      <sheetName val="pash kosova "/>
      <sheetName val="fluks.parave kosova"/>
      <sheetName val="Sheet1"/>
      <sheetName val="Sheet2"/>
      <sheetName val="Foglio1"/>
    </sheetNames>
    <sheetDataSet>
      <sheetData sheetId="0"/>
      <sheetData sheetId="1">
        <row r="16">
          <cell r="D16">
            <v>85000000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ASA"/>
      <sheetName val="shitje 11"/>
      <sheetName val="venetoE "/>
      <sheetName val="veneto lek "/>
      <sheetName val="bkt €"/>
      <sheetName val="lb.bl 11"/>
      <sheetName val="empolek"/>
      <sheetName val="empoE"/>
      <sheetName val="bkt.lek"/>
      <sheetName val="permb bankave"/>
      <sheetName val="btirana€"/>
      <sheetName val="b.€ intesa"/>
      <sheetName val="b.tirana.lek"/>
      <sheetName val="b.lek.intesa"/>
      <sheetName val="KREDI 11"/>
      <sheetName val="klient 11"/>
      <sheetName val="rogat"/>
      <sheetName val="blerjet 2011"/>
      <sheetName val="Foglio1"/>
      <sheetName val="mj.k.lizing"/>
      <sheetName val="bl.vend"/>
      <sheetName val="furnt"/>
      <sheetName val="f.m.dir."/>
      <sheetName val="nd,kap kos"/>
      <sheetName val="PI"/>
      <sheetName val="f.m.ind"/>
      <sheetName val="a-sh.nat"/>
      <sheetName val="a-sh.fun"/>
      <sheetName val="pas."/>
      <sheetName val="akt"/>
      <sheetName val="bilanci"/>
      <sheetName val="b.rajff.l"/>
      <sheetName val="saldot"/>
      <sheetName val="638"/>
      <sheetName val="P2"/>
      <sheetName val="tvsh"/>
      <sheetName val="mjk.11"/>
      <sheetName val="p.arke"/>
      <sheetName val="inv mj.k 2011"/>
      <sheetName val="imp.11"/>
      <sheetName val="amort."/>
      <sheetName val="AAM2011"/>
      <sheetName val="vodafon "/>
      <sheetName val="svilupo€"/>
      <sheetName val="sig-025"/>
      <sheetName val="LISTA"/>
      <sheetName val="sig-027.1"/>
      <sheetName val="b.p.cred.lek"/>
      <sheetName val="B&gt;ProcLEK"/>
      <sheetName val="b.€.rajf"/>
      <sheetName val="b.svilupo.lek"/>
      <sheetName val="rajf .b.€"/>
      <sheetName val="shpjegime"/>
      <sheetName val="shpjegues"/>
      <sheetName val="klient "/>
      <sheetName val="618"/>
      <sheetName val="llog.370"/>
      <sheetName val="k.2010"/>
      <sheetName val="661"/>
      <sheetName val="nd.kap.pakons"/>
      <sheetName val="sig alberto"/>
      <sheetName val="bordero"/>
      <sheetName val="k. 2008"/>
      <sheetName val="t.fitimi"/>
      <sheetName val="furnitore"/>
      <sheetName val="kredia"/>
      <sheetName val="k.2009"/>
      <sheetName val="inv.mjk"/>
      <sheetName val="kont678"/>
      <sheetName val="lizing 07-11"/>
      <sheetName val="kont.286"/>
      <sheetName val="kont 543"/>
      <sheetName val="kont 559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>
        <row r="192">
          <cell r="D192" t="str">
            <v>Energji Ashta sh.p.k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G5">
            <v>3406779.7725999802</v>
          </cell>
        </row>
      </sheetData>
      <sheetData sheetId="16"/>
      <sheetData sheetId="17"/>
      <sheetData sheetId="18">
        <row r="225">
          <cell r="R225">
            <v>659729.5</v>
          </cell>
        </row>
      </sheetData>
      <sheetData sheetId="19"/>
      <sheetData sheetId="20"/>
      <sheetData sheetId="21"/>
      <sheetData sheetId="22">
        <row r="11">
          <cell r="C11">
            <v>347557111.64690006</v>
          </cell>
        </row>
      </sheetData>
      <sheetData sheetId="23"/>
      <sheetData sheetId="24"/>
      <sheetData sheetId="25"/>
      <sheetData sheetId="26">
        <row r="8">
          <cell r="C8">
            <v>356259925.18999994</v>
          </cell>
        </row>
      </sheetData>
      <sheetData sheetId="27">
        <row r="9">
          <cell r="C9">
            <v>356259925.18999994</v>
          </cell>
        </row>
      </sheetData>
      <sheetData sheetId="28">
        <row r="11">
          <cell r="D11">
            <v>72106776.049685359</v>
          </cell>
        </row>
      </sheetData>
      <sheetData sheetId="29">
        <row r="8">
          <cell r="D8">
            <v>3392606.1470600367</v>
          </cell>
        </row>
      </sheetData>
      <sheetData sheetId="30">
        <row r="5">
          <cell r="H5">
            <v>10500000</v>
          </cell>
        </row>
      </sheetData>
      <sheetData sheetId="31"/>
      <sheetData sheetId="32">
        <row r="7">
          <cell r="BY7">
            <v>20120</v>
          </cell>
        </row>
      </sheetData>
      <sheetData sheetId="33"/>
      <sheetData sheetId="34">
        <row r="8">
          <cell r="E8">
            <v>142276269.48660001</v>
          </cell>
        </row>
      </sheetData>
      <sheetData sheetId="35"/>
      <sheetData sheetId="36"/>
      <sheetData sheetId="37"/>
      <sheetData sheetId="38"/>
      <sheetData sheetId="39">
        <row r="128">
          <cell r="K128">
            <v>32495</v>
          </cell>
        </row>
      </sheetData>
      <sheetData sheetId="40">
        <row r="6">
          <cell r="I6">
            <v>5324731</v>
          </cell>
        </row>
      </sheetData>
      <sheetData sheetId="41">
        <row r="27">
          <cell r="E27">
            <v>471627.20000000007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2">
          <cell r="D22">
            <v>0</v>
          </cell>
        </row>
      </sheetData>
      <sheetData sheetId="56">
        <row r="86">
          <cell r="E86">
            <v>67039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B14" sqref="B14"/>
    </sheetView>
  </sheetViews>
  <sheetFormatPr defaultColWidth="8" defaultRowHeight="18.75"/>
  <cols>
    <col min="1" max="4" width="8" style="269"/>
    <col min="5" max="5" width="12.5703125" style="269" customWidth="1"/>
    <col min="6" max="6" width="8" style="269"/>
    <col min="7" max="7" width="11.5703125" style="269" bestFit="1" customWidth="1"/>
    <col min="8" max="9" width="8" style="269"/>
    <col min="10" max="10" width="16.28515625" style="269" customWidth="1"/>
    <col min="11" max="260" width="8" style="269"/>
    <col min="261" max="261" width="12.5703125" style="269" customWidth="1"/>
    <col min="262" max="262" width="8" style="269"/>
    <col min="263" max="263" width="11.5703125" style="269" bestFit="1" customWidth="1"/>
    <col min="264" max="265" width="8" style="269"/>
    <col min="266" max="266" width="13.140625" style="269" customWidth="1"/>
    <col min="267" max="516" width="8" style="269"/>
    <col min="517" max="517" width="12.5703125" style="269" customWidth="1"/>
    <col min="518" max="518" width="8" style="269"/>
    <col min="519" max="519" width="11.5703125" style="269" bestFit="1" customWidth="1"/>
    <col min="520" max="521" width="8" style="269"/>
    <col min="522" max="522" width="13.140625" style="269" customWidth="1"/>
    <col min="523" max="772" width="8" style="269"/>
    <col min="773" max="773" width="12.5703125" style="269" customWidth="1"/>
    <col min="774" max="774" width="8" style="269"/>
    <col min="775" max="775" width="11.5703125" style="269" bestFit="1" customWidth="1"/>
    <col min="776" max="777" width="8" style="269"/>
    <col min="778" max="778" width="13.140625" style="269" customWidth="1"/>
    <col min="779" max="1028" width="8" style="269"/>
    <col min="1029" max="1029" width="12.5703125" style="269" customWidth="1"/>
    <col min="1030" max="1030" width="8" style="269"/>
    <col min="1031" max="1031" width="11.5703125" style="269" bestFit="1" customWidth="1"/>
    <col min="1032" max="1033" width="8" style="269"/>
    <col min="1034" max="1034" width="13.140625" style="269" customWidth="1"/>
    <col min="1035" max="1284" width="8" style="269"/>
    <col min="1285" max="1285" width="12.5703125" style="269" customWidth="1"/>
    <col min="1286" max="1286" width="8" style="269"/>
    <col min="1287" max="1287" width="11.5703125" style="269" bestFit="1" customWidth="1"/>
    <col min="1288" max="1289" width="8" style="269"/>
    <col min="1290" max="1290" width="13.140625" style="269" customWidth="1"/>
    <col min="1291" max="1540" width="8" style="269"/>
    <col min="1541" max="1541" width="12.5703125" style="269" customWidth="1"/>
    <col min="1542" max="1542" width="8" style="269"/>
    <col min="1543" max="1543" width="11.5703125" style="269" bestFit="1" customWidth="1"/>
    <col min="1544" max="1545" width="8" style="269"/>
    <col min="1546" max="1546" width="13.140625" style="269" customWidth="1"/>
    <col min="1547" max="1796" width="8" style="269"/>
    <col min="1797" max="1797" width="12.5703125" style="269" customWidth="1"/>
    <col min="1798" max="1798" width="8" style="269"/>
    <col min="1799" max="1799" width="11.5703125" style="269" bestFit="1" customWidth="1"/>
    <col min="1800" max="1801" width="8" style="269"/>
    <col min="1802" max="1802" width="13.140625" style="269" customWidth="1"/>
    <col min="1803" max="2052" width="8" style="269"/>
    <col min="2053" max="2053" width="12.5703125" style="269" customWidth="1"/>
    <col min="2054" max="2054" width="8" style="269"/>
    <col min="2055" max="2055" width="11.5703125" style="269" bestFit="1" customWidth="1"/>
    <col min="2056" max="2057" width="8" style="269"/>
    <col min="2058" max="2058" width="13.140625" style="269" customWidth="1"/>
    <col min="2059" max="2308" width="8" style="269"/>
    <col min="2309" max="2309" width="12.5703125" style="269" customWidth="1"/>
    <col min="2310" max="2310" width="8" style="269"/>
    <col min="2311" max="2311" width="11.5703125" style="269" bestFit="1" customWidth="1"/>
    <col min="2312" max="2313" width="8" style="269"/>
    <col min="2314" max="2314" width="13.140625" style="269" customWidth="1"/>
    <col min="2315" max="2564" width="8" style="269"/>
    <col min="2565" max="2565" width="12.5703125" style="269" customWidth="1"/>
    <col min="2566" max="2566" width="8" style="269"/>
    <col min="2567" max="2567" width="11.5703125" style="269" bestFit="1" customWidth="1"/>
    <col min="2568" max="2569" width="8" style="269"/>
    <col min="2570" max="2570" width="13.140625" style="269" customWidth="1"/>
    <col min="2571" max="2820" width="8" style="269"/>
    <col min="2821" max="2821" width="12.5703125" style="269" customWidth="1"/>
    <col min="2822" max="2822" width="8" style="269"/>
    <col min="2823" max="2823" width="11.5703125" style="269" bestFit="1" customWidth="1"/>
    <col min="2824" max="2825" width="8" style="269"/>
    <col min="2826" max="2826" width="13.140625" style="269" customWidth="1"/>
    <col min="2827" max="3076" width="8" style="269"/>
    <col min="3077" max="3077" width="12.5703125" style="269" customWidth="1"/>
    <col min="3078" max="3078" width="8" style="269"/>
    <col min="3079" max="3079" width="11.5703125" style="269" bestFit="1" customWidth="1"/>
    <col min="3080" max="3081" width="8" style="269"/>
    <col min="3082" max="3082" width="13.140625" style="269" customWidth="1"/>
    <col min="3083" max="3332" width="8" style="269"/>
    <col min="3333" max="3333" width="12.5703125" style="269" customWidth="1"/>
    <col min="3334" max="3334" width="8" style="269"/>
    <col min="3335" max="3335" width="11.5703125" style="269" bestFit="1" customWidth="1"/>
    <col min="3336" max="3337" width="8" style="269"/>
    <col min="3338" max="3338" width="13.140625" style="269" customWidth="1"/>
    <col min="3339" max="3588" width="8" style="269"/>
    <col min="3589" max="3589" width="12.5703125" style="269" customWidth="1"/>
    <col min="3590" max="3590" width="8" style="269"/>
    <col min="3591" max="3591" width="11.5703125" style="269" bestFit="1" customWidth="1"/>
    <col min="3592" max="3593" width="8" style="269"/>
    <col min="3594" max="3594" width="13.140625" style="269" customWidth="1"/>
    <col min="3595" max="3844" width="8" style="269"/>
    <col min="3845" max="3845" width="12.5703125" style="269" customWidth="1"/>
    <col min="3846" max="3846" width="8" style="269"/>
    <col min="3847" max="3847" width="11.5703125" style="269" bestFit="1" customWidth="1"/>
    <col min="3848" max="3849" width="8" style="269"/>
    <col min="3850" max="3850" width="13.140625" style="269" customWidth="1"/>
    <col min="3851" max="4100" width="8" style="269"/>
    <col min="4101" max="4101" width="12.5703125" style="269" customWidth="1"/>
    <col min="4102" max="4102" width="8" style="269"/>
    <col min="4103" max="4103" width="11.5703125" style="269" bestFit="1" customWidth="1"/>
    <col min="4104" max="4105" width="8" style="269"/>
    <col min="4106" max="4106" width="13.140625" style="269" customWidth="1"/>
    <col min="4107" max="4356" width="8" style="269"/>
    <col min="4357" max="4357" width="12.5703125" style="269" customWidth="1"/>
    <col min="4358" max="4358" width="8" style="269"/>
    <col min="4359" max="4359" width="11.5703125" style="269" bestFit="1" customWidth="1"/>
    <col min="4360" max="4361" width="8" style="269"/>
    <col min="4362" max="4362" width="13.140625" style="269" customWidth="1"/>
    <col min="4363" max="4612" width="8" style="269"/>
    <col min="4613" max="4613" width="12.5703125" style="269" customWidth="1"/>
    <col min="4614" max="4614" width="8" style="269"/>
    <col min="4615" max="4615" width="11.5703125" style="269" bestFit="1" customWidth="1"/>
    <col min="4616" max="4617" width="8" style="269"/>
    <col min="4618" max="4618" width="13.140625" style="269" customWidth="1"/>
    <col min="4619" max="4868" width="8" style="269"/>
    <col min="4869" max="4869" width="12.5703125" style="269" customWidth="1"/>
    <col min="4870" max="4870" width="8" style="269"/>
    <col min="4871" max="4871" width="11.5703125" style="269" bestFit="1" customWidth="1"/>
    <col min="4872" max="4873" width="8" style="269"/>
    <col min="4874" max="4874" width="13.140625" style="269" customWidth="1"/>
    <col min="4875" max="5124" width="8" style="269"/>
    <col min="5125" max="5125" width="12.5703125" style="269" customWidth="1"/>
    <col min="5126" max="5126" width="8" style="269"/>
    <col min="5127" max="5127" width="11.5703125" style="269" bestFit="1" customWidth="1"/>
    <col min="5128" max="5129" width="8" style="269"/>
    <col min="5130" max="5130" width="13.140625" style="269" customWidth="1"/>
    <col min="5131" max="5380" width="8" style="269"/>
    <col min="5381" max="5381" width="12.5703125" style="269" customWidth="1"/>
    <col min="5382" max="5382" width="8" style="269"/>
    <col min="5383" max="5383" width="11.5703125" style="269" bestFit="1" customWidth="1"/>
    <col min="5384" max="5385" width="8" style="269"/>
    <col min="5386" max="5386" width="13.140625" style="269" customWidth="1"/>
    <col min="5387" max="5636" width="8" style="269"/>
    <col min="5637" max="5637" width="12.5703125" style="269" customWidth="1"/>
    <col min="5638" max="5638" width="8" style="269"/>
    <col min="5639" max="5639" width="11.5703125" style="269" bestFit="1" customWidth="1"/>
    <col min="5640" max="5641" width="8" style="269"/>
    <col min="5642" max="5642" width="13.140625" style="269" customWidth="1"/>
    <col min="5643" max="5892" width="8" style="269"/>
    <col min="5893" max="5893" width="12.5703125" style="269" customWidth="1"/>
    <col min="5894" max="5894" width="8" style="269"/>
    <col min="5895" max="5895" width="11.5703125" style="269" bestFit="1" customWidth="1"/>
    <col min="5896" max="5897" width="8" style="269"/>
    <col min="5898" max="5898" width="13.140625" style="269" customWidth="1"/>
    <col min="5899" max="6148" width="8" style="269"/>
    <col min="6149" max="6149" width="12.5703125" style="269" customWidth="1"/>
    <col min="6150" max="6150" width="8" style="269"/>
    <col min="6151" max="6151" width="11.5703125" style="269" bestFit="1" customWidth="1"/>
    <col min="6152" max="6153" width="8" style="269"/>
    <col min="6154" max="6154" width="13.140625" style="269" customWidth="1"/>
    <col min="6155" max="6404" width="8" style="269"/>
    <col min="6405" max="6405" width="12.5703125" style="269" customWidth="1"/>
    <col min="6406" max="6406" width="8" style="269"/>
    <col min="6407" max="6407" width="11.5703125" style="269" bestFit="1" customWidth="1"/>
    <col min="6408" max="6409" width="8" style="269"/>
    <col min="6410" max="6410" width="13.140625" style="269" customWidth="1"/>
    <col min="6411" max="6660" width="8" style="269"/>
    <col min="6661" max="6661" width="12.5703125" style="269" customWidth="1"/>
    <col min="6662" max="6662" width="8" style="269"/>
    <col min="6663" max="6663" width="11.5703125" style="269" bestFit="1" customWidth="1"/>
    <col min="6664" max="6665" width="8" style="269"/>
    <col min="6666" max="6666" width="13.140625" style="269" customWidth="1"/>
    <col min="6667" max="6916" width="8" style="269"/>
    <col min="6917" max="6917" width="12.5703125" style="269" customWidth="1"/>
    <col min="6918" max="6918" width="8" style="269"/>
    <col min="6919" max="6919" width="11.5703125" style="269" bestFit="1" customWidth="1"/>
    <col min="6920" max="6921" width="8" style="269"/>
    <col min="6922" max="6922" width="13.140625" style="269" customWidth="1"/>
    <col min="6923" max="7172" width="8" style="269"/>
    <col min="7173" max="7173" width="12.5703125" style="269" customWidth="1"/>
    <col min="7174" max="7174" width="8" style="269"/>
    <col min="7175" max="7175" width="11.5703125" style="269" bestFit="1" customWidth="1"/>
    <col min="7176" max="7177" width="8" style="269"/>
    <col min="7178" max="7178" width="13.140625" style="269" customWidth="1"/>
    <col min="7179" max="7428" width="8" style="269"/>
    <col min="7429" max="7429" width="12.5703125" style="269" customWidth="1"/>
    <col min="7430" max="7430" width="8" style="269"/>
    <col min="7431" max="7431" width="11.5703125" style="269" bestFit="1" customWidth="1"/>
    <col min="7432" max="7433" width="8" style="269"/>
    <col min="7434" max="7434" width="13.140625" style="269" customWidth="1"/>
    <col min="7435" max="7684" width="8" style="269"/>
    <col min="7685" max="7685" width="12.5703125" style="269" customWidth="1"/>
    <col min="7686" max="7686" width="8" style="269"/>
    <col min="7687" max="7687" width="11.5703125" style="269" bestFit="1" customWidth="1"/>
    <col min="7688" max="7689" width="8" style="269"/>
    <col min="7690" max="7690" width="13.140625" style="269" customWidth="1"/>
    <col min="7691" max="7940" width="8" style="269"/>
    <col min="7941" max="7941" width="12.5703125" style="269" customWidth="1"/>
    <col min="7942" max="7942" width="8" style="269"/>
    <col min="7943" max="7943" width="11.5703125" style="269" bestFit="1" customWidth="1"/>
    <col min="7944" max="7945" width="8" style="269"/>
    <col min="7946" max="7946" width="13.140625" style="269" customWidth="1"/>
    <col min="7947" max="8196" width="8" style="269"/>
    <col min="8197" max="8197" width="12.5703125" style="269" customWidth="1"/>
    <col min="8198" max="8198" width="8" style="269"/>
    <col min="8199" max="8199" width="11.5703125" style="269" bestFit="1" customWidth="1"/>
    <col min="8200" max="8201" width="8" style="269"/>
    <col min="8202" max="8202" width="13.140625" style="269" customWidth="1"/>
    <col min="8203" max="8452" width="8" style="269"/>
    <col min="8453" max="8453" width="12.5703125" style="269" customWidth="1"/>
    <col min="8454" max="8454" width="8" style="269"/>
    <col min="8455" max="8455" width="11.5703125" style="269" bestFit="1" customWidth="1"/>
    <col min="8456" max="8457" width="8" style="269"/>
    <col min="8458" max="8458" width="13.140625" style="269" customWidth="1"/>
    <col min="8459" max="8708" width="8" style="269"/>
    <col min="8709" max="8709" width="12.5703125" style="269" customWidth="1"/>
    <col min="8710" max="8710" width="8" style="269"/>
    <col min="8711" max="8711" width="11.5703125" style="269" bestFit="1" customWidth="1"/>
    <col min="8712" max="8713" width="8" style="269"/>
    <col min="8714" max="8714" width="13.140625" style="269" customWidth="1"/>
    <col min="8715" max="8964" width="8" style="269"/>
    <col min="8965" max="8965" width="12.5703125" style="269" customWidth="1"/>
    <col min="8966" max="8966" width="8" style="269"/>
    <col min="8967" max="8967" width="11.5703125" style="269" bestFit="1" customWidth="1"/>
    <col min="8968" max="8969" width="8" style="269"/>
    <col min="8970" max="8970" width="13.140625" style="269" customWidth="1"/>
    <col min="8971" max="9220" width="8" style="269"/>
    <col min="9221" max="9221" width="12.5703125" style="269" customWidth="1"/>
    <col min="9222" max="9222" width="8" style="269"/>
    <col min="9223" max="9223" width="11.5703125" style="269" bestFit="1" customWidth="1"/>
    <col min="9224" max="9225" width="8" style="269"/>
    <col min="9226" max="9226" width="13.140625" style="269" customWidth="1"/>
    <col min="9227" max="9476" width="8" style="269"/>
    <col min="9477" max="9477" width="12.5703125" style="269" customWidth="1"/>
    <col min="9478" max="9478" width="8" style="269"/>
    <col min="9479" max="9479" width="11.5703125" style="269" bestFit="1" customWidth="1"/>
    <col min="9480" max="9481" width="8" style="269"/>
    <col min="9482" max="9482" width="13.140625" style="269" customWidth="1"/>
    <col min="9483" max="9732" width="8" style="269"/>
    <col min="9733" max="9733" width="12.5703125" style="269" customWidth="1"/>
    <col min="9734" max="9734" width="8" style="269"/>
    <col min="9735" max="9735" width="11.5703125" style="269" bestFit="1" customWidth="1"/>
    <col min="9736" max="9737" width="8" style="269"/>
    <col min="9738" max="9738" width="13.140625" style="269" customWidth="1"/>
    <col min="9739" max="9988" width="8" style="269"/>
    <col min="9989" max="9989" width="12.5703125" style="269" customWidth="1"/>
    <col min="9990" max="9990" width="8" style="269"/>
    <col min="9991" max="9991" width="11.5703125" style="269" bestFit="1" customWidth="1"/>
    <col min="9992" max="9993" width="8" style="269"/>
    <col min="9994" max="9994" width="13.140625" style="269" customWidth="1"/>
    <col min="9995" max="10244" width="8" style="269"/>
    <col min="10245" max="10245" width="12.5703125" style="269" customWidth="1"/>
    <col min="10246" max="10246" width="8" style="269"/>
    <col min="10247" max="10247" width="11.5703125" style="269" bestFit="1" customWidth="1"/>
    <col min="10248" max="10249" width="8" style="269"/>
    <col min="10250" max="10250" width="13.140625" style="269" customWidth="1"/>
    <col min="10251" max="10500" width="8" style="269"/>
    <col min="10501" max="10501" width="12.5703125" style="269" customWidth="1"/>
    <col min="10502" max="10502" width="8" style="269"/>
    <col min="10503" max="10503" width="11.5703125" style="269" bestFit="1" customWidth="1"/>
    <col min="10504" max="10505" width="8" style="269"/>
    <col min="10506" max="10506" width="13.140625" style="269" customWidth="1"/>
    <col min="10507" max="10756" width="8" style="269"/>
    <col min="10757" max="10757" width="12.5703125" style="269" customWidth="1"/>
    <col min="10758" max="10758" width="8" style="269"/>
    <col min="10759" max="10759" width="11.5703125" style="269" bestFit="1" customWidth="1"/>
    <col min="10760" max="10761" width="8" style="269"/>
    <col min="10762" max="10762" width="13.140625" style="269" customWidth="1"/>
    <col min="10763" max="11012" width="8" style="269"/>
    <col min="11013" max="11013" width="12.5703125" style="269" customWidth="1"/>
    <col min="11014" max="11014" width="8" style="269"/>
    <col min="11015" max="11015" width="11.5703125" style="269" bestFit="1" customWidth="1"/>
    <col min="11016" max="11017" width="8" style="269"/>
    <col min="11018" max="11018" width="13.140625" style="269" customWidth="1"/>
    <col min="11019" max="11268" width="8" style="269"/>
    <col min="11269" max="11269" width="12.5703125" style="269" customWidth="1"/>
    <col min="11270" max="11270" width="8" style="269"/>
    <col min="11271" max="11271" width="11.5703125" style="269" bestFit="1" customWidth="1"/>
    <col min="11272" max="11273" width="8" style="269"/>
    <col min="11274" max="11274" width="13.140625" style="269" customWidth="1"/>
    <col min="11275" max="11524" width="8" style="269"/>
    <col min="11525" max="11525" width="12.5703125" style="269" customWidth="1"/>
    <col min="11526" max="11526" width="8" style="269"/>
    <col min="11527" max="11527" width="11.5703125" style="269" bestFit="1" customWidth="1"/>
    <col min="11528" max="11529" width="8" style="269"/>
    <col min="11530" max="11530" width="13.140625" style="269" customWidth="1"/>
    <col min="11531" max="11780" width="8" style="269"/>
    <col min="11781" max="11781" width="12.5703125" style="269" customWidth="1"/>
    <col min="11782" max="11782" width="8" style="269"/>
    <col min="11783" max="11783" width="11.5703125" style="269" bestFit="1" customWidth="1"/>
    <col min="11784" max="11785" width="8" style="269"/>
    <col min="11786" max="11786" width="13.140625" style="269" customWidth="1"/>
    <col min="11787" max="12036" width="8" style="269"/>
    <col min="12037" max="12037" width="12.5703125" style="269" customWidth="1"/>
    <col min="12038" max="12038" width="8" style="269"/>
    <col min="12039" max="12039" width="11.5703125" style="269" bestFit="1" customWidth="1"/>
    <col min="12040" max="12041" width="8" style="269"/>
    <col min="12042" max="12042" width="13.140625" style="269" customWidth="1"/>
    <col min="12043" max="12292" width="8" style="269"/>
    <col min="12293" max="12293" width="12.5703125" style="269" customWidth="1"/>
    <col min="12294" max="12294" width="8" style="269"/>
    <col min="12295" max="12295" width="11.5703125" style="269" bestFit="1" customWidth="1"/>
    <col min="12296" max="12297" width="8" style="269"/>
    <col min="12298" max="12298" width="13.140625" style="269" customWidth="1"/>
    <col min="12299" max="12548" width="8" style="269"/>
    <col min="12549" max="12549" width="12.5703125" style="269" customWidth="1"/>
    <col min="12550" max="12550" width="8" style="269"/>
    <col min="12551" max="12551" width="11.5703125" style="269" bestFit="1" customWidth="1"/>
    <col min="12552" max="12553" width="8" style="269"/>
    <col min="12554" max="12554" width="13.140625" style="269" customWidth="1"/>
    <col min="12555" max="12804" width="8" style="269"/>
    <col min="12805" max="12805" width="12.5703125" style="269" customWidth="1"/>
    <col min="12806" max="12806" width="8" style="269"/>
    <col min="12807" max="12807" width="11.5703125" style="269" bestFit="1" customWidth="1"/>
    <col min="12808" max="12809" width="8" style="269"/>
    <col min="12810" max="12810" width="13.140625" style="269" customWidth="1"/>
    <col min="12811" max="13060" width="8" style="269"/>
    <col min="13061" max="13061" width="12.5703125" style="269" customWidth="1"/>
    <col min="13062" max="13062" width="8" style="269"/>
    <col min="13063" max="13063" width="11.5703125" style="269" bestFit="1" customWidth="1"/>
    <col min="13064" max="13065" width="8" style="269"/>
    <col min="13066" max="13066" width="13.140625" style="269" customWidth="1"/>
    <col min="13067" max="13316" width="8" style="269"/>
    <col min="13317" max="13317" width="12.5703125" style="269" customWidth="1"/>
    <col min="13318" max="13318" width="8" style="269"/>
    <col min="13319" max="13319" width="11.5703125" style="269" bestFit="1" customWidth="1"/>
    <col min="13320" max="13321" width="8" style="269"/>
    <col min="13322" max="13322" width="13.140625" style="269" customWidth="1"/>
    <col min="13323" max="13572" width="8" style="269"/>
    <col min="13573" max="13573" width="12.5703125" style="269" customWidth="1"/>
    <col min="13574" max="13574" width="8" style="269"/>
    <col min="13575" max="13575" width="11.5703125" style="269" bestFit="1" customWidth="1"/>
    <col min="13576" max="13577" width="8" style="269"/>
    <col min="13578" max="13578" width="13.140625" style="269" customWidth="1"/>
    <col min="13579" max="13828" width="8" style="269"/>
    <col min="13829" max="13829" width="12.5703125" style="269" customWidth="1"/>
    <col min="13830" max="13830" width="8" style="269"/>
    <col min="13831" max="13831" width="11.5703125" style="269" bestFit="1" customWidth="1"/>
    <col min="13832" max="13833" width="8" style="269"/>
    <col min="13834" max="13834" width="13.140625" style="269" customWidth="1"/>
    <col min="13835" max="14084" width="8" style="269"/>
    <col min="14085" max="14085" width="12.5703125" style="269" customWidth="1"/>
    <col min="14086" max="14086" width="8" style="269"/>
    <col min="14087" max="14087" width="11.5703125" style="269" bestFit="1" customWidth="1"/>
    <col min="14088" max="14089" width="8" style="269"/>
    <col min="14090" max="14090" width="13.140625" style="269" customWidth="1"/>
    <col min="14091" max="14340" width="8" style="269"/>
    <col min="14341" max="14341" width="12.5703125" style="269" customWidth="1"/>
    <col min="14342" max="14342" width="8" style="269"/>
    <col min="14343" max="14343" width="11.5703125" style="269" bestFit="1" customWidth="1"/>
    <col min="14344" max="14345" width="8" style="269"/>
    <col min="14346" max="14346" width="13.140625" style="269" customWidth="1"/>
    <col min="14347" max="14596" width="8" style="269"/>
    <col min="14597" max="14597" width="12.5703125" style="269" customWidth="1"/>
    <col min="14598" max="14598" width="8" style="269"/>
    <col min="14599" max="14599" width="11.5703125" style="269" bestFit="1" customWidth="1"/>
    <col min="14600" max="14601" width="8" style="269"/>
    <col min="14602" max="14602" width="13.140625" style="269" customWidth="1"/>
    <col min="14603" max="14852" width="8" style="269"/>
    <col min="14853" max="14853" width="12.5703125" style="269" customWidth="1"/>
    <col min="14854" max="14854" width="8" style="269"/>
    <col min="14855" max="14855" width="11.5703125" style="269" bestFit="1" customWidth="1"/>
    <col min="14856" max="14857" width="8" style="269"/>
    <col min="14858" max="14858" width="13.140625" style="269" customWidth="1"/>
    <col min="14859" max="15108" width="8" style="269"/>
    <col min="15109" max="15109" width="12.5703125" style="269" customWidth="1"/>
    <col min="15110" max="15110" width="8" style="269"/>
    <col min="15111" max="15111" width="11.5703125" style="269" bestFit="1" customWidth="1"/>
    <col min="15112" max="15113" width="8" style="269"/>
    <col min="15114" max="15114" width="13.140625" style="269" customWidth="1"/>
    <col min="15115" max="15364" width="8" style="269"/>
    <col min="15365" max="15365" width="12.5703125" style="269" customWidth="1"/>
    <col min="15366" max="15366" width="8" style="269"/>
    <col min="15367" max="15367" width="11.5703125" style="269" bestFit="1" customWidth="1"/>
    <col min="15368" max="15369" width="8" style="269"/>
    <col min="15370" max="15370" width="13.140625" style="269" customWidth="1"/>
    <col min="15371" max="15620" width="8" style="269"/>
    <col min="15621" max="15621" width="12.5703125" style="269" customWidth="1"/>
    <col min="15622" max="15622" width="8" style="269"/>
    <col min="15623" max="15623" width="11.5703125" style="269" bestFit="1" customWidth="1"/>
    <col min="15624" max="15625" width="8" style="269"/>
    <col min="15626" max="15626" width="13.140625" style="269" customWidth="1"/>
    <col min="15627" max="15876" width="8" style="269"/>
    <col min="15877" max="15877" width="12.5703125" style="269" customWidth="1"/>
    <col min="15878" max="15878" width="8" style="269"/>
    <col min="15879" max="15879" width="11.5703125" style="269" bestFit="1" customWidth="1"/>
    <col min="15880" max="15881" width="8" style="269"/>
    <col min="15882" max="15882" width="13.140625" style="269" customWidth="1"/>
    <col min="15883" max="16132" width="8" style="269"/>
    <col min="16133" max="16133" width="12.5703125" style="269" customWidth="1"/>
    <col min="16134" max="16134" width="8" style="269"/>
    <col min="16135" max="16135" width="11.5703125" style="269" bestFit="1" customWidth="1"/>
    <col min="16136" max="16137" width="8" style="269"/>
    <col min="16138" max="16138" width="13.140625" style="269" customWidth="1"/>
    <col min="16139" max="16384" width="8" style="269"/>
  </cols>
  <sheetData>
    <row r="1" spans="1:15" ht="19.5">
      <c r="A1" s="263"/>
      <c r="B1" s="264" t="s">
        <v>455</v>
      </c>
      <c r="C1" s="265"/>
      <c r="D1" s="265"/>
      <c r="E1" s="265"/>
      <c r="F1" s="264" t="s">
        <v>456</v>
      </c>
      <c r="G1" s="266"/>
      <c r="H1" s="267" t="s">
        <v>457</v>
      </c>
      <c r="I1" s="266"/>
      <c r="J1" s="268"/>
    </row>
    <row r="2" spans="1:15">
      <c r="A2" s="270"/>
      <c r="B2" s="271" t="s">
        <v>458</v>
      </c>
      <c r="F2" s="272" t="s">
        <v>459</v>
      </c>
      <c r="G2" s="272"/>
      <c r="H2" s="272"/>
      <c r="I2" s="272"/>
      <c r="J2" s="273"/>
    </row>
    <row r="3" spans="1:15" ht="19.5">
      <c r="A3" s="270"/>
      <c r="B3" s="271" t="s">
        <v>460</v>
      </c>
      <c r="F3" s="274" t="s">
        <v>461</v>
      </c>
      <c r="J3" s="275"/>
    </row>
    <row r="4" spans="1:15">
      <c r="A4" s="270"/>
      <c r="F4" s="269" t="s">
        <v>462</v>
      </c>
      <c r="H4" s="276" t="s">
        <v>463</v>
      </c>
      <c r="J4" s="275"/>
    </row>
    <row r="5" spans="1:15">
      <c r="A5" s="270"/>
      <c r="J5" s="275"/>
    </row>
    <row r="6" spans="1:15">
      <c r="A6" s="270"/>
      <c r="J6" s="275"/>
    </row>
    <row r="7" spans="1:15" ht="19.5">
      <c r="A7" s="270"/>
      <c r="B7" s="274" t="s">
        <v>464</v>
      </c>
      <c r="E7" s="277"/>
      <c r="G7" s="269" t="s">
        <v>465</v>
      </c>
      <c r="J7" s="275"/>
    </row>
    <row r="8" spans="1:15">
      <c r="A8" s="270"/>
      <c r="B8" s="271"/>
      <c r="J8" s="275"/>
      <c r="N8" s="278"/>
      <c r="O8" s="278"/>
    </row>
    <row r="9" spans="1:15" ht="19.5">
      <c r="A9" s="270"/>
      <c r="B9" s="274" t="s">
        <v>466</v>
      </c>
      <c r="E9" s="272"/>
      <c r="G9" s="269">
        <v>25284</v>
      </c>
      <c r="J9" s="275"/>
    </row>
    <row r="10" spans="1:15">
      <c r="A10" s="270"/>
      <c r="B10" s="271"/>
      <c r="J10" s="275"/>
    </row>
    <row r="11" spans="1:15">
      <c r="A11" s="270"/>
      <c r="B11" s="271"/>
      <c r="J11" s="275"/>
    </row>
    <row r="12" spans="1:15" ht="19.5">
      <c r="A12" s="270"/>
      <c r="B12" s="279" t="s">
        <v>467</v>
      </c>
      <c r="J12" s="275"/>
    </row>
    <row r="13" spans="1:15">
      <c r="A13" s="270"/>
      <c r="B13" s="269" t="s">
        <v>481</v>
      </c>
      <c r="J13" s="275"/>
    </row>
    <row r="14" spans="1:15" ht="19.5">
      <c r="A14" s="270"/>
      <c r="C14" s="279"/>
      <c r="J14" s="275"/>
    </row>
    <row r="15" spans="1:15">
      <c r="A15" s="270"/>
      <c r="J15" s="275"/>
    </row>
    <row r="16" spans="1:15">
      <c r="A16" s="270"/>
      <c r="J16" s="275"/>
    </row>
    <row r="17" spans="1:10" ht="20.25">
      <c r="A17" s="270"/>
      <c r="C17" s="280" t="s">
        <v>468</v>
      </c>
      <c r="J17" s="275"/>
    </row>
    <row r="18" spans="1:10">
      <c r="A18" s="270"/>
      <c r="B18" s="271" t="s">
        <v>469</v>
      </c>
      <c r="J18" s="275"/>
    </row>
    <row r="19" spans="1:10">
      <c r="A19" s="270"/>
      <c r="B19" s="271" t="s">
        <v>470</v>
      </c>
      <c r="J19" s="275"/>
    </row>
    <row r="20" spans="1:10">
      <c r="A20" s="270"/>
      <c r="J20" s="275"/>
    </row>
    <row r="21" spans="1:10" ht="20.25">
      <c r="A21" s="270"/>
      <c r="E21" s="281" t="s">
        <v>471</v>
      </c>
      <c r="F21" s="281"/>
      <c r="G21" s="281">
        <v>2013</v>
      </c>
      <c r="J21" s="275"/>
    </row>
    <row r="22" spans="1:10">
      <c r="A22" s="270"/>
      <c r="J22" s="275"/>
    </row>
    <row r="23" spans="1:10">
      <c r="A23" s="270"/>
      <c r="J23" s="275"/>
    </row>
    <row r="24" spans="1:10">
      <c r="A24" s="270"/>
      <c r="J24" s="275"/>
    </row>
    <row r="25" spans="1:10">
      <c r="A25" s="270"/>
      <c r="B25" s="271" t="s">
        <v>472</v>
      </c>
      <c r="J25" s="275"/>
    </row>
    <row r="26" spans="1:10">
      <c r="A26" s="270"/>
      <c r="B26" s="271" t="s">
        <v>473</v>
      </c>
      <c r="J26" s="275"/>
    </row>
    <row r="27" spans="1:10">
      <c r="A27" s="270"/>
      <c r="B27" s="271" t="s">
        <v>474</v>
      </c>
      <c r="I27" s="269" t="s">
        <v>10</v>
      </c>
      <c r="J27" s="275"/>
    </row>
    <row r="28" spans="1:10">
      <c r="A28" s="270"/>
      <c r="B28" s="271" t="s">
        <v>475</v>
      </c>
      <c r="J28" s="275"/>
    </row>
    <row r="29" spans="1:10">
      <c r="A29" s="270"/>
      <c r="B29" s="271"/>
      <c r="J29" s="275"/>
    </row>
    <row r="30" spans="1:10" ht="19.5">
      <c r="A30" s="270"/>
      <c r="B30" s="271" t="s">
        <v>476</v>
      </c>
      <c r="H30" s="279" t="s">
        <v>477</v>
      </c>
      <c r="I30" s="279" t="s">
        <v>431</v>
      </c>
      <c r="J30" s="282"/>
    </row>
    <row r="31" spans="1:10" ht="19.5">
      <c r="A31" s="270"/>
      <c r="B31" s="271"/>
      <c r="H31" s="279" t="s">
        <v>478</v>
      </c>
      <c r="I31" s="279" t="s">
        <v>432</v>
      </c>
      <c r="J31" s="282"/>
    </row>
    <row r="32" spans="1:10">
      <c r="A32" s="270"/>
      <c r="B32" s="271"/>
      <c r="J32" s="275"/>
    </row>
    <row r="33" spans="1:10">
      <c r="A33" s="270"/>
      <c r="B33" s="271" t="s">
        <v>479</v>
      </c>
      <c r="H33" s="269" t="s">
        <v>480</v>
      </c>
      <c r="J33" s="283"/>
    </row>
    <row r="34" spans="1:10">
      <c r="A34" s="270"/>
      <c r="J34" s="283"/>
    </row>
    <row r="35" spans="1:10">
      <c r="A35" s="270"/>
      <c r="J35" s="275"/>
    </row>
    <row r="36" spans="1:10">
      <c r="A36" s="270"/>
      <c r="J36" s="275"/>
    </row>
    <row r="37" spans="1:10" ht="19.5" thickBot="1">
      <c r="A37" s="284"/>
      <c r="B37" s="285"/>
      <c r="C37" s="285"/>
      <c r="D37" s="285"/>
      <c r="E37" s="285"/>
      <c r="F37" s="285"/>
      <c r="G37" s="285"/>
      <c r="H37" s="285"/>
      <c r="I37" s="285"/>
      <c r="J37" s="286"/>
    </row>
  </sheetData>
  <pageMargins left="0.53" right="0.3" top="0.75" bottom="0.75" header="0.37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4"/>
  <sheetViews>
    <sheetView topLeftCell="A25" workbookViewId="0">
      <selection activeCell="I50" sqref="I50"/>
    </sheetView>
  </sheetViews>
  <sheetFormatPr defaultRowHeight="14.25" customHeight="1"/>
  <cols>
    <col min="1" max="1" width="5.28515625" style="60" customWidth="1"/>
    <col min="2" max="2" width="47" style="60" customWidth="1"/>
    <col min="3" max="3" width="8" style="60" customWidth="1"/>
    <col min="4" max="6" width="14.85546875" style="60" customWidth="1"/>
    <col min="7" max="7" width="17.42578125" style="60" customWidth="1"/>
    <col min="8" max="8" width="9.140625" style="60"/>
    <col min="9" max="9" width="11" style="60" bestFit="1" customWidth="1"/>
    <col min="10" max="10" width="12" style="60" bestFit="1" customWidth="1"/>
    <col min="11" max="256" width="9.140625" style="60"/>
    <col min="257" max="257" width="5.28515625" style="60" customWidth="1"/>
    <col min="258" max="258" width="52.140625" style="60" customWidth="1"/>
    <col min="259" max="259" width="8" style="60" customWidth="1"/>
    <col min="260" max="262" width="14.85546875" style="60" customWidth="1"/>
    <col min="263" max="263" width="17.42578125" style="60" customWidth="1"/>
    <col min="264" max="264" width="9.140625" style="60"/>
    <col min="265" max="265" width="10.42578125" style="60" bestFit="1" customWidth="1"/>
    <col min="266" max="512" width="9.140625" style="60"/>
    <col min="513" max="513" width="5.28515625" style="60" customWidth="1"/>
    <col min="514" max="514" width="52.140625" style="60" customWidth="1"/>
    <col min="515" max="515" width="8" style="60" customWidth="1"/>
    <col min="516" max="518" width="14.85546875" style="60" customWidth="1"/>
    <col min="519" max="519" width="17.42578125" style="60" customWidth="1"/>
    <col min="520" max="520" width="9.140625" style="60"/>
    <col min="521" max="521" width="10.42578125" style="60" bestFit="1" customWidth="1"/>
    <col min="522" max="768" width="9.140625" style="60"/>
    <col min="769" max="769" width="5.28515625" style="60" customWidth="1"/>
    <col min="770" max="770" width="52.140625" style="60" customWidth="1"/>
    <col min="771" max="771" width="8" style="60" customWidth="1"/>
    <col min="772" max="774" width="14.85546875" style="60" customWidth="1"/>
    <col min="775" max="775" width="17.42578125" style="60" customWidth="1"/>
    <col min="776" max="776" width="9.140625" style="60"/>
    <col min="777" max="777" width="10.42578125" style="60" bestFit="1" customWidth="1"/>
    <col min="778" max="1024" width="9.140625" style="60"/>
    <col min="1025" max="1025" width="5.28515625" style="60" customWidth="1"/>
    <col min="1026" max="1026" width="52.140625" style="60" customWidth="1"/>
    <col min="1027" max="1027" width="8" style="60" customWidth="1"/>
    <col min="1028" max="1030" width="14.85546875" style="60" customWidth="1"/>
    <col min="1031" max="1031" width="17.42578125" style="60" customWidth="1"/>
    <col min="1032" max="1032" width="9.140625" style="60"/>
    <col min="1033" max="1033" width="10.42578125" style="60" bestFit="1" customWidth="1"/>
    <col min="1034" max="1280" width="9.140625" style="60"/>
    <col min="1281" max="1281" width="5.28515625" style="60" customWidth="1"/>
    <col min="1282" max="1282" width="52.140625" style="60" customWidth="1"/>
    <col min="1283" max="1283" width="8" style="60" customWidth="1"/>
    <col min="1284" max="1286" width="14.85546875" style="60" customWidth="1"/>
    <col min="1287" max="1287" width="17.42578125" style="60" customWidth="1"/>
    <col min="1288" max="1288" width="9.140625" style="60"/>
    <col min="1289" max="1289" width="10.42578125" style="60" bestFit="1" customWidth="1"/>
    <col min="1290" max="1536" width="9.140625" style="60"/>
    <col min="1537" max="1537" width="5.28515625" style="60" customWidth="1"/>
    <col min="1538" max="1538" width="52.140625" style="60" customWidth="1"/>
    <col min="1539" max="1539" width="8" style="60" customWidth="1"/>
    <col min="1540" max="1542" width="14.85546875" style="60" customWidth="1"/>
    <col min="1543" max="1543" width="17.42578125" style="60" customWidth="1"/>
    <col min="1544" max="1544" width="9.140625" style="60"/>
    <col min="1545" max="1545" width="10.42578125" style="60" bestFit="1" customWidth="1"/>
    <col min="1546" max="1792" width="9.140625" style="60"/>
    <col min="1793" max="1793" width="5.28515625" style="60" customWidth="1"/>
    <col min="1794" max="1794" width="52.140625" style="60" customWidth="1"/>
    <col min="1795" max="1795" width="8" style="60" customWidth="1"/>
    <col min="1796" max="1798" width="14.85546875" style="60" customWidth="1"/>
    <col min="1799" max="1799" width="17.42578125" style="60" customWidth="1"/>
    <col min="1800" max="1800" width="9.140625" style="60"/>
    <col min="1801" max="1801" width="10.42578125" style="60" bestFit="1" customWidth="1"/>
    <col min="1802" max="2048" width="9.140625" style="60"/>
    <col min="2049" max="2049" width="5.28515625" style="60" customWidth="1"/>
    <col min="2050" max="2050" width="52.140625" style="60" customWidth="1"/>
    <col min="2051" max="2051" width="8" style="60" customWidth="1"/>
    <col min="2052" max="2054" width="14.85546875" style="60" customWidth="1"/>
    <col min="2055" max="2055" width="17.42578125" style="60" customWidth="1"/>
    <col min="2056" max="2056" width="9.140625" style="60"/>
    <col min="2057" max="2057" width="10.42578125" style="60" bestFit="1" customWidth="1"/>
    <col min="2058" max="2304" width="9.140625" style="60"/>
    <col min="2305" max="2305" width="5.28515625" style="60" customWidth="1"/>
    <col min="2306" max="2306" width="52.140625" style="60" customWidth="1"/>
    <col min="2307" max="2307" width="8" style="60" customWidth="1"/>
    <col min="2308" max="2310" width="14.85546875" style="60" customWidth="1"/>
    <col min="2311" max="2311" width="17.42578125" style="60" customWidth="1"/>
    <col min="2312" max="2312" width="9.140625" style="60"/>
    <col min="2313" max="2313" width="10.42578125" style="60" bestFit="1" customWidth="1"/>
    <col min="2314" max="2560" width="9.140625" style="60"/>
    <col min="2561" max="2561" width="5.28515625" style="60" customWidth="1"/>
    <col min="2562" max="2562" width="52.140625" style="60" customWidth="1"/>
    <col min="2563" max="2563" width="8" style="60" customWidth="1"/>
    <col min="2564" max="2566" width="14.85546875" style="60" customWidth="1"/>
    <col min="2567" max="2567" width="17.42578125" style="60" customWidth="1"/>
    <col min="2568" max="2568" width="9.140625" style="60"/>
    <col min="2569" max="2569" width="10.42578125" style="60" bestFit="1" customWidth="1"/>
    <col min="2570" max="2816" width="9.140625" style="60"/>
    <col min="2817" max="2817" width="5.28515625" style="60" customWidth="1"/>
    <col min="2818" max="2818" width="52.140625" style="60" customWidth="1"/>
    <col min="2819" max="2819" width="8" style="60" customWidth="1"/>
    <col min="2820" max="2822" width="14.85546875" style="60" customWidth="1"/>
    <col min="2823" max="2823" width="17.42578125" style="60" customWidth="1"/>
    <col min="2824" max="2824" width="9.140625" style="60"/>
    <col min="2825" max="2825" width="10.42578125" style="60" bestFit="1" customWidth="1"/>
    <col min="2826" max="3072" width="9.140625" style="60"/>
    <col min="3073" max="3073" width="5.28515625" style="60" customWidth="1"/>
    <col min="3074" max="3074" width="52.140625" style="60" customWidth="1"/>
    <col min="3075" max="3075" width="8" style="60" customWidth="1"/>
    <col min="3076" max="3078" width="14.85546875" style="60" customWidth="1"/>
    <col min="3079" max="3079" width="17.42578125" style="60" customWidth="1"/>
    <col min="3080" max="3080" width="9.140625" style="60"/>
    <col min="3081" max="3081" width="10.42578125" style="60" bestFit="1" customWidth="1"/>
    <col min="3082" max="3328" width="9.140625" style="60"/>
    <col min="3329" max="3329" width="5.28515625" style="60" customWidth="1"/>
    <col min="3330" max="3330" width="52.140625" style="60" customWidth="1"/>
    <col min="3331" max="3331" width="8" style="60" customWidth="1"/>
    <col min="3332" max="3334" width="14.85546875" style="60" customWidth="1"/>
    <col min="3335" max="3335" width="17.42578125" style="60" customWidth="1"/>
    <col min="3336" max="3336" width="9.140625" style="60"/>
    <col min="3337" max="3337" width="10.42578125" style="60" bestFit="1" customWidth="1"/>
    <col min="3338" max="3584" width="9.140625" style="60"/>
    <col min="3585" max="3585" width="5.28515625" style="60" customWidth="1"/>
    <col min="3586" max="3586" width="52.140625" style="60" customWidth="1"/>
    <col min="3587" max="3587" width="8" style="60" customWidth="1"/>
    <col min="3588" max="3590" width="14.85546875" style="60" customWidth="1"/>
    <col min="3591" max="3591" width="17.42578125" style="60" customWidth="1"/>
    <col min="3592" max="3592" width="9.140625" style="60"/>
    <col min="3593" max="3593" width="10.42578125" style="60" bestFit="1" customWidth="1"/>
    <col min="3594" max="3840" width="9.140625" style="60"/>
    <col min="3841" max="3841" width="5.28515625" style="60" customWidth="1"/>
    <col min="3842" max="3842" width="52.140625" style="60" customWidth="1"/>
    <col min="3843" max="3843" width="8" style="60" customWidth="1"/>
    <col min="3844" max="3846" width="14.85546875" style="60" customWidth="1"/>
    <col min="3847" max="3847" width="17.42578125" style="60" customWidth="1"/>
    <col min="3848" max="3848" width="9.140625" style="60"/>
    <col min="3849" max="3849" width="10.42578125" style="60" bestFit="1" customWidth="1"/>
    <col min="3850" max="4096" width="9.140625" style="60"/>
    <col min="4097" max="4097" width="5.28515625" style="60" customWidth="1"/>
    <col min="4098" max="4098" width="52.140625" style="60" customWidth="1"/>
    <col min="4099" max="4099" width="8" style="60" customWidth="1"/>
    <col min="4100" max="4102" width="14.85546875" style="60" customWidth="1"/>
    <col min="4103" max="4103" width="17.42578125" style="60" customWidth="1"/>
    <col min="4104" max="4104" width="9.140625" style="60"/>
    <col min="4105" max="4105" width="10.42578125" style="60" bestFit="1" customWidth="1"/>
    <col min="4106" max="4352" width="9.140625" style="60"/>
    <col min="4353" max="4353" width="5.28515625" style="60" customWidth="1"/>
    <col min="4354" max="4354" width="52.140625" style="60" customWidth="1"/>
    <col min="4355" max="4355" width="8" style="60" customWidth="1"/>
    <col min="4356" max="4358" width="14.85546875" style="60" customWidth="1"/>
    <col min="4359" max="4359" width="17.42578125" style="60" customWidth="1"/>
    <col min="4360" max="4360" width="9.140625" style="60"/>
    <col min="4361" max="4361" width="10.42578125" style="60" bestFit="1" customWidth="1"/>
    <col min="4362" max="4608" width="9.140625" style="60"/>
    <col min="4609" max="4609" width="5.28515625" style="60" customWidth="1"/>
    <col min="4610" max="4610" width="52.140625" style="60" customWidth="1"/>
    <col min="4611" max="4611" width="8" style="60" customWidth="1"/>
    <col min="4612" max="4614" width="14.85546875" style="60" customWidth="1"/>
    <col min="4615" max="4615" width="17.42578125" style="60" customWidth="1"/>
    <col min="4616" max="4616" width="9.140625" style="60"/>
    <col min="4617" max="4617" width="10.42578125" style="60" bestFit="1" customWidth="1"/>
    <col min="4618" max="4864" width="9.140625" style="60"/>
    <col min="4865" max="4865" width="5.28515625" style="60" customWidth="1"/>
    <col min="4866" max="4866" width="52.140625" style="60" customWidth="1"/>
    <col min="4867" max="4867" width="8" style="60" customWidth="1"/>
    <col min="4868" max="4870" width="14.85546875" style="60" customWidth="1"/>
    <col min="4871" max="4871" width="17.42578125" style="60" customWidth="1"/>
    <col min="4872" max="4872" width="9.140625" style="60"/>
    <col min="4873" max="4873" width="10.42578125" style="60" bestFit="1" customWidth="1"/>
    <col min="4874" max="5120" width="9.140625" style="60"/>
    <col min="5121" max="5121" width="5.28515625" style="60" customWidth="1"/>
    <col min="5122" max="5122" width="52.140625" style="60" customWidth="1"/>
    <col min="5123" max="5123" width="8" style="60" customWidth="1"/>
    <col min="5124" max="5126" width="14.85546875" style="60" customWidth="1"/>
    <col min="5127" max="5127" width="17.42578125" style="60" customWidth="1"/>
    <col min="5128" max="5128" width="9.140625" style="60"/>
    <col min="5129" max="5129" width="10.42578125" style="60" bestFit="1" customWidth="1"/>
    <col min="5130" max="5376" width="9.140625" style="60"/>
    <col min="5377" max="5377" width="5.28515625" style="60" customWidth="1"/>
    <col min="5378" max="5378" width="52.140625" style="60" customWidth="1"/>
    <col min="5379" max="5379" width="8" style="60" customWidth="1"/>
    <col min="5380" max="5382" width="14.85546875" style="60" customWidth="1"/>
    <col min="5383" max="5383" width="17.42578125" style="60" customWidth="1"/>
    <col min="5384" max="5384" width="9.140625" style="60"/>
    <col min="5385" max="5385" width="10.42578125" style="60" bestFit="1" customWidth="1"/>
    <col min="5386" max="5632" width="9.140625" style="60"/>
    <col min="5633" max="5633" width="5.28515625" style="60" customWidth="1"/>
    <col min="5634" max="5634" width="52.140625" style="60" customWidth="1"/>
    <col min="5635" max="5635" width="8" style="60" customWidth="1"/>
    <col min="5636" max="5638" width="14.85546875" style="60" customWidth="1"/>
    <col min="5639" max="5639" width="17.42578125" style="60" customWidth="1"/>
    <col min="5640" max="5640" width="9.140625" style="60"/>
    <col min="5641" max="5641" width="10.42578125" style="60" bestFit="1" customWidth="1"/>
    <col min="5642" max="5888" width="9.140625" style="60"/>
    <col min="5889" max="5889" width="5.28515625" style="60" customWidth="1"/>
    <col min="5890" max="5890" width="52.140625" style="60" customWidth="1"/>
    <col min="5891" max="5891" width="8" style="60" customWidth="1"/>
    <col min="5892" max="5894" width="14.85546875" style="60" customWidth="1"/>
    <col min="5895" max="5895" width="17.42578125" style="60" customWidth="1"/>
    <col min="5896" max="5896" width="9.140625" style="60"/>
    <col min="5897" max="5897" width="10.42578125" style="60" bestFit="1" customWidth="1"/>
    <col min="5898" max="6144" width="9.140625" style="60"/>
    <col min="6145" max="6145" width="5.28515625" style="60" customWidth="1"/>
    <col min="6146" max="6146" width="52.140625" style="60" customWidth="1"/>
    <col min="6147" max="6147" width="8" style="60" customWidth="1"/>
    <col min="6148" max="6150" width="14.85546875" style="60" customWidth="1"/>
    <col min="6151" max="6151" width="17.42578125" style="60" customWidth="1"/>
    <col min="6152" max="6152" width="9.140625" style="60"/>
    <col min="6153" max="6153" width="10.42578125" style="60" bestFit="1" customWidth="1"/>
    <col min="6154" max="6400" width="9.140625" style="60"/>
    <col min="6401" max="6401" width="5.28515625" style="60" customWidth="1"/>
    <col min="6402" max="6402" width="52.140625" style="60" customWidth="1"/>
    <col min="6403" max="6403" width="8" style="60" customWidth="1"/>
    <col min="6404" max="6406" width="14.85546875" style="60" customWidth="1"/>
    <col min="6407" max="6407" width="17.42578125" style="60" customWidth="1"/>
    <col min="6408" max="6408" width="9.140625" style="60"/>
    <col min="6409" max="6409" width="10.42578125" style="60" bestFit="1" customWidth="1"/>
    <col min="6410" max="6656" width="9.140625" style="60"/>
    <col min="6657" max="6657" width="5.28515625" style="60" customWidth="1"/>
    <col min="6658" max="6658" width="52.140625" style="60" customWidth="1"/>
    <col min="6659" max="6659" width="8" style="60" customWidth="1"/>
    <col min="6660" max="6662" width="14.85546875" style="60" customWidth="1"/>
    <col min="6663" max="6663" width="17.42578125" style="60" customWidth="1"/>
    <col min="6664" max="6664" width="9.140625" style="60"/>
    <col min="6665" max="6665" width="10.42578125" style="60" bestFit="1" customWidth="1"/>
    <col min="6666" max="6912" width="9.140625" style="60"/>
    <col min="6913" max="6913" width="5.28515625" style="60" customWidth="1"/>
    <col min="6914" max="6914" width="52.140625" style="60" customWidth="1"/>
    <col min="6915" max="6915" width="8" style="60" customWidth="1"/>
    <col min="6916" max="6918" width="14.85546875" style="60" customWidth="1"/>
    <col min="6919" max="6919" width="17.42578125" style="60" customWidth="1"/>
    <col min="6920" max="6920" width="9.140625" style="60"/>
    <col min="6921" max="6921" width="10.42578125" style="60" bestFit="1" customWidth="1"/>
    <col min="6922" max="7168" width="9.140625" style="60"/>
    <col min="7169" max="7169" width="5.28515625" style="60" customWidth="1"/>
    <col min="7170" max="7170" width="52.140625" style="60" customWidth="1"/>
    <col min="7171" max="7171" width="8" style="60" customWidth="1"/>
    <col min="7172" max="7174" width="14.85546875" style="60" customWidth="1"/>
    <col min="7175" max="7175" width="17.42578125" style="60" customWidth="1"/>
    <col min="7176" max="7176" width="9.140625" style="60"/>
    <col min="7177" max="7177" width="10.42578125" style="60" bestFit="1" customWidth="1"/>
    <col min="7178" max="7424" width="9.140625" style="60"/>
    <col min="7425" max="7425" width="5.28515625" style="60" customWidth="1"/>
    <col min="7426" max="7426" width="52.140625" style="60" customWidth="1"/>
    <col min="7427" max="7427" width="8" style="60" customWidth="1"/>
    <col min="7428" max="7430" width="14.85546875" style="60" customWidth="1"/>
    <col min="7431" max="7431" width="17.42578125" style="60" customWidth="1"/>
    <col min="7432" max="7432" width="9.140625" style="60"/>
    <col min="7433" max="7433" width="10.42578125" style="60" bestFit="1" customWidth="1"/>
    <col min="7434" max="7680" width="9.140625" style="60"/>
    <col min="7681" max="7681" width="5.28515625" style="60" customWidth="1"/>
    <col min="7682" max="7682" width="52.140625" style="60" customWidth="1"/>
    <col min="7683" max="7683" width="8" style="60" customWidth="1"/>
    <col min="7684" max="7686" width="14.85546875" style="60" customWidth="1"/>
    <col min="7687" max="7687" width="17.42578125" style="60" customWidth="1"/>
    <col min="7688" max="7688" width="9.140625" style="60"/>
    <col min="7689" max="7689" width="10.42578125" style="60" bestFit="1" customWidth="1"/>
    <col min="7690" max="7936" width="9.140625" style="60"/>
    <col min="7937" max="7937" width="5.28515625" style="60" customWidth="1"/>
    <col min="7938" max="7938" width="52.140625" style="60" customWidth="1"/>
    <col min="7939" max="7939" width="8" style="60" customWidth="1"/>
    <col min="7940" max="7942" width="14.85546875" style="60" customWidth="1"/>
    <col min="7943" max="7943" width="17.42578125" style="60" customWidth="1"/>
    <col min="7944" max="7944" width="9.140625" style="60"/>
    <col min="7945" max="7945" width="10.42578125" style="60" bestFit="1" customWidth="1"/>
    <col min="7946" max="8192" width="9.140625" style="60"/>
    <col min="8193" max="8193" width="5.28515625" style="60" customWidth="1"/>
    <col min="8194" max="8194" width="52.140625" style="60" customWidth="1"/>
    <col min="8195" max="8195" width="8" style="60" customWidth="1"/>
    <col min="8196" max="8198" width="14.85546875" style="60" customWidth="1"/>
    <col min="8199" max="8199" width="17.42578125" style="60" customWidth="1"/>
    <col min="8200" max="8200" width="9.140625" style="60"/>
    <col min="8201" max="8201" width="10.42578125" style="60" bestFit="1" customWidth="1"/>
    <col min="8202" max="8448" width="9.140625" style="60"/>
    <col min="8449" max="8449" width="5.28515625" style="60" customWidth="1"/>
    <col min="8450" max="8450" width="52.140625" style="60" customWidth="1"/>
    <col min="8451" max="8451" width="8" style="60" customWidth="1"/>
    <col min="8452" max="8454" width="14.85546875" style="60" customWidth="1"/>
    <col min="8455" max="8455" width="17.42578125" style="60" customWidth="1"/>
    <col min="8456" max="8456" width="9.140625" style="60"/>
    <col min="8457" max="8457" width="10.42578125" style="60" bestFit="1" customWidth="1"/>
    <col min="8458" max="8704" width="9.140625" style="60"/>
    <col min="8705" max="8705" width="5.28515625" style="60" customWidth="1"/>
    <col min="8706" max="8706" width="52.140625" style="60" customWidth="1"/>
    <col min="8707" max="8707" width="8" style="60" customWidth="1"/>
    <col min="8708" max="8710" width="14.85546875" style="60" customWidth="1"/>
    <col min="8711" max="8711" width="17.42578125" style="60" customWidth="1"/>
    <col min="8712" max="8712" width="9.140625" style="60"/>
    <col min="8713" max="8713" width="10.42578125" style="60" bestFit="1" customWidth="1"/>
    <col min="8714" max="8960" width="9.140625" style="60"/>
    <col min="8961" max="8961" width="5.28515625" style="60" customWidth="1"/>
    <col min="8962" max="8962" width="52.140625" style="60" customWidth="1"/>
    <col min="8963" max="8963" width="8" style="60" customWidth="1"/>
    <col min="8964" max="8966" width="14.85546875" style="60" customWidth="1"/>
    <col min="8967" max="8967" width="17.42578125" style="60" customWidth="1"/>
    <col min="8968" max="8968" width="9.140625" style="60"/>
    <col min="8969" max="8969" width="10.42578125" style="60" bestFit="1" customWidth="1"/>
    <col min="8970" max="9216" width="9.140625" style="60"/>
    <col min="9217" max="9217" width="5.28515625" style="60" customWidth="1"/>
    <col min="9218" max="9218" width="52.140625" style="60" customWidth="1"/>
    <col min="9219" max="9219" width="8" style="60" customWidth="1"/>
    <col min="9220" max="9222" width="14.85546875" style="60" customWidth="1"/>
    <col min="9223" max="9223" width="17.42578125" style="60" customWidth="1"/>
    <col min="9224" max="9224" width="9.140625" style="60"/>
    <col min="9225" max="9225" width="10.42578125" style="60" bestFit="1" customWidth="1"/>
    <col min="9226" max="9472" width="9.140625" style="60"/>
    <col min="9473" max="9473" width="5.28515625" style="60" customWidth="1"/>
    <col min="9474" max="9474" width="52.140625" style="60" customWidth="1"/>
    <col min="9475" max="9475" width="8" style="60" customWidth="1"/>
    <col min="9476" max="9478" width="14.85546875" style="60" customWidth="1"/>
    <col min="9479" max="9479" width="17.42578125" style="60" customWidth="1"/>
    <col min="9480" max="9480" width="9.140625" style="60"/>
    <col min="9481" max="9481" width="10.42578125" style="60" bestFit="1" customWidth="1"/>
    <col min="9482" max="9728" width="9.140625" style="60"/>
    <col min="9729" max="9729" width="5.28515625" style="60" customWidth="1"/>
    <col min="9730" max="9730" width="52.140625" style="60" customWidth="1"/>
    <col min="9731" max="9731" width="8" style="60" customWidth="1"/>
    <col min="9732" max="9734" width="14.85546875" style="60" customWidth="1"/>
    <col min="9735" max="9735" width="17.42578125" style="60" customWidth="1"/>
    <col min="9736" max="9736" width="9.140625" style="60"/>
    <col min="9737" max="9737" width="10.42578125" style="60" bestFit="1" customWidth="1"/>
    <col min="9738" max="9984" width="9.140625" style="60"/>
    <col min="9985" max="9985" width="5.28515625" style="60" customWidth="1"/>
    <col min="9986" max="9986" width="52.140625" style="60" customWidth="1"/>
    <col min="9987" max="9987" width="8" style="60" customWidth="1"/>
    <col min="9988" max="9990" width="14.85546875" style="60" customWidth="1"/>
    <col min="9991" max="9991" width="17.42578125" style="60" customWidth="1"/>
    <col min="9992" max="9992" width="9.140625" style="60"/>
    <col min="9993" max="9993" width="10.42578125" style="60" bestFit="1" customWidth="1"/>
    <col min="9994" max="10240" width="9.140625" style="60"/>
    <col min="10241" max="10241" width="5.28515625" style="60" customWidth="1"/>
    <col min="10242" max="10242" width="52.140625" style="60" customWidth="1"/>
    <col min="10243" max="10243" width="8" style="60" customWidth="1"/>
    <col min="10244" max="10246" width="14.85546875" style="60" customWidth="1"/>
    <col min="10247" max="10247" width="17.42578125" style="60" customWidth="1"/>
    <col min="10248" max="10248" width="9.140625" style="60"/>
    <col min="10249" max="10249" width="10.42578125" style="60" bestFit="1" customWidth="1"/>
    <col min="10250" max="10496" width="9.140625" style="60"/>
    <col min="10497" max="10497" width="5.28515625" style="60" customWidth="1"/>
    <col min="10498" max="10498" width="52.140625" style="60" customWidth="1"/>
    <col min="10499" max="10499" width="8" style="60" customWidth="1"/>
    <col min="10500" max="10502" width="14.85546875" style="60" customWidth="1"/>
    <col min="10503" max="10503" width="17.42578125" style="60" customWidth="1"/>
    <col min="10504" max="10504" width="9.140625" style="60"/>
    <col min="10505" max="10505" width="10.42578125" style="60" bestFit="1" customWidth="1"/>
    <col min="10506" max="10752" width="9.140625" style="60"/>
    <col min="10753" max="10753" width="5.28515625" style="60" customWidth="1"/>
    <col min="10754" max="10754" width="52.140625" style="60" customWidth="1"/>
    <col min="10755" max="10755" width="8" style="60" customWidth="1"/>
    <col min="10756" max="10758" width="14.85546875" style="60" customWidth="1"/>
    <col min="10759" max="10759" width="17.42578125" style="60" customWidth="1"/>
    <col min="10760" max="10760" width="9.140625" style="60"/>
    <col min="10761" max="10761" width="10.42578125" style="60" bestFit="1" customWidth="1"/>
    <col min="10762" max="11008" width="9.140625" style="60"/>
    <col min="11009" max="11009" width="5.28515625" style="60" customWidth="1"/>
    <col min="11010" max="11010" width="52.140625" style="60" customWidth="1"/>
    <col min="11011" max="11011" width="8" style="60" customWidth="1"/>
    <col min="11012" max="11014" width="14.85546875" style="60" customWidth="1"/>
    <col min="11015" max="11015" width="17.42578125" style="60" customWidth="1"/>
    <col min="11016" max="11016" width="9.140625" style="60"/>
    <col min="11017" max="11017" width="10.42578125" style="60" bestFit="1" customWidth="1"/>
    <col min="11018" max="11264" width="9.140625" style="60"/>
    <col min="11265" max="11265" width="5.28515625" style="60" customWidth="1"/>
    <col min="11266" max="11266" width="52.140625" style="60" customWidth="1"/>
    <col min="11267" max="11267" width="8" style="60" customWidth="1"/>
    <col min="11268" max="11270" width="14.85546875" style="60" customWidth="1"/>
    <col min="11271" max="11271" width="17.42578125" style="60" customWidth="1"/>
    <col min="11272" max="11272" width="9.140625" style="60"/>
    <col min="11273" max="11273" width="10.42578125" style="60" bestFit="1" customWidth="1"/>
    <col min="11274" max="11520" width="9.140625" style="60"/>
    <col min="11521" max="11521" width="5.28515625" style="60" customWidth="1"/>
    <col min="11522" max="11522" width="52.140625" style="60" customWidth="1"/>
    <col min="11523" max="11523" width="8" style="60" customWidth="1"/>
    <col min="11524" max="11526" width="14.85546875" style="60" customWidth="1"/>
    <col min="11527" max="11527" width="17.42578125" style="60" customWidth="1"/>
    <col min="11528" max="11528" width="9.140625" style="60"/>
    <col min="11529" max="11529" width="10.42578125" style="60" bestFit="1" customWidth="1"/>
    <col min="11530" max="11776" width="9.140625" style="60"/>
    <col min="11777" max="11777" width="5.28515625" style="60" customWidth="1"/>
    <col min="11778" max="11778" width="52.140625" style="60" customWidth="1"/>
    <col min="11779" max="11779" width="8" style="60" customWidth="1"/>
    <col min="11780" max="11782" width="14.85546875" style="60" customWidth="1"/>
    <col min="11783" max="11783" width="17.42578125" style="60" customWidth="1"/>
    <col min="11784" max="11784" width="9.140625" style="60"/>
    <col min="11785" max="11785" width="10.42578125" style="60" bestFit="1" customWidth="1"/>
    <col min="11786" max="12032" width="9.140625" style="60"/>
    <col min="12033" max="12033" width="5.28515625" style="60" customWidth="1"/>
    <col min="12034" max="12034" width="52.140625" style="60" customWidth="1"/>
    <col min="12035" max="12035" width="8" style="60" customWidth="1"/>
    <col min="12036" max="12038" width="14.85546875" style="60" customWidth="1"/>
    <col min="12039" max="12039" width="17.42578125" style="60" customWidth="1"/>
    <col min="12040" max="12040" width="9.140625" style="60"/>
    <col min="12041" max="12041" width="10.42578125" style="60" bestFit="1" customWidth="1"/>
    <col min="12042" max="12288" width="9.140625" style="60"/>
    <col min="12289" max="12289" width="5.28515625" style="60" customWidth="1"/>
    <col min="12290" max="12290" width="52.140625" style="60" customWidth="1"/>
    <col min="12291" max="12291" width="8" style="60" customWidth="1"/>
    <col min="12292" max="12294" width="14.85546875" style="60" customWidth="1"/>
    <col min="12295" max="12295" width="17.42578125" style="60" customWidth="1"/>
    <col min="12296" max="12296" width="9.140625" style="60"/>
    <col min="12297" max="12297" width="10.42578125" style="60" bestFit="1" customWidth="1"/>
    <col min="12298" max="12544" width="9.140625" style="60"/>
    <col min="12545" max="12545" width="5.28515625" style="60" customWidth="1"/>
    <col min="12546" max="12546" width="52.140625" style="60" customWidth="1"/>
    <col min="12547" max="12547" width="8" style="60" customWidth="1"/>
    <col min="12548" max="12550" width="14.85546875" style="60" customWidth="1"/>
    <col min="12551" max="12551" width="17.42578125" style="60" customWidth="1"/>
    <col min="12552" max="12552" width="9.140625" style="60"/>
    <col min="12553" max="12553" width="10.42578125" style="60" bestFit="1" customWidth="1"/>
    <col min="12554" max="12800" width="9.140625" style="60"/>
    <col min="12801" max="12801" width="5.28515625" style="60" customWidth="1"/>
    <col min="12802" max="12802" width="52.140625" style="60" customWidth="1"/>
    <col min="12803" max="12803" width="8" style="60" customWidth="1"/>
    <col min="12804" max="12806" width="14.85546875" style="60" customWidth="1"/>
    <col min="12807" max="12807" width="17.42578125" style="60" customWidth="1"/>
    <col min="12808" max="12808" width="9.140625" style="60"/>
    <col min="12809" max="12809" width="10.42578125" style="60" bestFit="1" customWidth="1"/>
    <col min="12810" max="13056" width="9.140625" style="60"/>
    <col min="13057" max="13057" width="5.28515625" style="60" customWidth="1"/>
    <col min="13058" max="13058" width="52.140625" style="60" customWidth="1"/>
    <col min="13059" max="13059" width="8" style="60" customWidth="1"/>
    <col min="13060" max="13062" width="14.85546875" style="60" customWidth="1"/>
    <col min="13063" max="13063" width="17.42578125" style="60" customWidth="1"/>
    <col min="13064" max="13064" width="9.140625" style="60"/>
    <col min="13065" max="13065" width="10.42578125" style="60" bestFit="1" customWidth="1"/>
    <col min="13066" max="13312" width="9.140625" style="60"/>
    <col min="13313" max="13313" width="5.28515625" style="60" customWidth="1"/>
    <col min="13314" max="13314" width="52.140625" style="60" customWidth="1"/>
    <col min="13315" max="13315" width="8" style="60" customWidth="1"/>
    <col min="13316" max="13318" width="14.85546875" style="60" customWidth="1"/>
    <col min="13319" max="13319" width="17.42578125" style="60" customWidth="1"/>
    <col min="13320" max="13320" width="9.140625" style="60"/>
    <col min="13321" max="13321" width="10.42578125" style="60" bestFit="1" customWidth="1"/>
    <col min="13322" max="13568" width="9.140625" style="60"/>
    <col min="13569" max="13569" width="5.28515625" style="60" customWidth="1"/>
    <col min="13570" max="13570" width="52.140625" style="60" customWidth="1"/>
    <col min="13571" max="13571" width="8" style="60" customWidth="1"/>
    <col min="13572" max="13574" width="14.85546875" style="60" customWidth="1"/>
    <col min="13575" max="13575" width="17.42578125" style="60" customWidth="1"/>
    <col min="13576" max="13576" width="9.140625" style="60"/>
    <col min="13577" max="13577" width="10.42578125" style="60" bestFit="1" customWidth="1"/>
    <col min="13578" max="13824" width="9.140625" style="60"/>
    <col min="13825" max="13825" width="5.28515625" style="60" customWidth="1"/>
    <col min="13826" max="13826" width="52.140625" style="60" customWidth="1"/>
    <col min="13827" max="13827" width="8" style="60" customWidth="1"/>
    <col min="13828" max="13830" width="14.85546875" style="60" customWidth="1"/>
    <col min="13831" max="13831" width="17.42578125" style="60" customWidth="1"/>
    <col min="13832" max="13832" width="9.140625" style="60"/>
    <col min="13833" max="13833" width="10.42578125" style="60" bestFit="1" customWidth="1"/>
    <col min="13834" max="14080" width="9.140625" style="60"/>
    <col min="14081" max="14081" width="5.28515625" style="60" customWidth="1"/>
    <col min="14082" max="14082" width="52.140625" style="60" customWidth="1"/>
    <col min="14083" max="14083" width="8" style="60" customWidth="1"/>
    <col min="14084" max="14086" width="14.85546875" style="60" customWidth="1"/>
    <col min="14087" max="14087" width="17.42578125" style="60" customWidth="1"/>
    <col min="14088" max="14088" width="9.140625" style="60"/>
    <col min="14089" max="14089" width="10.42578125" style="60" bestFit="1" customWidth="1"/>
    <col min="14090" max="14336" width="9.140625" style="60"/>
    <col min="14337" max="14337" width="5.28515625" style="60" customWidth="1"/>
    <col min="14338" max="14338" width="52.140625" style="60" customWidth="1"/>
    <col min="14339" max="14339" width="8" style="60" customWidth="1"/>
    <col min="14340" max="14342" width="14.85546875" style="60" customWidth="1"/>
    <col min="14343" max="14343" width="17.42578125" style="60" customWidth="1"/>
    <col min="14344" max="14344" width="9.140625" style="60"/>
    <col min="14345" max="14345" width="10.42578125" style="60" bestFit="1" customWidth="1"/>
    <col min="14346" max="14592" width="9.140625" style="60"/>
    <col min="14593" max="14593" width="5.28515625" style="60" customWidth="1"/>
    <col min="14594" max="14594" width="52.140625" style="60" customWidth="1"/>
    <col min="14595" max="14595" width="8" style="60" customWidth="1"/>
    <col min="14596" max="14598" width="14.85546875" style="60" customWidth="1"/>
    <col min="14599" max="14599" width="17.42578125" style="60" customWidth="1"/>
    <col min="14600" max="14600" width="9.140625" style="60"/>
    <col min="14601" max="14601" width="10.42578125" style="60" bestFit="1" customWidth="1"/>
    <col min="14602" max="14848" width="9.140625" style="60"/>
    <col min="14849" max="14849" width="5.28515625" style="60" customWidth="1"/>
    <col min="14850" max="14850" width="52.140625" style="60" customWidth="1"/>
    <col min="14851" max="14851" width="8" style="60" customWidth="1"/>
    <col min="14852" max="14854" width="14.85546875" style="60" customWidth="1"/>
    <col min="14855" max="14855" width="17.42578125" style="60" customWidth="1"/>
    <col min="14856" max="14856" width="9.140625" style="60"/>
    <col min="14857" max="14857" width="10.42578125" style="60" bestFit="1" customWidth="1"/>
    <col min="14858" max="15104" width="9.140625" style="60"/>
    <col min="15105" max="15105" width="5.28515625" style="60" customWidth="1"/>
    <col min="15106" max="15106" width="52.140625" style="60" customWidth="1"/>
    <col min="15107" max="15107" width="8" style="60" customWidth="1"/>
    <col min="15108" max="15110" width="14.85546875" style="60" customWidth="1"/>
    <col min="15111" max="15111" width="17.42578125" style="60" customWidth="1"/>
    <col min="15112" max="15112" width="9.140625" style="60"/>
    <col min="15113" max="15113" width="10.42578125" style="60" bestFit="1" customWidth="1"/>
    <col min="15114" max="15360" width="9.140625" style="60"/>
    <col min="15361" max="15361" width="5.28515625" style="60" customWidth="1"/>
    <col min="15362" max="15362" width="52.140625" style="60" customWidth="1"/>
    <col min="15363" max="15363" width="8" style="60" customWidth="1"/>
    <col min="15364" max="15366" width="14.85546875" style="60" customWidth="1"/>
    <col min="15367" max="15367" width="17.42578125" style="60" customWidth="1"/>
    <col min="15368" max="15368" width="9.140625" style="60"/>
    <col min="15369" max="15369" width="10.42578125" style="60" bestFit="1" customWidth="1"/>
    <col min="15370" max="15616" width="9.140625" style="60"/>
    <col min="15617" max="15617" width="5.28515625" style="60" customWidth="1"/>
    <col min="15618" max="15618" width="52.140625" style="60" customWidth="1"/>
    <col min="15619" max="15619" width="8" style="60" customWidth="1"/>
    <col min="15620" max="15622" width="14.85546875" style="60" customWidth="1"/>
    <col min="15623" max="15623" width="17.42578125" style="60" customWidth="1"/>
    <col min="15624" max="15624" width="9.140625" style="60"/>
    <col min="15625" max="15625" width="10.42578125" style="60" bestFit="1" customWidth="1"/>
    <col min="15626" max="15872" width="9.140625" style="60"/>
    <col min="15873" max="15873" width="5.28515625" style="60" customWidth="1"/>
    <col min="15874" max="15874" width="52.140625" style="60" customWidth="1"/>
    <col min="15875" max="15875" width="8" style="60" customWidth="1"/>
    <col min="15876" max="15878" width="14.85546875" style="60" customWidth="1"/>
    <col min="15879" max="15879" width="17.42578125" style="60" customWidth="1"/>
    <col min="15880" max="15880" width="9.140625" style="60"/>
    <col min="15881" max="15881" width="10.42578125" style="60" bestFit="1" customWidth="1"/>
    <col min="15882" max="16128" width="9.140625" style="60"/>
    <col min="16129" max="16129" width="5.28515625" style="60" customWidth="1"/>
    <col min="16130" max="16130" width="52.140625" style="60" customWidth="1"/>
    <col min="16131" max="16131" width="8" style="60" customWidth="1"/>
    <col min="16132" max="16134" width="14.85546875" style="60" customWidth="1"/>
    <col min="16135" max="16135" width="17.42578125" style="60" customWidth="1"/>
    <col min="16136" max="16136" width="9.140625" style="60"/>
    <col min="16137" max="16137" width="10.42578125" style="60" bestFit="1" customWidth="1"/>
    <col min="16138" max="16384" width="9.140625" style="60"/>
  </cols>
  <sheetData>
    <row r="1" spans="1:7" s="175" customFormat="1" ht="20.25" customHeight="1">
      <c r="A1" s="295" t="s">
        <v>453</v>
      </c>
      <c r="B1" s="295"/>
      <c r="C1" s="295"/>
      <c r="D1" s="295"/>
      <c r="E1" s="295"/>
      <c r="F1" s="295"/>
      <c r="G1" s="295"/>
    </row>
    <row r="2" spans="1:7" ht="14.25" customHeight="1">
      <c r="A2" s="316" t="s">
        <v>2</v>
      </c>
      <c r="B2" s="318" t="s">
        <v>46</v>
      </c>
      <c r="C2" s="318" t="s">
        <v>47</v>
      </c>
      <c r="D2" s="176" t="s">
        <v>5</v>
      </c>
      <c r="E2" s="177" t="s">
        <v>5</v>
      </c>
      <c r="F2" s="177" t="s">
        <v>5</v>
      </c>
      <c r="G2" s="176" t="s">
        <v>5</v>
      </c>
    </row>
    <row r="3" spans="1:7" ht="14.25" customHeight="1">
      <c r="A3" s="317"/>
      <c r="B3" s="319"/>
      <c r="C3" s="319"/>
      <c r="D3" s="178" t="s">
        <v>6</v>
      </c>
      <c r="E3" s="179" t="s">
        <v>6</v>
      </c>
      <c r="F3" s="179" t="s">
        <v>6</v>
      </c>
      <c r="G3" s="178" t="s">
        <v>7</v>
      </c>
    </row>
    <row r="4" spans="1:7" ht="14.25" customHeight="1">
      <c r="A4" s="28"/>
      <c r="B4" s="180"/>
      <c r="C4" s="180"/>
      <c r="D4" s="181" t="s">
        <v>444</v>
      </c>
      <c r="E4" s="6" t="s">
        <v>445</v>
      </c>
      <c r="F4" s="6" t="s">
        <v>446</v>
      </c>
      <c r="G4" s="181"/>
    </row>
    <row r="5" spans="1:7" s="110" customFormat="1" ht="14.25" customHeight="1">
      <c r="A5" s="182" t="s">
        <v>8</v>
      </c>
      <c r="B5" s="216" t="s">
        <v>48</v>
      </c>
      <c r="C5" s="217" t="s">
        <v>10</v>
      </c>
      <c r="D5" s="218">
        <f>D6+D7+D9+D18+D19</f>
        <v>237792479.5</v>
      </c>
      <c r="E5" s="218">
        <f>E6+E7+E9+E18+E19</f>
        <v>5563373.1999999993</v>
      </c>
      <c r="F5" s="219">
        <f>+D5+E5</f>
        <v>243355852.69999999</v>
      </c>
      <c r="G5" s="220">
        <f>G6+G7+G9+G18+G19</f>
        <v>189739241</v>
      </c>
    </row>
    <row r="6" spans="1:7" s="110" customFormat="1" ht="12.75" customHeight="1">
      <c r="A6" s="183"/>
      <c r="B6" s="221" t="s">
        <v>49</v>
      </c>
      <c r="C6" s="221"/>
      <c r="D6" s="115"/>
      <c r="E6" s="222"/>
      <c r="F6" s="219">
        <f t="shared" ref="F6:F39" si="0">+D6+E6</f>
        <v>0</v>
      </c>
      <c r="G6" s="223"/>
    </row>
    <row r="7" spans="1:7" s="110" customFormat="1" ht="12.75" customHeight="1">
      <c r="A7" s="183"/>
      <c r="B7" s="224" t="s">
        <v>50</v>
      </c>
      <c r="C7" s="225"/>
      <c r="D7" s="115">
        <f>SUM(D8:D8)</f>
        <v>40356032</v>
      </c>
      <c r="E7" s="222"/>
      <c r="F7" s="219">
        <f t="shared" si="0"/>
        <v>40356032</v>
      </c>
      <c r="G7" s="223">
        <f>+G8</f>
        <v>0</v>
      </c>
    </row>
    <row r="8" spans="1:7" s="110" customFormat="1" ht="12.75" customHeight="1">
      <c r="A8" s="183"/>
      <c r="B8" s="226" t="s">
        <v>52</v>
      </c>
      <c r="C8" s="221"/>
      <c r="D8" s="115">
        <v>40356032</v>
      </c>
      <c r="E8" s="222"/>
      <c r="F8" s="219">
        <f t="shared" si="0"/>
        <v>40356032</v>
      </c>
      <c r="G8" s="223"/>
    </row>
    <row r="9" spans="1:7" s="110" customFormat="1" ht="12.75" customHeight="1">
      <c r="A9" s="183"/>
      <c r="B9" s="221" t="s">
        <v>53</v>
      </c>
      <c r="C9" s="221"/>
      <c r="D9" s="227">
        <f>SUM(D10:D17)</f>
        <v>197436447.5</v>
      </c>
      <c r="E9" s="227">
        <f>SUM(E10:E17)</f>
        <v>5563373.1999999993</v>
      </c>
      <c r="F9" s="219">
        <f t="shared" si="0"/>
        <v>202999820.69999999</v>
      </c>
      <c r="G9" s="228">
        <f>SUM(G10:G17)</f>
        <v>189739241</v>
      </c>
    </row>
    <row r="10" spans="1:7" s="110" customFormat="1" ht="12.75" customHeight="1">
      <c r="A10" s="183"/>
      <c r="B10" s="226" t="s">
        <v>54</v>
      </c>
      <c r="C10" s="221"/>
      <c r="D10" s="115">
        <v>127655626</v>
      </c>
      <c r="E10" s="222">
        <v>543900</v>
      </c>
      <c r="F10" s="229">
        <f t="shared" si="0"/>
        <v>128199526</v>
      </c>
      <c r="G10" s="223">
        <v>111742704</v>
      </c>
    </row>
    <row r="11" spans="1:7" s="110" customFormat="1" ht="12.75" customHeight="1">
      <c r="A11" s="183"/>
      <c r="B11" s="226" t="s">
        <v>55</v>
      </c>
      <c r="C11" s="221"/>
      <c r="D11" s="115">
        <v>4397695.5</v>
      </c>
      <c r="E11" s="222"/>
      <c r="F11" s="229">
        <f t="shared" si="0"/>
        <v>4397695.5</v>
      </c>
      <c r="G11" s="223">
        <v>197974</v>
      </c>
    </row>
    <row r="12" spans="1:7" s="110" customFormat="1" ht="12.75" customHeight="1">
      <c r="A12" s="183"/>
      <c r="B12" s="226" t="s">
        <v>56</v>
      </c>
      <c r="C12" s="221"/>
      <c r="D12" s="115">
        <v>547003</v>
      </c>
      <c r="E12" s="222"/>
      <c r="F12" s="229">
        <f t="shared" si="0"/>
        <v>547003</v>
      </c>
      <c r="G12" s="223">
        <v>710220</v>
      </c>
    </row>
    <row r="13" spans="1:7" s="110" customFormat="1" ht="12.75" customHeight="1">
      <c r="A13" s="183"/>
      <c r="B13" s="226" t="s">
        <v>57</v>
      </c>
      <c r="C13" s="221"/>
      <c r="D13" s="115">
        <v>342827</v>
      </c>
      <c r="E13" s="222">
        <f>277.8*140</f>
        <v>38892</v>
      </c>
      <c r="F13" s="229">
        <f t="shared" si="0"/>
        <v>381719</v>
      </c>
      <c r="G13" s="223">
        <v>389859</v>
      </c>
    </row>
    <row r="14" spans="1:7" s="110" customFormat="1" ht="12.75" customHeight="1">
      <c r="A14" s="183"/>
      <c r="B14" s="226" t="s">
        <v>58</v>
      </c>
      <c r="C14" s="221"/>
      <c r="D14" s="113">
        <v>5006515</v>
      </c>
      <c r="E14" s="222">
        <f>9696.64*140</f>
        <v>1357529.5999999999</v>
      </c>
      <c r="F14" s="229">
        <f t="shared" si="0"/>
        <v>6364044.5999999996</v>
      </c>
      <c r="G14" s="223">
        <v>4769805</v>
      </c>
    </row>
    <row r="15" spans="1:7" s="110" customFormat="1" ht="12.75" customHeight="1">
      <c r="A15" s="183"/>
      <c r="B15" s="226" t="s">
        <v>59</v>
      </c>
      <c r="C15" s="221"/>
      <c r="D15" s="115">
        <v>0</v>
      </c>
      <c r="E15" s="222">
        <f>25878.94*140</f>
        <v>3623051.5999999996</v>
      </c>
      <c r="F15" s="229">
        <f t="shared" si="0"/>
        <v>3623051.5999999996</v>
      </c>
      <c r="G15" s="223">
        <v>5442597</v>
      </c>
    </row>
    <row r="16" spans="1:7" s="110" customFormat="1" ht="12.75" customHeight="1">
      <c r="A16" s="183"/>
      <c r="B16" s="226" t="s">
        <v>454</v>
      </c>
      <c r="C16" s="221"/>
      <c r="D16" s="115">
        <v>81114</v>
      </c>
      <c r="E16" s="222"/>
      <c r="F16" s="219">
        <f t="shared" si="0"/>
        <v>81114</v>
      </c>
      <c r="G16" s="223"/>
    </row>
    <row r="17" spans="1:7" s="110" customFormat="1" ht="12.75" customHeight="1">
      <c r="A17" s="185"/>
      <c r="B17" s="226" t="s">
        <v>63</v>
      </c>
      <c r="C17" s="226"/>
      <c r="D17" s="115">
        <v>59405667</v>
      </c>
      <c r="E17" s="222"/>
      <c r="F17" s="229">
        <f t="shared" si="0"/>
        <v>59405667</v>
      </c>
      <c r="G17" s="223">
        <v>66486082</v>
      </c>
    </row>
    <row r="18" spans="1:7" s="110" customFormat="1" ht="12.75" customHeight="1">
      <c r="A18" s="183"/>
      <c r="B18" s="221" t="s">
        <v>64</v>
      </c>
      <c r="C18" s="221"/>
      <c r="D18" s="115"/>
      <c r="E18" s="222"/>
      <c r="F18" s="219">
        <f t="shared" si="0"/>
        <v>0</v>
      </c>
      <c r="G18" s="223"/>
    </row>
    <row r="19" spans="1:7" s="110" customFormat="1" ht="12.75" customHeight="1">
      <c r="A19" s="183"/>
      <c r="B19" s="221" t="s">
        <v>65</v>
      </c>
      <c r="C19" s="221"/>
      <c r="D19" s="115"/>
      <c r="E19" s="222"/>
      <c r="F19" s="219">
        <f t="shared" si="0"/>
        <v>0</v>
      </c>
      <c r="G19" s="223"/>
    </row>
    <row r="20" spans="1:7" s="110" customFormat="1" ht="12.75" customHeight="1">
      <c r="A20" s="186" t="s">
        <v>34</v>
      </c>
      <c r="B20" s="231" t="s">
        <v>66</v>
      </c>
      <c r="C20" s="221"/>
      <c r="D20" s="227">
        <f>+D21+D24+D25+D26+D22</f>
        <v>156958643</v>
      </c>
      <c r="E20" s="227">
        <f>+E21+E24+E25+E26+E22</f>
        <v>0</v>
      </c>
      <c r="F20" s="219">
        <f t="shared" si="0"/>
        <v>156958643</v>
      </c>
      <c r="G20" s="228">
        <f>+G21+G24+G25+G26+G22</f>
        <v>178300889</v>
      </c>
    </row>
    <row r="21" spans="1:7" s="110" customFormat="1" ht="12.75" customHeight="1">
      <c r="A21" s="183"/>
      <c r="B21" s="221" t="s">
        <v>67</v>
      </c>
      <c r="C21" s="221"/>
      <c r="D21" s="115"/>
      <c r="E21" s="222"/>
      <c r="F21" s="219">
        <f t="shared" si="0"/>
        <v>0</v>
      </c>
      <c r="G21" s="223"/>
    </row>
    <row r="22" spans="1:7" s="110" customFormat="1" ht="12.75" customHeight="1">
      <c r="A22" s="183"/>
      <c r="B22" s="226" t="s">
        <v>68</v>
      </c>
      <c r="C22" s="221"/>
      <c r="D22" s="115"/>
      <c r="E22" s="222"/>
      <c r="F22" s="219">
        <f t="shared" si="0"/>
        <v>0</v>
      </c>
      <c r="G22" s="223">
        <v>3274780</v>
      </c>
    </row>
    <row r="23" spans="1:7" s="110" customFormat="1" ht="12.75" customHeight="1">
      <c r="A23" s="183"/>
      <c r="B23" s="232" t="s">
        <v>70</v>
      </c>
      <c r="C23" s="225"/>
      <c r="D23" s="115"/>
      <c r="E23" s="222"/>
      <c r="F23" s="219">
        <f t="shared" si="0"/>
        <v>0</v>
      </c>
      <c r="G23" s="223"/>
    </row>
    <row r="24" spans="1:7" s="110" customFormat="1" ht="12.75" customHeight="1">
      <c r="A24" s="183"/>
      <c r="B24" s="221" t="s">
        <v>71</v>
      </c>
      <c r="C24" s="221"/>
      <c r="D24" s="227">
        <v>156958643</v>
      </c>
      <c r="E24" s="233"/>
      <c r="F24" s="219">
        <f t="shared" si="0"/>
        <v>156958643</v>
      </c>
      <c r="G24" s="228">
        <v>175026109</v>
      </c>
    </row>
    <row r="25" spans="1:7" s="110" customFormat="1" ht="12.75" customHeight="1">
      <c r="A25" s="183"/>
      <c r="B25" s="221" t="s">
        <v>447</v>
      </c>
      <c r="C25" s="221"/>
      <c r="D25" s="115"/>
      <c r="E25" s="222"/>
      <c r="F25" s="219">
        <f t="shared" si="0"/>
        <v>0</v>
      </c>
      <c r="G25" s="223"/>
    </row>
    <row r="26" spans="1:7" s="110" customFormat="1" ht="12.75" customHeight="1">
      <c r="A26" s="183"/>
      <c r="B26" s="221" t="s">
        <v>73</v>
      </c>
      <c r="C26" s="221"/>
      <c r="D26" s="115"/>
      <c r="E26" s="222"/>
      <c r="F26" s="219">
        <f t="shared" si="0"/>
        <v>0</v>
      </c>
      <c r="G26" s="223"/>
    </row>
    <row r="27" spans="1:7" s="110" customFormat="1" ht="12.75" customHeight="1">
      <c r="A27" s="183"/>
      <c r="B27" s="231" t="s">
        <v>74</v>
      </c>
      <c r="C27" s="221"/>
      <c r="D27" s="227">
        <f>D20+D5</f>
        <v>394751122.5</v>
      </c>
      <c r="E27" s="227">
        <f>E20+E5</f>
        <v>5563373.1999999993</v>
      </c>
      <c r="F27" s="219">
        <f t="shared" si="0"/>
        <v>400314495.69999999</v>
      </c>
      <c r="G27" s="228">
        <f>G20+G5</f>
        <v>368040130</v>
      </c>
    </row>
    <row r="28" spans="1:7" s="110" customFormat="1" ht="12.75" customHeight="1">
      <c r="A28" s="186" t="s">
        <v>75</v>
      </c>
      <c r="B28" s="231" t="s">
        <v>76</v>
      </c>
      <c r="C28" s="221"/>
      <c r="D28" s="227">
        <f>SUM(D29:D38)</f>
        <v>250501555</v>
      </c>
      <c r="E28" s="227">
        <f>SUM(E29:E38)</f>
        <v>87739739</v>
      </c>
      <c r="F28" s="219">
        <f>+D28+E28</f>
        <v>338241294</v>
      </c>
      <c r="G28" s="219">
        <f>SUM(G31:G38)</f>
        <v>239390811</v>
      </c>
    </row>
    <row r="29" spans="1:7" s="110" customFormat="1" ht="12.75" customHeight="1">
      <c r="A29" s="183"/>
      <c r="B29" s="221" t="s">
        <v>77</v>
      </c>
      <c r="C29" s="221"/>
      <c r="D29" s="115"/>
      <c r="E29" s="222"/>
      <c r="F29" s="219">
        <f t="shared" si="0"/>
        <v>0</v>
      </c>
      <c r="G29" s="223"/>
    </row>
    <row r="30" spans="1:7" s="110" customFormat="1" ht="12.75" customHeight="1">
      <c r="A30" s="183"/>
      <c r="B30" s="221" t="s">
        <v>78</v>
      </c>
      <c r="C30" s="221"/>
      <c r="D30" s="115"/>
      <c r="E30" s="222"/>
      <c r="F30" s="219">
        <f t="shared" si="0"/>
        <v>0</v>
      </c>
      <c r="G30" s="223"/>
    </row>
    <row r="31" spans="1:7" s="110" customFormat="1" ht="12.75" customHeight="1">
      <c r="A31" s="183"/>
      <c r="B31" s="221" t="s">
        <v>79</v>
      </c>
      <c r="C31" s="221"/>
      <c r="D31" s="115">
        <v>80000000</v>
      </c>
      <c r="E31" s="222"/>
      <c r="F31" s="219">
        <f t="shared" si="0"/>
        <v>80000000</v>
      </c>
      <c r="G31" s="223">
        <v>80000000</v>
      </c>
    </row>
    <row r="32" spans="1:7" s="110" customFormat="1" ht="12.75" customHeight="1">
      <c r="A32" s="183"/>
      <c r="B32" s="221" t="s">
        <v>80</v>
      </c>
      <c r="C32" s="221"/>
      <c r="D32" s="115"/>
      <c r="E32" s="222"/>
      <c r="F32" s="219">
        <f t="shared" si="0"/>
        <v>0</v>
      </c>
      <c r="G32" s="228"/>
    </row>
    <row r="33" spans="1:7" s="110" customFormat="1" ht="12.75" customHeight="1">
      <c r="A33" s="183"/>
      <c r="B33" s="221" t="s">
        <v>81</v>
      </c>
      <c r="C33" s="221"/>
      <c r="D33" s="115"/>
      <c r="E33" s="222"/>
      <c r="F33" s="219">
        <f t="shared" si="0"/>
        <v>0</v>
      </c>
      <c r="G33" s="223"/>
    </row>
    <row r="34" spans="1:7" s="110" customFormat="1" ht="12.75" customHeight="1">
      <c r="A34" s="183"/>
      <c r="B34" s="221" t="s">
        <v>82</v>
      </c>
      <c r="C34" s="221"/>
      <c r="D34" s="115"/>
      <c r="E34" s="222"/>
      <c r="F34" s="219">
        <f t="shared" si="0"/>
        <v>0</v>
      </c>
      <c r="G34" s="223"/>
    </row>
    <row r="35" spans="1:7" s="110" customFormat="1" ht="12.75" customHeight="1">
      <c r="A35" s="183"/>
      <c r="B35" s="221" t="s">
        <v>83</v>
      </c>
      <c r="C35" s="221"/>
      <c r="D35" s="115">
        <v>6048997</v>
      </c>
      <c r="E35" s="222"/>
      <c r="F35" s="219">
        <f t="shared" si="0"/>
        <v>6048997</v>
      </c>
      <c r="G35" s="223">
        <v>6048997</v>
      </c>
    </row>
    <row r="36" spans="1:7" s="110" customFormat="1" ht="12.75" customHeight="1">
      <c r="A36" s="183"/>
      <c r="B36" s="221" t="s">
        <v>84</v>
      </c>
      <c r="C36" s="221"/>
      <c r="D36" s="115">
        <v>32103203</v>
      </c>
      <c r="E36" s="222">
        <v>75329884</v>
      </c>
      <c r="F36" s="219">
        <f t="shared" si="0"/>
        <v>107433087</v>
      </c>
      <c r="G36" s="223">
        <v>69588256</v>
      </c>
    </row>
    <row r="37" spans="1:7" s="110" customFormat="1" ht="12.75" customHeight="1">
      <c r="A37" s="183"/>
      <c r="B37" s="221" t="s">
        <v>85</v>
      </c>
      <c r="C37" s="221"/>
      <c r="D37" s="115">
        <v>0</v>
      </c>
      <c r="E37" s="222"/>
      <c r="F37" s="219">
        <f t="shared" si="0"/>
        <v>0</v>
      </c>
      <c r="G37" s="223"/>
    </row>
    <row r="38" spans="1:7" s="110" customFormat="1" ht="12.75" customHeight="1">
      <c r="A38" s="183"/>
      <c r="B38" s="221" t="s">
        <v>86</v>
      </c>
      <c r="C38" s="221"/>
      <c r="D38" s="115">
        <v>132349355</v>
      </c>
      <c r="E38" s="222">
        <v>12409855</v>
      </c>
      <c r="F38" s="219">
        <f t="shared" si="0"/>
        <v>144759210</v>
      </c>
      <c r="G38" s="223">
        <v>83753558</v>
      </c>
    </row>
    <row r="39" spans="1:7" s="110" customFormat="1" ht="14.25" customHeight="1">
      <c r="A39" s="183"/>
      <c r="B39" s="221" t="s">
        <v>87</v>
      </c>
      <c r="C39" s="221"/>
      <c r="D39" s="227">
        <f>D5+D20+D28</f>
        <v>645252677.5</v>
      </c>
      <c r="E39" s="227">
        <f>E5+E20+E28</f>
        <v>93303112.200000003</v>
      </c>
      <c r="F39" s="219">
        <f t="shared" si="0"/>
        <v>738555789.70000005</v>
      </c>
      <c r="G39" s="228">
        <f>G5+G20+G28</f>
        <v>607430941</v>
      </c>
    </row>
    <row r="40" spans="1:7" s="188" customFormat="1" ht="14.25" customHeight="1">
      <c r="A40" s="187"/>
      <c r="B40" s="187"/>
      <c r="C40" s="187"/>
      <c r="D40" s="187"/>
      <c r="E40" s="187"/>
      <c r="F40" s="187"/>
      <c r="G40" s="187"/>
    </row>
    <row r="41" spans="1:7" s="188" customFormat="1" ht="14.25" customHeight="1">
      <c r="A41" s="187"/>
      <c r="B41" s="187"/>
      <c r="C41" s="187"/>
      <c r="D41" s="187"/>
      <c r="E41" s="189"/>
      <c r="F41" s="189"/>
      <c r="G41" s="190"/>
    </row>
    <row r="42" spans="1:7" s="188" customFormat="1" ht="14.25" customHeight="1">
      <c r="A42" s="187"/>
      <c r="B42" s="187"/>
      <c r="C42" s="187"/>
      <c r="D42" s="187"/>
      <c r="E42" s="187"/>
      <c r="F42" s="187"/>
      <c r="G42" s="190"/>
    </row>
    <row r="43" spans="1:7" s="188" customFormat="1" ht="14.25" customHeight="1">
      <c r="A43" s="187"/>
      <c r="B43" s="2"/>
      <c r="C43" s="2"/>
      <c r="D43" s="190"/>
      <c r="E43" s="190"/>
      <c r="F43" s="190"/>
      <c r="G43" s="191"/>
    </row>
    <row r="44" spans="1:7" s="188" customFormat="1" ht="14.25" customHeight="1">
      <c r="A44" s="187"/>
      <c r="B44" s="187"/>
      <c r="C44" s="187"/>
      <c r="D44" s="190"/>
      <c r="E44" s="190"/>
      <c r="F44" s="190"/>
      <c r="G44" s="191"/>
    </row>
    <row r="45" spans="1:7" s="188" customFormat="1" ht="14.25" customHeight="1">
      <c r="A45" s="187"/>
      <c r="B45" s="187"/>
      <c r="C45" s="187"/>
      <c r="D45" s="190"/>
      <c r="E45" s="190"/>
      <c r="F45" s="190"/>
      <c r="G45" s="191"/>
    </row>
    <row r="46" spans="1:7" s="188" customFormat="1" ht="14.25" customHeight="1">
      <c r="A46" s="187"/>
      <c r="B46" s="187"/>
      <c r="C46" s="187"/>
      <c r="D46" s="190"/>
      <c r="E46" s="190"/>
      <c r="F46" s="190"/>
      <c r="G46" s="191"/>
    </row>
    <row r="47" spans="1:7" s="188" customFormat="1" ht="14.25" customHeight="1">
      <c r="A47" s="187"/>
      <c r="B47" s="187"/>
      <c r="C47" s="187"/>
      <c r="D47" s="190"/>
      <c r="E47" s="190"/>
      <c r="F47" s="190"/>
      <c r="G47" s="191"/>
    </row>
    <row r="48" spans="1:7" s="188" customFormat="1" ht="14.25" customHeight="1">
      <c r="A48" s="187"/>
      <c r="B48" s="187"/>
      <c r="C48" s="187"/>
      <c r="D48" s="190"/>
      <c r="E48" s="190"/>
      <c r="F48" s="190"/>
      <c r="G48" s="191"/>
    </row>
    <row r="49" spans="1:8" s="188" customFormat="1" ht="14.25" customHeight="1">
      <c r="A49" s="192"/>
      <c r="B49" s="192"/>
      <c r="C49" s="192"/>
      <c r="D49" s="190"/>
      <c r="E49" s="190"/>
      <c r="F49" s="190"/>
      <c r="G49" s="191"/>
    </row>
    <row r="50" spans="1:8" s="188" customFormat="1" ht="14.25" customHeight="1">
      <c r="A50" s="192"/>
      <c r="B50" s="192"/>
      <c r="C50" s="192"/>
      <c r="D50" s="190"/>
      <c r="E50" s="190"/>
      <c r="F50" s="190"/>
      <c r="G50" s="191"/>
    </row>
    <row r="51" spans="1:8" ht="14.25" customHeight="1">
      <c r="A51" s="193"/>
      <c r="B51" s="193"/>
      <c r="C51" s="193"/>
      <c r="D51" s="193"/>
      <c r="E51" s="193"/>
      <c r="F51" s="190"/>
      <c r="G51" s="191"/>
      <c r="H51" s="188"/>
    </row>
    <row r="52" spans="1:8" ht="14.25" customHeight="1">
      <c r="F52" s="190"/>
      <c r="G52" s="191"/>
      <c r="H52" s="188"/>
    </row>
    <row r="53" spans="1:8" ht="14.25" customHeight="1">
      <c r="F53" s="190"/>
      <c r="G53" s="191"/>
      <c r="H53" s="188"/>
    </row>
    <row r="54" spans="1:8" ht="14.25" customHeight="1">
      <c r="F54" s="190"/>
      <c r="G54" s="191"/>
      <c r="H54" s="188"/>
    </row>
  </sheetData>
  <mergeCells count="4">
    <mergeCell ref="A1:G1"/>
    <mergeCell ref="A2:A3"/>
    <mergeCell ref="B2:B3"/>
    <mergeCell ref="C2:C3"/>
  </mergeCells>
  <pageMargins left="0.49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"/>
  <sheetViews>
    <sheetView topLeftCell="A19" workbookViewId="0">
      <selection activeCell="I27" sqref="I27:I29"/>
    </sheetView>
  </sheetViews>
  <sheetFormatPr defaultRowHeight="15"/>
  <cols>
    <col min="1" max="1" width="5.85546875" customWidth="1"/>
    <col min="2" max="2" width="59.42578125" customWidth="1"/>
    <col min="3" max="4" width="14.5703125" customWidth="1"/>
    <col min="5" max="6" width="15.5703125" customWidth="1"/>
    <col min="9" max="9" width="16.85546875" bestFit="1" customWidth="1"/>
    <col min="10" max="10" width="11.5703125" bestFit="1" customWidth="1"/>
    <col min="257" max="257" width="5.85546875" customWidth="1"/>
    <col min="258" max="258" width="59.42578125" customWidth="1"/>
    <col min="259" max="261" width="14.5703125" customWidth="1"/>
    <col min="262" max="262" width="15.5703125" customWidth="1"/>
    <col min="265" max="265" width="16.85546875" bestFit="1" customWidth="1"/>
    <col min="513" max="513" width="5.85546875" customWidth="1"/>
    <col min="514" max="514" width="59.42578125" customWidth="1"/>
    <col min="515" max="517" width="14.5703125" customWidth="1"/>
    <col min="518" max="518" width="15.5703125" customWidth="1"/>
    <col min="521" max="521" width="16.85546875" bestFit="1" customWidth="1"/>
    <col min="769" max="769" width="5.85546875" customWidth="1"/>
    <col min="770" max="770" width="59.42578125" customWidth="1"/>
    <col min="771" max="773" width="14.5703125" customWidth="1"/>
    <col min="774" max="774" width="15.5703125" customWidth="1"/>
    <col min="777" max="777" width="16.85546875" bestFit="1" customWidth="1"/>
    <col min="1025" max="1025" width="5.85546875" customWidth="1"/>
    <col min="1026" max="1026" width="59.42578125" customWidth="1"/>
    <col min="1027" max="1029" width="14.5703125" customWidth="1"/>
    <col min="1030" max="1030" width="15.5703125" customWidth="1"/>
    <col min="1033" max="1033" width="16.85546875" bestFit="1" customWidth="1"/>
    <col min="1281" max="1281" width="5.85546875" customWidth="1"/>
    <col min="1282" max="1282" width="59.42578125" customWidth="1"/>
    <col min="1283" max="1285" width="14.5703125" customWidth="1"/>
    <col min="1286" max="1286" width="15.5703125" customWidth="1"/>
    <col min="1289" max="1289" width="16.85546875" bestFit="1" customWidth="1"/>
    <col min="1537" max="1537" width="5.85546875" customWidth="1"/>
    <col min="1538" max="1538" width="59.42578125" customWidth="1"/>
    <col min="1539" max="1541" width="14.5703125" customWidth="1"/>
    <col min="1542" max="1542" width="15.5703125" customWidth="1"/>
    <col min="1545" max="1545" width="16.85546875" bestFit="1" customWidth="1"/>
    <col min="1793" max="1793" width="5.85546875" customWidth="1"/>
    <col min="1794" max="1794" width="59.42578125" customWidth="1"/>
    <col min="1795" max="1797" width="14.5703125" customWidth="1"/>
    <col min="1798" max="1798" width="15.5703125" customWidth="1"/>
    <col min="1801" max="1801" width="16.85546875" bestFit="1" customWidth="1"/>
    <col min="2049" max="2049" width="5.85546875" customWidth="1"/>
    <col min="2050" max="2050" width="59.42578125" customWidth="1"/>
    <col min="2051" max="2053" width="14.5703125" customWidth="1"/>
    <col min="2054" max="2054" width="15.5703125" customWidth="1"/>
    <col min="2057" max="2057" width="16.85546875" bestFit="1" customWidth="1"/>
    <col min="2305" max="2305" width="5.85546875" customWidth="1"/>
    <col min="2306" max="2306" width="59.42578125" customWidth="1"/>
    <col min="2307" max="2309" width="14.5703125" customWidth="1"/>
    <col min="2310" max="2310" width="15.5703125" customWidth="1"/>
    <col min="2313" max="2313" width="16.85546875" bestFit="1" customWidth="1"/>
    <col min="2561" max="2561" width="5.85546875" customWidth="1"/>
    <col min="2562" max="2562" width="59.42578125" customWidth="1"/>
    <col min="2563" max="2565" width="14.5703125" customWidth="1"/>
    <col min="2566" max="2566" width="15.5703125" customWidth="1"/>
    <col min="2569" max="2569" width="16.85546875" bestFit="1" customWidth="1"/>
    <col min="2817" max="2817" width="5.85546875" customWidth="1"/>
    <col min="2818" max="2818" width="59.42578125" customWidth="1"/>
    <col min="2819" max="2821" width="14.5703125" customWidth="1"/>
    <col min="2822" max="2822" width="15.5703125" customWidth="1"/>
    <col min="2825" max="2825" width="16.85546875" bestFit="1" customWidth="1"/>
    <col min="3073" max="3073" width="5.85546875" customWidth="1"/>
    <col min="3074" max="3074" width="59.42578125" customWidth="1"/>
    <col min="3075" max="3077" width="14.5703125" customWidth="1"/>
    <col min="3078" max="3078" width="15.5703125" customWidth="1"/>
    <col min="3081" max="3081" width="16.85546875" bestFit="1" customWidth="1"/>
    <col min="3329" max="3329" width="5.85546875" customWidth="1"/>
    <col min="3330" max="3330" width="59.42578125" customWidth="1"/>
    <col min="3331" max="3333" width="14.5703125" customWidth="1"/>
    <col min="3334" max="3334" width="15.5703125" customWidth="1"/>
    <col min="3337" max="3337" width="16.85546875" bestFit="1" customWidth="1"/>
    <col min="3585" max="3585" width="5.85546875" customWidth="1"/>
    <col min="3586" max="3586" width="59.42578125" customWidth="1"/>
    <col min="3587" max="3589" width="14.5703125" customWidth="1"/>
    <col min="3590" max="3590" width="15.5703125" customWidth="1"/>
    <col min="3593" max="3593" width="16.85546875" bestFit="1" customWidth="1"/>
    <col min="3841" max="3841" width="5.85546875" customWidth="1"/>
    <col min="3842" max="3842" width="59.42578125" customWidth="1"/>
    <col min="3843" max="3845" width="14.5703125" customWidth="1"/>
    <col min="3846" max="3846" width="15.5703125" customWidth="1"/>
    <col min="3849" max="3849" width="16.85546875" bestFit="1" customWidth="1"/>
    <col min="4097" max="4097" width="5.85546875" customWidth="1"/>
    <col min="4098" max="4098" width="59.42578125" customWidth="1"/>
    <col min="4099" max="4101" width="14.5703125" customWidth="1"/>
    <col min="4102" max="4102" width="15.5703125" customWidth="1"/>
    <col min="4105" max="4105" width="16.85546875" bestFit="1" customWidth="1"/>
    <col min="4353" max="4353" width="5.85546875" customWidth="1"/>
    <col min="4354" max="4354" width="59.42578125" customWidth="1"/>
    <col min="4355" max="4357" width="14.5703125" customWidth="1"/>
    <col min="4358" max="4358" width="15.5703125" customWidth="1"/>
    <col min="4361" max="4361" width="16.85546875" bestFit="1" customWidth="1"/>
    <col min="4609" max="4609" width="5.85546875" customWidth="1"/>
    <col min="4610" max="4610" width="59.42578125" customWidth="1"/>
    <col min="4611" max="4613" width="14.5703125" customWidth="1"/>
    <col min="4614" max="4614" width="15.5703125" customWidth="1"/>
    <col min="4617" max="4617" width="16.85546875" bestFit="1" customWidth="1"/>
    <col min="4865" max="4865" width="5.85546875" customWidth="1"/>
    <col min="4866" max="4866" width="59.42578125" customWidth="1"/>
    <col min="4867" max="4869" width="14.5703125" customWidth="1"/>
    <col min="4870" max="4870" width="15.5703125" customWidth="1"/>
    <col min="4873" max="4873" width="16.85546875" bestFit="1" customWidth="1"/>
    <col min="5121" max="5121" width="5.85546875" customWidth="1"/>
    <col min="5122" max="5122" width="59.42578125" customWidth="1"/>
    <col min="5123" max="5125" width="14.5703125" customWidth="1"/>
    <col min="5126" max="5126" width="15.5703125" customWidth="1"/>
    <col min="5129" max="5129" width="16.85546875" bestFit="1" customWidth="1"/>
    <col min="5377" max="5377" width="5.85546875" customWidth="1"/>
    <col min="5378" max="5378" width="59.42578125" customWidth="1"/>
    <col min="5379" max="5381" width="14.5703125" customWidth="1"/>
    <col min="5382" max="5382" width="15.5703125" customWidth="1"/>
    <col min="5385" max="5385" width="16.85546875" bestFit="1" customWidth="1"/>
    <col min="5633" max="5633" width="5.85546875" customWidth="1"/>
    <col min="5634" max="5634" width="59.42578125" customWidth="1"/>
    <col min="5635" max="5637" width="14.5703125" customWidth="1"/>
    <col min="5638" max="5638" width="15.5703125" customWidth="1"/>
    <col min="5641" max="5641" width="16.85546875" bestFit="1" customWidth="1"/>
    <col min="5889" max="5889" width="5.85546875" customWidth="1"/>
    <col min="5890" max="5890" width="59.42578125" customWidth="1"/>
    <col min="5891" max="5893" width="14.5703125" customWidth="1"/>
    <col min="5894" max="5894" width="15.5703125" customWidth="1"/>
    <col min="5897" max="5897" width="16.85546875" bestFit="1" customWidth="1"/>
    <col min="6145" max="6145" width="5.85546875" customWidth="1"/>
    <col min="6146" max="6146" width="59.42578125" customWidth="1"/>
    <col min="6147" max="6149" width="14.5703125" customWidth="1"/>
    <col min="6150" max="6150" width="15.5703125" customWidth="1"/>
    <col min="6153" max="6153" width="16.85546875" bestFit="1" customWidth="1"/>
    <col min="6401" max="6401" width="5.85546875" customWidth="1"/>
    <col min="6402" max="6402" width="59.42578125" customWidth="1"/>
    <col min="6403" max="6405" width="14.5703125" customWidth="1"/>
    <col min="6406" max="6406" width="15.5703125" customWidth="1"/>
    <col min="6409" max="6409" width="16.85546875" bestFit="1" customWidth="1"/>
    <col min="6657" max="6657" width="5.85546875" customWidth="1"/>
    <col min="6658" max="6658" width="59.42578125" customWidth="1"/>
    <col min="6659" max="6661" width="14.5703125" customWidth="1"/>
    <col min="6662" max="6662" width="15.5703125" customWidth="1"/>
    <col min="6665" max="6665" width="16.85546875" bestFit="1" customWidth="1"/>
    <col min="6913" max="6913" width="5.85546875" customWidth="1"/>
    <col min="6914" max="6914" width="59.42578125" customWidth="1"/>
    <col min="6915" max="6917" width="14.5703125" customWidth="1"/>
    <col min="6918" max="6918" width="15.5703125" customWidth="1"/>
    <col min="6921" max="6921" width="16.85546875" bestFit="1" customWidth="1"/>
    <col min="7169" max="7169" width="5.85546875" customWidth="1"/>
    <col min="7170" max="7170" width="59.42578125" customWidth="1"/>
    <col min="7171" max="7173" width="14.5703125" customWidth="1"/>
    <col min="7174" max="7174" width="15.5703125" customWidth="1"/>
    <col min="7177" max="7177" width="16.85546875" bestFit="1" customWidth="1"/>
    <col min="7425" max="7425" width="5.85546875" customWidth="1"/>
    <col min="7426" max="7426" width="59.42578125" customWidth="1"/>
    <col min="7427" max="7429" width="14.5703125" customWidth="1"/>
    <col min="7430" max="7430" width="15.5703125" customWidth="1"/>
    <col min="7433" max="7433" width="16.85546875" bestFit="1" customWidth="1"/>
    <col min="7681" max="7681" width="5.85546875" customWidth="1"/>
    <col min="7682" max="7682" width="59.42578125" customWidth="1"/>
    <col min="7683" max="7685" width="14.5703125" customWidth="1"/>
    <col min="7686" max="7686" width="15.5703125" customWidth="1"/>
    <col min="7689" max="7689" width="16.85546875" bestFit="1" customWidth="1"/>
    <col min="7937" max="7937" width="5.85546875" customWidth="1"/>
    <col min="7938" max="7938" width="59.42578125" customWidth="1"/>
    <col min="7939" max="7941" width="14.5703125" customWidth="1"/>
    <col min="7942" max="7942" width="15.5703125" customWidth="1"/>
    <col min="7945" max="7945" width="16.85546875" bestFit="1" customWidth="1"/>
    <col min="8193" max="8193" width="5.85546875" customWidth="1"/>
    <col min="8194" max="8194" width="59.42578125" customWidth="1"/>
    <col min="8195" max="8197" width="14.5703125" customWidth="1"/>
    <col min="8198" max="8198" width="15.5703125" customWidth="1"/>
    <col min="8201" max="8201" width="16.85546875" bestFit="1" customWidth="1"/>
    <col min="8449" max="8449" width="5.85546875" customWidth="1"/>
    <col min="8450" max="8450" width="59.42578125" customWidth="1"/>
    <col min="8451" max="8453" width="14.5703125" customWidth="1"/>
    <col min="8454" max="8454" width="15.5703125" customWidth="1"/>
    <col min="8457" max="8457" width="16.85546875" bestFit="1" customWidth="1"/>
    <col min="8705" max="8705" width="5.85546875" customWidth="1"/>
    <col min="8706" max="8706" width="59.42578125" customWidth="1"/>
    <col min="8707" max="8709" width="14.5703125" customWidth="1"/>
    <col min="8710" max="8710" width="15.5703125" customWidth="1"/>
    <col min="8713" max="8713" width="16.85546875" bestFit="1" customWidth="1"/>
    <col min="8961" max="8961" width="5.85546875" customWidth="1"/>
    <col min="8962" max="8962" width="59.42578125" customWidth="1"/>
    <col min="8963" max="8965" width="14.5703125" customWidth="1"/>
    <col min="8966" max="8966" width="15.5703125" customWidth="1"/>
    <col min="8969" max="8969" width="16.85546875" bestFit="1" customWidth="1"/>
    <col min="9217" max="9217" width="5.85546875" customWidth="1"/>
    <col min="9218" max="9218" width="59.42578125" customWidth="1"/>
    <col min="9219" max="9221" width="14.5703125" customWidth="1"/>
    <col min="9222" max="9222" width="15.5703125" customWidth="1"/>
    <col min="9225" max="9225" width="16.85546875" bestFit="1" customWidth="1"/>
    <col min="9473" max="9473" width="5.85546875" customWidth="1"/>
    <col min="9474" max="9474" width="59.42578125" customWidth="1"/>
    <col min="9475" max="9477" width="14.5703125" customWidth="1"/>
    <col min="9478" max="9478" width="15.5703125" customWidth="1"/>
    <col min="9481" max="9481" width="16.85546875" bestFit="1" customWidth="1"/>
    <col min="9729" max="9729" width="5.85546875" customWidth="1"/>
    <col min="9730" max="9730" width="59.42578125" customWidth="1"/>
    <col min="9731" max="9733" width="14.5703125" customWidth="1"/>
    <col min="9734" max="9734" width="15.5703125" customWidth="1"/>
    <col min="9737" max="9737" width="16.85546875" bestFit="1" customWidth="1"/>
    <col min="9985" max="9985" width="5.85546875" customWidth="1"/>
    <col min="9986" max="9986" width="59.42578125" customWidth="1"/>
    <col min="9987" max="9989" width="14.5703125" customWidth="1"/>
    <col min="9990" max="9990" width="15.5703125" customWidth="1"/>
    <col min="9993" max="9993" width="16.85546875" bestFit="1" customWidth="1"/>
    <col min="10241" max="10241" width="5.85546875" customWidth="1"/>
    <col min="10242" max="10242" width="59.42578125" customWidth="1"/>
    <col min="10243" max="10245" width="14.5703125" customWidth="1"/>
    <col min="10246" max="10246" width="15.5703125" customWidth="1"/>
    <col min="10249" max="10249" width="16.85546875" bestFit="1" customWidth="1"/>
    <col min="10497" max="10497" width="5.85546875" customWidth="1"/>
    <col min="10498" max="10498" width="59.42578125" customWidth="1"/>
    <col min="10499" max="10501" width="14.5703125" customWidth="1"/>
    <col min="10502" max="10502" width="15.5703125" customWidth="1"/>
    <col min="10505" max="10505" width="16.85546875" bestFit="1" customWidth="1"/>
    <col min="10753" max="10753" width="5.85546875" customWidth="1"/>
    <col min="10754" max="10754" width="59.42578125" customWidth="1"/>
    <col min="10755" max="10757" width="14.5703125" customWidth="1"/>
    <col min="10758" max="10758" width="15.5703125" customWidth="1"/>
    <col min="10761" max="10761" width="16.85546875" bestFit="1" customWidth="1"/>
    <col min="11009" max="11009" width="5.85546875" customWidth="1"/>
    <col min="11010" max="11010" width="59.42578125" customWidth="1"/>
    <col min="11011" max="11013" width="14.5703125" customWidth="1"/>
    <col min="11014" max="11014" width="15.5703125" customWidth="1"/>
    <col min="11017" max="11017" width="16.85546875" bestFit="1" customWidth="1"/>
    <col min="11265" max="11265" width="5.85546875" customWidth="1"/>
    <col min="11266" max="11266" width="59.42578125" customWidth="1"/>
    <col min="11267" max="11269" width="14.5703125" customWidth="1"/>
    <col min="11270" max="11270" width="15.5703125" customWidth="1"/>
    <col min="11273" max="11273" width="16.85546875" bestFit="1" customWidth="1"/>
    <col min="11521" max="11521" width="5.85546875" customWidth="1"/>
    <col min="11522" max="11522" width="59.42578125" customWidth="1"/>
    <col min="11523" max="11525" width="14.5703125" customWidth="1"/>
    <col min="11526" max="11526" width="15.5703125" customWidth="1"/>
    <col min="11529" max="11529" width="16.85546875" bestFit="1" customWidth="1"/>
    <col min="11777" max="11777" width="5.85546875" customWidth="1"/>
    <col min="11778" max="11778" width="59.42578125" customWidth="1"/>
    <col min="11779" max="11781" width="14.5703125" customWidth="1"/>
    <col min="11782" max="11782" width="15.5703125" customWidth="1"/>
    <col min="11785" max="11785" width="16.85546875" bestFit="1" customWidth="1"/>
    <col min="12033" max="12033" width="5.85546875" customWidth="1"/>
    <col min="12034" max="12034" width="59.42578125" customWidth="1"/>
    <col min="12035" max="12037" width="14.5703125" customWidth="1"/>
    <col min="12038" max="12038" width="15.5703125" customWidth="1"/>
    <col min="12041" max="12041" width="16.85546875" bestFit="1" customWidth="1"/>
    <col min="12289" max="12289" width="5.85546875" customWidth="1"/>
    <col min="12290" max="12290" width="59.42578125" customWidth="1"/>
    <col min="12291" max="12293" width="14.5703125" customWidth="1"/>
    <col min="12294" max="12294" width="15.5703125" customWidth="1"/>
    <col min="12297" max="12297" width="16.85546875" bestFit="1" customWidth="1"/>
    <col min="12545" max="12545" width="5.85546875" customWidth="1"/>
    <col min="12546" max="12546" width="59.42578125" customWidth="1"/>
    <col min="12547" max="12549" width="14.5703125" customWidth="1"/>
    <col min="12550" max="12550" width="15.5703125" customWidth="1"/>
    <col min="12553" max="12553" width="16.85546875" bestFit="1" customWidth="1"/>
    <col min="12801" max="12801" width="5.85546875" customWidth="1"/>
    <col min="12802" max="12802" width="59.42578125" customWidth="1"/>
    <col min="12803" max="12805" width="14.5703125" customWidth="1"/>
    <col min="12806" max="12806" width="15.5703125" customWidth="1"/>
    <col min="12809" max="12809" width="16.85546875" bestFit="1" customWidth="1"/>
    <col min="13057" max="13057" width="5.85546875" customWidth="1"/>
    <col min="13058" max="13058" width="59.42578125" customWidth="1"/>
    <col min="13059" max="13061" width="14.5703125" customWidth="1"/>
    <col min="13062" max="13062" width="15.5703125" customWidth="1"/>
    <col min="13065" max="13065" width="16.85546875" bestFit="1" customWidth="1"/>
    <col min="13313" max="13313" width="5.85546875" customWidth="1"/>
    <col min="13314" max="13314" width="59.42578125" customWidth="1"/>
    <col min="13315" max="13317" width="14.5703125" customWidth="1"/>
    <col min="13318" max="13318" width="15.5703125" customWidth="1"/>
    <col min="13321" max="13321" width="16.85546875" bestFit="1" customWidth="1"/>
    <col min="13569" max="13569" width="5.85546875" customWidth="1"/>
    <col min="13570" max="13570" width="59.42578125" customWidth="1"/>
    <col min="13571" max="13573" width="14.5703125" customWidth="1"/>
    <col min="13574" max="13574" width="15.5703125" customWidth="1"/>
    <col min="13577" max="13577" width="16.85546875" bestFit="1" customWidth="1"/>
    <col min="13825" max="13825" width="5.85546875" customWidth="1"/>
    <col min="13826" max="13826" width="59.42578125" customWidth="1"/>
    <col min="13827" max="13829" width="14.5703125" customWidth="1"/>
    <col min="13830" max="13830" width="15.5703125" customWidth="1"/>
    <col min="13833" max="13833" width="16.85546875" bestFit="1" customWidth="1"/>
    <col min="14081" max="14081" width="5.85546875" customWidth="1"/>
    <col min="14082" max="14082" width="59.42578125" customWidth="1"/>
    <col min="14083" max="14085" width="14.5703125" customWidth="1"/>
    <col min="14086" max="14086" width="15.5703125" customWidth="1"/>
    <col min="14089" max="14089" width="16.85546875" bestFit="1" customWidth="1"/>
    <col min="14337" max="14337" width="5.85546875" customWidth="1"/>
    <col min="14338" max="14338" width="59.42578125" customWidth="1"/>
    <col min="14339" max="14341" width="14.5703125" customWidth="1"/>
    <col min="14342" max="14342" width="15.5703125" customWidth="1"/>
    <col min="14345" max="14345" width="16.85546875" bestFit="1" customWidth="1"/>
    <col min="14593" max="14593" width="5.85546875" customWidth="1"/>
    <col min="14594" max="14594" width="59.42578125" customWidth="1"/>
    <col min="14595" max="14597" width="14.5703125" customWidth="1"/>
    <col min="14598" max="14598" width="15.5703125" customWidth="1"/>
    <col min="14601" max="14601" width="16.85546875" bestFit="1" customWidth="1"/>
    <col min="14849" max="14849" width="5.85546875" customWidth="1"/>
    <col min="14850" max="14850" width="59.42578125" customWidth="1"/>
    <col min="14851" max="14853" width="14.5703125" customWidth="1"/>
    <col min="14854" max="14854" width="15.5703125" customWidth="1"/>
    <col min="14857" max="14857" width="16.85546875" bestFit="1" customWidth="1"/>
    <col min="15105" max="15105" width="5.85546875" customWidth="1"/>
    <col min="15106" max="15106" width="59.42578125" customWidth="1"/>
    <col min="15107" max="15109" width="14.5703125" customWidth="1"/>
    <col min="15110" max="15110" width="15.5703125" customWidth="1"/>
    <col min="15113" max="15113" width="16.85546875" bestFit="1" customWidth="1"/>
    <col min="15361" max="15361" width="5.85546875" customWidth="1"/>
    <col min="15362" max="15362" width="59.42578125" customWidth="1"/>
    <col min="15363" max="15365" width="14.5703125" customWidth="1"/>
    <col min="15366" max="15366" width="15.5703125" customWidth="1"/>
    <col min="15369" max="15369" width="16.85546875" bestFit="1" customWidth="1"/>
    <col min="15617" max="15617" width="5.85546875" customWidth="1"/>
    <col min="15618" max="15618" width="59.42578125" customWidth="1"/>
    <col min="15619" max="15621" width="14.5703125" customWidth="1"/>
    <col min="15622" max="15622" width="15.5703125" customWidth="1"/>
    <col min="15625" max="15625" width="16.85546875" bestFit="1" customWidth="1"/>
    <col min="15873" max="15873" width="5.85546875" customWidth="1"/>
    <col min="15874" max="15874" width="59.42578125" customWidth="1"/>
    <col min="15875" max="15877" width="14.5703125" customWidth="1"/>
    <col min="15878" max="15878" width="15.5703125" customWidth="1"/>
    <col min="15881" max="15881" width="16.85546875" bestFit="1" customWidth="1"/>
    <col min="16129" max="16129" width="5.85546875" customWidth="1"/>
    <col min="16130" max="16130" width="59.42578125" customWidth="1"/>
    <col min="16131" max="16133" width="14.5703125" customWidth="1"/>
    <col min="16134" max="16134" width="15.5703125" customWidth="1"/>
    <col min="16137" max="16137" width="16.85546875" bestFit="1" customWidth="1"/>
  </cols>
  <sheetData>
    <row r="1" spans="1:9" ht="21">
      <c r="A1" s="295" t="s">
        <v>452</v>
      </c>
      <c r="B1" s="295"/>
      <c r="C1" s="295"/>
      <c r="D1" s="295"/>
      <c r="E1" s="295"/>
      <c r="F1" s="295"/>
    </row>
    <row r="2" spans="1:9" ht="21">
      <c r="A2" s="320" t="s">
        <v>89</v>
      </c>
      <c r="B2" s="320"/>
      <c r="C2" s="320"/>
      <c r="D2" s="320"/>
      <c r="E2" s="320"/>
      <c r="F2" s="320"/>
    </row>
    <row r="3" spans="1:9">
      <c r="A3" s="316" t="s">
        <v>2</v>
      </c>
      <c r="B3" s="322" t="s">
        <v>90</v>
      </c>
      <c r="C3" s="176" t="s">
        <v>5</v>
      </c>
      <c r="D3" s="177" t="s">
        <v>5</v>
      </c>
      <c r="E3" s="177" t="s">
        <v>5</v>
      </c>
      <c r="F3" s="176" t="s">
        <v>5</v>
      </c>
    </row>
    <row r="4" spans="1:9">
      <c r="A4" s="321"/>
      <c r="B4" s="302"/>
      <c r="C4" s="178" t="s">
        <v>6</v>
      </c>
      <c r="D4" s="179" t="s">
        <v>6</v>
      </c>
      <c r="E4" s="179" t="s">
        <v>6</v>
      </c>
      <c r="F4" s="178" t="s">
        <v>7</v>
      </c>
    </row>
    <row r="5" spans="1:9" ht="16.5">
      <c r="A5" s="28"/>
      <c r="B5" s="30"/>
      <c r="C5" s="181" t="s">
        <v>450</v>
      </c>
      <c r="D5" s="6" t="s">
        <v>451</v>
      </c>
      <c r="E5" s="6" t="s">
        <v>446</v>
      </c>
      <c r="F5" s="181"/>
    </row>
    <row r="6" spans="1:9" ht="16.5">
      <c r="A6" s="83">
        <v>1</v>
      </c>
      <c r="B6" s="202" t="s">
        <v>91</v>
      </c>
      <c r="C6" s="31">
        <v>953977552</v>
      </c>
      <c r="D6" s="31">
        <v>41559311</v>
      </c>
      <c r="E6" s="31">
        <f>+C6+D6</f>
        <v>995536863</v>
      </c>
      <c r="F6" s="31">
        <v>806550764</v>
      </c>
      <c r="I6" s="287">
        <f>+C6+D6</f>
        <v>995536863</v>
      </c>
    </row>
    <row r="7" spans="1:9" ht="16.5">
      <c r="A7" s="83"/>
      <c r="B7" s="202" t="s">
        <v>92</v>
      </c>
      <c r="C7" s="31"/>
      <c r="D7" s="31"/>
      <c r="E7" s="31">
        <f t="shared" ref="E7:E31" si="0">+C7+D7</f>
        <v>0</v>
      </c>
      <c r="F7" s="31"/>
    </row>
    <row r="8" spans="1:9" ht="16.5">
      <c r="A8" s="83">
        <v>2</v>
      </c>
      <c r="B8" s="70" t="s">
        <v>93</v>
      </c>
      <c r="C8" s="19"/>
      <c r="D8" s="19"/>
      <c r="E8" s="31">
        <f t="shared" si="0"/>
        <v>0</v>
      </c>
      <c r="F8" s="19"/>
    </row>
    <row r="9" spans="1:9" ht="16.5">
      <c r="A9" s="83">
        <v>3</v>
      </c>
      <c r="B9" s="71" t="s">
        <v>94</v>
      </c>
      <c r="C9" s="19">
        <v>-8448812</v>
      </c>
      <c r="D9" s="19"/>
      <c r="E9" s="31">
        <f t="shared" si="0"/>
        <v>-8448812</v>
      </c>
      <c r="F9" s="19">
        <v>6312568</v>
      </c>
    </row>
    <row r="10" spans="1:9" ht="16.5">
      <c r="A10" s="83">
        <v>4</v>
      </c>
      <c r="B10" s="70" t="s">
        <v>95</v>
      </c>
      <c r="C10" s="11">
        <v>537429951</v>
      </c>
      <c r="D10" s="19">
        <v>16882760</v>
      </c>
      <c r="E10" s="31">
        <f t="shared" si="0"/>
        <v>554312711</v>
      </c>
      <c r="F10" s="11">
        <v>448003458</v>
      </c>
    </row>
    <row r="11" spans="1:9" ht="16.5">
      <c r="A11" s="83"/>
      <c r="B11" s="70" t="s">
        <v>96</v>
      </c>
      <c r="C11" s="11"/>
      <c r="D11" s="11"/>
      <c r="E11" s="31">
        <f t="shared" si="0"/>
        <v>0</v>
      </c>
      <c r="F11" s="11">
        <f>+F7</f>
        <v>0</v>
      </c>
    </row>
    <row r="12" spans="1:9" ht="16.5">
      <c r="A12" s="83">
        <v>5</v>
      </c>
      <c r="B12" s="70" t="s">
        <v>97</v>
      </c>
      <c r="C12" s="11">
        <f>+C13+C14</f>
        <v>65238348</v>
      </c>
      <c r="D12" s="11">
        <f>+D13+D14</f>
        <v>6280690</v>
      </c>
      <c r="E12" s="31">
        <f t="shared" si="0"/>
        <v>71519038</v>
      </c>
      <c r="F12" s="11">
        <f>+F13+F14</f>
        <v>47075274</v>
      </c>
    </row>
    <row r="13" spans="1:9" ht="16.5">
      <c r="A13" s="83"/>
      <c r="B13" s="74" t="s">
        <v>98</v>
      </c>
      <c r="C13" s="19">
        <v>59574477</v>
      </c>
      <c r="D13" s="19">
        <v>6280690</v>
      </c>
      <c r="E13" s="31">
        <f t="shared" si="0"/>
        <v>65855167</v>
      </c>
      <c r="F13" s="19">
        <v>43267432</v>
      </c>
    </row>
    <row r="14" spans="1:9" ht="16.5">
      <c r="A14" s="83"/>
      <c r="B14" s="203" t="s">
        <v>99</v>
      </c>
      <c r="C14" s="19">
        <v>5663871</v>
      </c>
      <c r="D14" s="19">
        <v>0</v>
      </c>
      <c r="E14" s="31">
        <f t="shared" si="0"/>
        <v>5663871</v>
      </c>
      <c r="F14" s="19">
        <v>3807842</v>
      </c>
    </row>
    <row r="15" spans="1:9" ht="16.5">
      <c r="A15" s="83">
        <v>6</v>
      </c>
      <c r="B15" s="70" t="s">
        <v>100</v>
      </c>
      <c r="C15" s="19">
        <v>24062592</v>
      </c>
      <c r="D15" s="19">
        <v>0</v>
      </c>
      <c r="E15" s="31">
        <f t="shared" si="0"/>
        <v>24062592</v>
      </c>
      <c r="F15" s="19">
        <v>21608631</v>
      </c>
    </row>
    <row r="16" spans="1:9" ht="16.5">
      <c r="A16" s="83">
        <v>7</v>
      </c>
      <c r="B16" s="70" t="s">
        <v>101</v>
      </c>
      <c r="C16" s="19">
        <v>113518597</v>
      </c>
      <c r="D16" s="19">
        <v>4344553</v>
      </c>
      <c r="E16" s="31">
        <f t="shared" si="0"/>
        <v>117863150</v>
      </c>
      <c r="F16" s="19">
        <v>121530459</v>
      </c>
    </row>
    <row r="17" spans="1:6" ht="16.5">
      <c r="A17" s="204">
        <v>7.1</v>
      </c>
      <c r="B17" s="70" t="s">
        <v>102</v>
      </c>
      <c r="C17" s="19">
        <v>30391205</v>
      </c>
      <c r="D17" s="19"/>
      <c r="E17" s="31">
        <f t="shared" si="0"/>
        <v>30391205</v>
      </c>
      <c r="F17" s="19">
        <v>61516359</v>
      </c>
    </row>
    <row r="18" spans="1:6" ht="16.5">
      <c r="A18" s="83">
        <v>8</v>
      </c>
      <c r="B18" s="34" t="s">
        <v>103</v>
      </c>
      <c r="C18" s="11">
        <f>C10+C12+C15+C16+C17+C11</f>
        <v>770640693</v>
      </c>
      <c r="D18" s="11">
        <f>D10+D12+D15+D16+D17+D11</f>
        <v>27508003</v>
      </c>
      <c r="E18" s="31">
        <f t="shared" si="0"/>
        <v>798148696</v>
      </c>
      <c r="F18" s="11">
        <f>F10+F12+F15+F16+F17+F11</f>
        <v>699734181</v>
      </c>
    </row>
    <row r="19" spans="1:6" ht="16.5">
      <c r="A19" s="83">
        <v>9</v>
      </c>
      <c r="B19" s="70" t="s">
        <v>104</v>
      </c>
      <c r="C19" s="11">
        <f>C6+C8+C9-C18+C7</f>
        <v>174888047</v>
      </c>
      <c r="D19" s="11">
        <f>D6+D8+D9-D18+D7</f>
        <v>14051308</v>
      </c>
      <c r="E19" s="31">
        <f t="shared" si="0"/>
        <v>188939355</v>
      </c>
      <c r="F19" s="11">
        <v>113129181</v>
      </c>
    </row>
    <row r="20" spans="1:6" ht="16.5">
      <c r="A20" s="83">
        <v>10</v>
      </c>
      <c r="B20" s="70" t="s">
        <v>105</v>
      </c>
      <c r="C20" s="19"/>
      <c r="D20" s="19"/>
      <c r="E20" s="31">
        <f t="shared" si="0"/>
        <v>0</v>
      </c>
      <c r="F20" s="19"/>
    </row>
    <row r="21" spans="1:6" ht="16.5">
      <c r="A21" s="83">
        <v>11</v>
      </c>
      <c r="B21" s="70" t="s">
        <v>106</v>
      </c>
      <c r="C21" s="19"/>
      <c r="D21" s="19"/>
      <c r="E21" s="31">
        <f t="shared" si="0"/>
        <v>0</v>
      </c>
      <c r="F21" s="19"/>
    </row>
    <row r="22" spans="1:6" ht="16.5">
      <c r="A22" s="83">
        <v>12</v>
      </c>
      <c r="B22" s="70" t="s">
        <v>107</v>
      </c>
      <c r="C22" s="11">
        <v>-24067520</v>
      </c>
      <c r="D22" s="11">
        <f>D24+D26+D25</f>
        <v>-31760</v>
      </c>
      <c r="E22" s="31">
        <f t="shared" si="0"/>
        <v>-24099280</v>
      </c>
      <c r="F22" s="11">
        <f>F23+F24+F25+F26</f>
        <v>-13092885</v>
      </c>
    </row>
    <row r="23" spans="1:6" ht="16.5">
      <c r="A23" s="84"/>
      <c r="B23" s="74" t="s">
        <v>108</v>
      </c>
      <c r="C23" s="19"/>
      <c r="D23" s="19"/>
      <c r="E23" s="31">
        <f t="shared" si="0"/>
        <v>0</v>
      </c>
      <c r="F23" s="19"/>
    </row>
    <row r="24" spans="1:6" ht="16.5">
      <c r="A24" s="84"/>
      <c r="B24" s="74" t="s">
        <v>109</v>
      </c>
      <c r="C24" s="19">
        <v>-21100848</v>
      </c>
      <c r="D24" s="19">
        <v>1057</v>
      </c>
      <c r="E24" s="31">
        <f t="shared" si="0"/>
        <v>-21099791</v>
      </c>
      <c r="F24" s="19">
        <v>-13057661</v>
      </c>
    </row>
    <row r="25" spans="1:6" ht="16.5">
      <c r="A25" s="84"/>
      <c r="B25" s="74" t="s">
        <v>110</v>
      </c>
      <c r="C25" s="19">
        <v>-2969718</v>
      </c>
      <c r="D25" s="19">
        <v>-32817</v>
      </c>
      <c r="E25" s="31">
        <f t="shared" si="0"/>
        <v>-3002535</v>
      </c>
      <c r="F25" s="19">
        <v>-35224</v>
      </c>
    </row>
    <row r="26" spans="1:6" ht="16.5">
      <c r="A26" s="84"/>
      <c r="B26" s="74" t="s">
        <v>111</v>
      </c>
      <c r="C26" s="19">
        <v>3046</v>
      </c>
      <c r="D26" s="19"/>
      <c r="E26" s="31">
        <f t="shared" si="0"/>
        <v>3046</v>
      </c>
      <c r="F26" s="19">
        <v>0</v>
      </c>
    </row>
    <row r="27" spans="1:6">
      <c r="A27" s="84">
        <v>13</v>
      </c>
      <c r="B27" s="205" t="s">
        <v>112</v>
      </c>
      <c r="C27" s="11">
        <f>+C22</f>
        <v>-24067520</v>
      </c>
      <c r="D27" s="11">
        <f>+D22</f>
        <v>-31760</v>
      </c>
      <c r="E27" s="31">
        <f t="shared" si="0"/>
        <v>-24099280</v>
      </c>
      <c r="F27" s="11">
        <v>-13092885</v>
      </c>
    </row>
    <row r="28" spans="1:6">
      <c r="A28" s="84">
        <v>14</v>
      </c>
      <c r="B28" s="205" t="s">
        <v>113</v>
      </c>
      <c r="C28" s="11">
        <f>+C19+C27</f>
        <v>150820527</v>
      </c>
      <c r="D28" s="11">
        <f>+D19+D27</f>
        <v>14019548</v>
      </c>
      <c r="E28" s="31">
        <f t="shared" si="0"/>
        <v>164840075</v>
      </c>
      <c r="F28" s="11">
        <v>100036296</v>
      </c>
    </row>
    <row r="29" spans="1:6" ht="16.5">
      <c r="A29" s="83">
        <v>15</v>
      </c>
      <c r="B29" s="70" t="s">
        <v>114</v>
      </c>
      <c r="C29" s="19">
        <v>18121173</v>
      </c>
      <c r="D29" s="19">
        <v>1609693</v>
      </c>
      <c r="E29" s="31">
        <f t="shared" si="0"/>
        <v>19730866</v>
      </c>
      <c r="F29" s="19">
        <v>16282738</v>
      </c>
    </row>
    <row r="30" spans="1:6" ht="16.5">
      <c r="A30" s="84">
        <v>16</v>
      </c>
      <c r="B30" s="71" t="s">
        <v>115</v>
      </c>
      <c r="C30" s="11">
        <f>+C28-C29</f>
        <v>132699354</v>
      </c>
      <c r="D30" s="11">
        <f>+D28-D29</f>
        <v>12409855</v>
      </c>
      <c r="E30" s="31">
        <f t="shared" si="0"/>
        <v>145109209</v>
      </c>
      <c r="F30" s="11">
        <v>83753558</v>
      </c>
    </row>
    <row r="31" spans="1:6" ht="16.5">
      <c r="A31" s="83">
        <v>17</v>
      </c>
      <c r="B31" s="70" t="s">
        <v>116</v>
      </c>
      <c r="C31" s="19"/>
      <c r="D31" s="19"/>
      <c r="E31" s="31">
        <f t="shared" si="0"/>
        <v>0</v>
      </c>
      <c r="F31" s="19"/>
    </row>
  </sheetData>
  <mergeCells count="4">
    <mergeCell ref="A1:F1"/>
    <mergeCell ref="A2:F2"/>
    <mergeCell ref="A3:A4"/>
    <mergeCell ref="B3:B4"/>
  </mergeCells>
  <pageMargins left="0.56999999999999995" right="0.54" top="0.75" bottom="0.75" header="0.3" footer="0.3"/>
  <pageSetup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8"/>
  <sheetViews>
    <sheetView topLeftCell="A22" workbookViewId="0">
      <selection activeCell="H8" sqref="H8"/>
    </sheetView>
  </sheetViews>
  <sheetFormatPr defaultColWidth="10.28515625" defaultRowHeight="12.75"/>
  <cols>
    <col min="1" max="1" width="5" style="60" customWidth="1"/>
    <col min="2" max="2" width="54" style="60" customWidth="1"/>
    <col min="3" max="3" width="17" style="61" customWidth="1"/>
    <col min="4" max="4" width="17.140625" style="61" customWidth="1"/>
    <col min="5" max="5" width="16.5703125" style="61" customWidth="1"/>
    <col min="6" max="6" width="15.42578125" style="61" customWidth="1"/>
    <col min="7" max="7" width="10.28515625" style="60"/>
    <col min="8" max="8" width="10.28515625" style="60" customWidth="1"/>
    <col min="9" max="9" width="10.42578125" style="60" bestFit="1" customWidth="1"/>
    <col min="10" max="256" width="10.28515625" style="60"/>
    <col min="257" max="257" width="5" style="60" customWidth="1"/>
    <col min="258" max="258" width="54" style="60" customWidth="1"/>
    <col min="259" max="259" width="17" style="60" customWidth="1"/>
    <col min="260" max="260" width="17.140625" style="60" customWidth="1"/>
    <col min="261" max="261" width="16.5703125" style="60" customWidth="1"/>
    <col min="262" max="262" width="15.42578125" style="60" customWidth="1"/>
    <col min="263" max="263" width="10.28515625" style="60"/>
    <col min="264" max="264" width="10.28515625" style="60" customWidth="1"/>
    <col min="265" max="512" width="10.28515625" style="60"/>
    <col min="513" max="513" width="5" style="60" customWidth="1"/>
    <col min="514" max="514" width="54" style="60" customWidth="1"/>
    <col min="515" max="515" width="17" style="60" customWidth="1"/>
    <col min="516" max="516" width="17.140625" style="60" customWidth="1"/>
    <col min="517" max="517" width="16.5703125" style="60" customWidth="1"/>
    <col min="518" max="518" width="15.42578125" style="60" customWidth="1"/>
    <col min="519" max="519" width="10.28515625" style="60"/>
    <col min="520" max="520" width="10.28515625" style="60" customWidth="1"/>
    <col min="521" max="768" width="10.28515625" style="60"/>
    <col min="769" max="769" width="5" style="60" customWidth="1"/>
    <col min="770" max="770" width="54" style="60" customWidth="1"/>
    <col min="771" max="771" width="17" style="60" customWidth="1"/>
    <col min="772" max="772" width="17.140625" style="60" customWidth="1"/>
    <col min="773" max="773" width="16.5703125" style="60" customWidth="1"/>
    <col min="774" max="774" width="15.42578125" style="60" customWidth="1"/>
    <col min="775" max="775" width="10.28515625" style="60"/>
    <col min="776" max="776" width="10.28515625" style="60" customWidth="1"/>
    <col min="777" max="1024" width="10.28515625" style="60"/>
    <col min="1025" max="1025" width="5" style="60" customWidth="1"/>
    <col min="1026" max="1026" width="54" style="60" customWidth="1"/>
    <col min="1027" max="1027" width="17" style="60" customWidth="1"/>
    <col min="1028" max="1028" width="17.140625" style="60" customWidth="1"/>
    <col min="1029" max="1029" width="16.5703125" style="60" customWidth="1"/>
    <col min="1030" max="1030" width="15.42578125" style="60" customWidth="1"/>
    <col min="1031" max="1031" width="10.28515625" style="60"/>
    <col min="1032" max="1032" width="10.28515625" style="60" customWidth="1"/>
    <col min="1033" max="1280" width="10.28515625" style="60"/>
    <col min="1281" max="1281" width="5" style="60" customWidth="1"/>
    <col min="1282" max="1282" width="54" style="60" customWidth="1"/>
    <col min="1283" max="1283" width="17" style="60" customWidth="1"/>
    <col min="1284" max="1284" width="17.140625" style="60" customWidth="1"/>
    <col min="1285" max="1285" width="16.5703125" style="60" customWidth="1"/>
    <col min="1286" max="1286" width="15.42578125" style="60" customWidth="1"/>
    <col min="1287" max="1287" width="10.28515625" style="60"/>
    <col min="1288" max="1288" width="10.28515625" style="60" customWidth="1"/>
    <col min="1289" max="1536" width="10.28515625" style="60"/>
    <col min="1537" max="1537" width="5" style="60" customWidth="1"/>
    <col min="1538" max="1538" width="54" style="60" customWidth="1"/>
    <col min="1539" max="1539" width="17" style="60" customWidth="1"/>
    <col min="1540" max="1540" width="17.140625" style="60" customWidth="1"/>
    <col min="1541" max="1541" width="16.5703125" style="60" customWidth="1"/>
    <col min="1542" max="1542" width="15.42578125" style="60" customWidth="1"/>
    <col min="1543" max="1543" width="10.28515625" style="60"/>
    <col min="1544" max="1544" width="10.28515625" style="60" customWidth="1"/>
    <col min="1545" max="1792" width="10.28515625" style="60"/>
    <col min="1793" max="1793" width="5" style="60" customWidth="1"/>
    <col min="1794" max="1794" width="54" style="60" customWidth="1"/>
    <col min="1795" max="1795" width="17" style="60" customWidth="1"/>
    <col min="1796" max="1796" width="17.140625" style="60" customWidth="1"/>
    <col min="1797" max="1797" width="16.5703125" style="60" customWidth="1"/>
    <col min="1798" max="1798" width="15.42578125" style="60" customWidth="1"/>
    <col min="1799" max="1799" width="10.28515625" style="60"/>
    <col min="1800" max="1800" width="10.28515625" style="60" customWidth="1"/>
    <col min="1801" max="2048" width="10.28515625" style="60"/>
    <col min="2049" max="2049" width="5" style="60" customWidth="1"/>
    <col min="2050" max="2050" width="54" style="60" customWidth="1"/>
    <col min="2051" max="2051" width="17" style="60" customWidth="1"/>
    <col min="2052" max="2052" width="17.140625" style="60" customWidth="1"/>
    <col min="2053" max="2053" width="16.5703125" style="60" customWidth="1"/>
    <col min="2054" max="2054" width="15.42578125" style="60" customWidth="1"/>
    <col min="2055" max="2055" width="10.28515625" style="60"/>
    <col min="2056" max="2056" width="10.28515625" style="60" customWidth="1"/>
    <col min="2057" max="2304" width="10.28515625" style="60"/>
    <col min="2305" max="2305" width="5" style="60" customWidth="1"/>
    <col min="2306" max="2306" width="54" style="60" customWidth="1"/>
    <col min="2307" max="2307" width="17" style="60" customWidth="1"/>
    <col min="2308" max="2308" width="17.140625" style="60" customWidth="1"/>
    <col min="2309" max="2309" width="16.5703125" style="60" customWidth="1"/>
    <col min="2310" max="2310" width="15.42578125" style="60" customWidth="1"/>
    <col min="2311" max="2311" width="10.28515625" style="60"/>
    <col min="2312" max="2312" width="10.28515625" style="60" customWidth="1"/>
    <col min="2313" max="2560" width="10.28515625" style="60"/>
    <col min="2561" max="2561" width="5" style="60" customWidth="1"/>
    <col min="2562" max="2562" width="54" style="60" customWidth="1"/>
    <col min="2563" max="2563" width="17" style="60" customWidth="1"/>
    <col min="2564" max="2564" width="17.140625" style="60" customWidth="1"/>
    <col min="2565" max="2565" width="16.5703125" style="60" customWidth="1"/>
    <col min="2566" max="2566" width="15.42578125" style="60" customWidth="1"/>
    <col min="2567" max="2567" width="10.28515625" style="60"/>
    <col min="2568" max="2568" width="10.28515625" style="60" customWidth="1"/>
    <col min="2569" max="2816" width="10.28515625" style="60"/>
    <col min="2817" max="2817" width="5" style="60" customWidth="1"/>
    <col min="2818" max="2818" width="54" style="60" customWidth="1"/>
    <col min="2819" max="2819" width="17" style="60" customWidth="1"/>
    <col min="2820" max="2820" width="17.140625" style="60" customWidth="1"/>
    <col min="2821" max="2821" width="16.5703125" style="60" customWidth="1"/>
    <col min="2822" max="2822" width="15.42578125" style="60" customWidth="1"/>
    <col min="2823" max="2823" width="10.28515625" style="60"/>
    <col min="2824" max="2824" width="10.28515625" style="60" customWidth="1"/>
    <col min="2825" max="3072" width="10.28515625" style="60"/>
    <col min="3073" max="3073" width="5" style="60" customWidth="1"/>
    <col min="3074" max="3074" width="54" style="60" customWidth="1"/>
    <col min="3075" max="3075" width="17" style="60" customWidth="1"/>
    <col min="3076" max="3076" width="17.140625" style="60" customWidth="1"/>
    <col min="3077" max="3077" width="16.5703125" style="60" customWidth="1"/>
    <col min="3078" max="3078" width="15.42578125" style="60" customWidth="1"/>
    <col min="3079" max="3079" width="10.28515625" style="60"/>
    <col min="3080" max="3080" width="10.28515625" style="60" customWidth="1"/>
    <col min="3081" max="3328" width="10.28515625" style="60"/>
    <col min="3329" max="3329" width="5" style="60" customWidth="1"/>
    <col min="3330" max="3330" width="54" style="60" customWidth="1"/>
    <col min="3331" max="3331" width="17" style="60" customWidth="1"/>
    <col min="3332" max="3332" width="17.140625" style="60" customWidth="1"/>
    <col min="3333" max="3333" width="16.5703125" style="60" customWidth="1"/>
    <col min="3334" max="3334" width="15.42578125" style="60" customWidth="1"/>
    <col min="3335" max="3335" width="10.28515625" style="60"/>
    <col min="3336" max="3336" width="10.28515625" style="60" customWidth="1"/>
    <col min="3337" max="3584" width="10.28515625" style="60"/>
    <col min="3585" max="3585" width="5" style="60" customWidth="1"/>
    <col min="3586" max="3586" width="54" style="60" customWidth="1"/>
    <col min="3587" max="3587" width="17" style="60" customWidth="1"/>
    <col min="3588" max="3588" width="17.140625" style="60" customWidth="1"/>
    <col min="3589" max="3589" width="16.5703125" style="60" customWidth="1"/>
    <col min="3590" max="3590" width="15.42578125" style="60" customWidth="1"/>
    <col min="3591" max="3591" width="10.28515625" style="60"/>
    <col min="3592" max="3592" width="10.28515625" style="60" customWidth="1"/>
    <col min="3593" max="3840" width="10.28515625" style="60"/>
    <col min="3841" max="3841" width="5" style="60" customWidth="1"/>
    <col min="3842" max="3842" width="54" style="60" customWidth="1"/>
    <col min="3843" max="3843" width="17" style="60" customWidth="1"/>
    <col min="3844" max="3844" width="17.140625" style="60" customWidth="1"/>
    <col min="3845" max="3845" width="16.5703125" style="60" customWidth="1"/>
    <col min="3846" max="3846" width="15.42578125" style="60" customWidth="1"/>
    <col min="3847" max="3847" width="10.28515625" style="60"/>
    <col min="3848" max="3848" width="10.28515625" style="60" customWidth="1"/>
    <col min="3849" max="4096" width="10.28515625" style="60"/>
    <col min="4097" max="4097" width="5" style="60" customWidth="1"/>
    <col min="4098" max="4098" width="54" style="60" customWidth="1"/>
    <col min="4099" max="4099" width="17" style="60" customWidth="1"/>
    <col min="4100" max="4100" width="17.140625" style="60" customWidth="1"/>
    <col min="4101" max="4101" width="16.5703125" style="60" customWidth="1"/>
    <col min="4102" max="4102" width="15.42578125" style="60" customWidth="1"/>
    <col min="4103" max="4103" width="10.28515625" style="60"/>
    <col min="4104" max="4104" width="10.28515625" style="60" customWidth="1"/>
    <col min="4105" max="4352" width="10.28515625" style="60"/>
    <col min="4353" max="4353" width="5" style="60" customWidth="1"/>
    <col min="4354" max="4354" width="54" style="60" customWidth="1"/>
    <col min="4355" max="4355" width="17" style="60" customWidth="1"/>
    <col min="4356" max="4356" width="17.140625" style="60" customWidth="1"/>
    <col min="4357" max="4357" width="16.5703125" style="60" customWidth="1"/>
    <col min="4358" max="4358" width="15.42578125" style="60" customWidth="1"/>
    <col min="4359" max="4359" width="10.28515625" style="60"/>
    <col min="4360" max="4360" width="10.28515625" style="60" customWidth="1"/>
    <col min="4361" max="4608" width="10.28515625" style="60"/>
    <col min="4609" max="4609" width="5" style="60" customWidth="1"/>
    <col min="4610" max="4610" width="54" style="60" customWidth="1"/>
    <col min="4611" max="4611" width="17" style="60" customWidth="1"/>
    <col min="4612" max="4612" width="17.140625" style="60" customWidth="1"/>
    <col min="4613" max="4613" width="16.5703125" style="60" customWidth="1"/>
    <col min="4614" max="4614" width="15.42578125" style="60" customWidth="1"/>
    <col min="4615" max="4615" width="10.28515625" style="60"/>
    <col min="4616" max="4616" width="10.28515625" style="60" customWidth="1"/>
    <col min="4617" max="4864" width="10.28515625" style="60"/>
    <col min="4865" max="4865" width="5" style="60" customWidth="1"/>
    <col min="4866" max="4866" width="54" style="60" customWidth="1"/>
    <col min="4867" max="4867" width="17" style="60" customWidth="1"/>
    <col min="4868" max="4868" width="17.140625" style="60" customWidth="1"/>
    <col min="4869" max="4869" width="16.5703125" style="60" customWidth="1"/>
    <col min="4870" max="4870" width="15.42578125" style="60" customWidth="1"/>
    <col min="4871" max="4871" width="10.28515625" style="60"/>
    <col min="4872" max="4872" width="10.28515625" style="60" customWidth="1"/>
    <col min="4873" max="5120" width="10.28515625" style="60"/>
    <col min="5121" max="5121" width="5" style="60" customWidth="1"/>
    <col min="5122" max="5122" width="54" style="60" customWidth="1"/>
    <col min="5123" max="5123" width="17" style="60" customWidth="1"/>
    <col min="5124" max="5124" width="17.140625" style="60" customWidth="1"/>
    <col min="5125" max="5125" width="16.5703125" style="60" customWidth="1"/>
    <col min="5126" max="5126" width="15.42578125" style="60" customWidth="1"/>
    <col min="5127" max="5127" width="10.28515625" style="60"/>
    <col min="5128" max="5128" width="10.28515625" style="60" customWidth="1"/>
    <col min="5129" max="5376" width="10.28515625" style="60"/>
    <col min="5377" max="5377" width="5" style="60" customWidth="1"/>
    <col min="5378" max="5378" width="54" style="60" customWidth="1"/>
    <col min="5379" max="5379" width="17" style="60" customWidth="1"/>
    <col min="5380" max="5380" width="17.140625" style="60" customWidth="1"/>
    <col min="5381" max="5381" width="16.5703125" style="60" customWidth="1"/>
    <col min="5382" max="5382" width="15.42578125" style="60" customWidth="1"/>
    <col min="5383" max="5383" width="10.28515625" style="60"/>
    <col min="5384" max="5384" width="10.28515625" style="60" customWidth="1"/>
    <col min="5385" max="5632" width="10.28515625" style="60"/>
    <col min="5633" max="5633" width="5" style="60" customWidth="1"/>
    <col min="5634" max="5634" width="54" style="60" customWidth="1"/>
    <col min="5635" max="5635" width="17" style="60" customWidth="1"/>
    <col min="5636" max="5636" width="17.140625" style="60" customWidth="1"/>
    <col min="5637" max="5637" width="16.5703125" style="60" customWidth="1"/>
    <col min="5638" max="5638" width="15.42578125" style="60" customWidth="1"/>
    <col min="5639" max="5639" width="10.28515625" style="60"/>
    <col min="5640" max="5640" width="10.28515625" style="60" customWidth="1"/>
    <col min="5641" max="5888" width="10.28515625" style="60"/>
    <col min="5889" max="5889" width="5" style="60" customWidth="1"/>
    <col min="5890" max="5890" width="54" style="60" customWidth="1"/>
    <col min="5891" max="5891" width="17" style="60" customWidth="1"/>
    <col min="5892" max="5892" width="17.140625" style="60" customWidth="1"/>
    <col min="5893" max="5893" width="16.5703125" style="60" customWidth="1"/>
    <col min="5894" max="5894" width="15.42578125" style="60" customWidth="1"/>
    <col min="5895" max="5895" width="10.28515625" style="60"/>
    <col min="5896" max="5896" width="10.28515625" style="60" customWidth="1"/>
    <col min="5897" max="6144" width="10.28515625" style="60"/>
    <col min="6145" max="6145" width="5" style="60" customWidth="1"/>
    <col min="6146" max="6146" width="54" style="60" customWidth="1"/>
    <col min="6147" max="6147" width="17" style="60" customWidth="1"/>
    <col min="6148" max="6148" width="17.140625" style="60" customWidth="1"/>
    <col min="6149" max="6149" width="16.5703125" style="60" customWidth="1"/>
    <col min="6150" max="6150" width="15.42578125" style="60" customWidth="1"/>
    <col min="6151" max="6151" width="10.28515625" style="60"/>
    <col min="6152" max="6152" width="10.28515625" style="60" customWidth="1"/>
    <col min="6153" max="6400" width="10.28515625" style="60"/>
    <col min="6401" max="6401" width="5" style="60" customWidth="1"/>
    <col min="6402" max="6402" width="54" style="60" customWidth="1"/>
    <col min="6403" max="6403" width="17" style="60" customWidth="1"/>
    <col min="6404" max="6404" width="17.140625" style="60" customWidth="1"/>
    <col min="6405" max="6405" width="16.5703125" style="60" customWidth="1"/>
    <col min="6406" max="6406" width="15.42578125" style="60" customWidth="1"/>
    <col min="6407" max="6407" width="10.28515625" style="60"/>
    <col min="6408" max="6408" width="10.28515625" style="60" customWidth="1"/>
    <col min="6409" max="6656" width="10.28515625" style="60"/>
    <col min="6657" max="6657" width="5" style="60" customWidth="1"/>
    <col min="6658" max="6658" width="54" style="60" customWidth="1"/>
    <col min="6659" max="6659" width="17" style="60" customWidth="1"/>
    <col min="6660" max="6660" width="17.140625" style="60" customWidth="1"/>
    <col min="6661" max="6661" width="16.5703125" style="60" customWidth="1"/>
    <col min="6662" max="6662" width="15.42578125" style="60" customWidth="1"/>
    <col min="6663" max="6663" width="10.28515625" style="60"/>
    <col min="6664" max="6664" width="10.28515625" style="60" customWidth="1"/>
    <col min="6665" max="6912" width="10.28515625" style="60"/>
    <col min="6913" max="6913" width="5" style="60" customWidth="1"/>
    <col min="6914" max="6914" width="54" style="60" customWidth="1"/>
    <col min="6915" max="6915" width="17" style="60" customWidth="1"/>
    <col min="6916" max="6916" width="17.140625" style="60" customWidth="1"/>
    <col min="6917" max="6917" width="16.5703125" style="60" customWidth="1"/>
    <col min="6918" max="6918" width="15.42578125" style="60" customWidth="1"/>
    <col min="6919" max="6919" width="10.28515625" style="60"/>
    <col min="6920" max="6920" width="10.28515625" style="60" customWidth="1"/>
    <col min="6921" max="7168" width="10.28515625" style="60"/>
    <col min="7169" max="7169" width="5" style="60" customWidth="1"/>
    <col min="7170" max="7170" width="54" style="60" customWidth="1"/>
    <col min="7171" max="7171" width="17" style="60" customWidth="1"/>
    <col min="7172" max="7172" width="17.140625" style="60" customWidth="1"/>
    <col min="7173" max="7173" width="16.5703125" style="60" customWidth="1"/>
    <col min="7174" max="7174" width="15.42578125" style="60" customWidth="1"/>
    <col min="7175" max="7175" width="10.28515625" style="60"/>
    <col min="7176" max="7176" width="10.28515625" style="60" customWidth="1"/>
    <col min="7177" max="7424" width="10.28515625" style="60"/>
    <col min="7425" max="7425" width="5" style="60" customWidth="1"/>
    <col min="7426" max="7426" width="54" style="60" customWidth="1"/>
    <col min="7427" max="7427" width="17" style="60" customWidth="1"/>
    <col min="7428" max="7428" width="17.140625" style="60" customWidth="1"/>
    <col min="7429" max="7429" width="16.5703125" style="60" customWidth="1"/>
    <col min="7430" max="7430" width="15.42578125" style="60" customWidth="1"/>
    <col min="7431" max="7431" width="10.28515625" style="60"/>
    <col min="7432" max="7432" width="10.28515625" style="60" customWidth="1"/>
    <col min="7433" max="7680" width="10.28515625" style="60"/>
    <col min="7681" max="7681" width="5" style="60" customWidth="1"/>
    <col min="7682" max="7682" width="54" style="60" customWidth="1"/>
    <col min="7683" max="7683" width="17" style="60" customWidth="1"/>
    <col min="7684" max="7684" width="17.140625" style="60" customWidth="1"/>
    <col min="7685" max="7685" width="16.5703125" style="60" customWidth="1"/>
    <col min="7686" max="7686" width="15.42578125" style="60" customWidth="1"/>
    <col min="7687" max="7687" width="10.28515625" style="60"/>
    <col min="7688" max="7688" width="10.28515625" style="60" customWidth="1"/>
    <col min="7689" max="7936" width="10.28515625" style="60"/>
    <col min="7937" max="7937" width="5" style="60" customWidth="1"/>
    <col min="7938" max="7938" width="54" style="60" customWidth="1"/>
    <col min="7939" max="7939" width="17" style="60" customWidth="1"/>
    <col min="7940" max="7940" width="17.140625" style="60" customWidth="1"/>
    <col min="7941" max="7941" width="16.5703125" style="60" customWidth="1"/>
    <col min="7942" max="7942" width="15.42578125" style="60" customWidth="1"/>
    <col min="7943" max="7943" width="10.28515625" style="60"/>
    <col min="7944" max="7944" width="10.28515625" style="60" customWidth="1"/>
    <col min="7945" max="8192" width="10.28515625" style="60"/>
    <col min="8193" max="8193" width="5" style="60" customWidth="1"/>
    <col min="8194" max="8194" width="54" style="60" customWidth="1"/>
    <col min="8195" max="8195" width="17" style="60" customWidth="1"/>
    <col min="8196" max="8196" width="17.140625" style="60" customWidth="1"/>
    <col min="8197" max="8197" width="16.5703125" style="60" customWidth="1"/>
    <col min="8198" max="8198" width="15.42578125" style="60" customWidth="1"/>
    <col min="8199" max="8199" width="10.28515625" style="60"/>
    <col min="8200" max="8200" width="10.28515625" style="60" customWidth="1"/>
    <col min="8201" max="8448" width="10.28515625" style="60"/>
    <col min="8449" max="8449" width="5" style="60" customWidth="1"/>
    <col min="8450" max="8450" width="54" style="60" customWidth="1"/>
    <col min="8451" max="8451" width="17" style="60" customWidth="1"/>
    <col min="8452" max="8452" width="17.140625" style="60" customWidth="1"/>
    <col min="8453" max="8453" width="16.5703125" style="60" customWidth="1"/>
    <col min="8454" max="8454" width="15.42578125" style="60" customWidth="1"/>
    <col min="8455" max="8455" width="10.28515625" style="60"/>
    <col min="8456" max="8456" width="10.28515625" style="60" customWidth="1"/>
    <col min="8457" max="8704" width="10.28515625" style="60"/>
    <col min="8705" max="8705" width="5" style="60" customWidth="1"/>
    <col min="8706" max="8706" width="54" style="60" customWidth="1"/>
    <col min="8707" max="8707" width="17" style="60" customWidth="1"/>
    <col min="8708" max="8708" width="17.140625" style="60" customWidth="1"/>
    <col min="8709" max="8709" width="16.5703125" style="60" customWidth="1"/>
    <col min="8710" max="8710" width="15.42578125" style="60" customWidth="1"/>
    <col min="8711" max="8711" width="10.28515625" style="60"/>
    <col min="8712" max="8712" width="10.28515625" style="60" customWidth="1"/>
    <col min="8713" max="8960" width="10.28515625" style="60"/>
    <col min="8961" max="8961" width="5" style="60" customWidth="1"/>
    <col min="8962" max="8962" width="54" style="60" customWidth="1"/>
    <col min="8963" max="8963" width="17" style="60" customWidth="1"/>
    <col min="8964" max="8964" width="17.140625" style="60" customWidth="1"/>
    <col min="8965" max="8965" width="16.5703125" style="60" customWidth="1"/>
    <col min="8966" max="8966" width="15.42578125" style="60" customWidth="1"/>
    <col min="8967" max="8967" width="10.28515625" style="60"/>
    <col min="8968" max="8968" width="10.28515625" style="60" customWidth="1"/>
    <col min="8969" max="9216" width="10.28515625" style="60"/>
    <col min="9217" max="9217" width="5" style="60" customWidth="1"/>
    <col min="9218" max="9218" width="54" style="60" customWidth="1"/>
    <col min="9219" max="9219" width="17" style="60" customWidth="1"/>
    <col min="9220" max="9220" width="17.140625" style="60" customWidth="1"/>
    <col min="9221" max="9221" width="16.5703125" style="60" customWidth="1"/>
    <col min="9222" max="9222" width="15.42578125" style="60" customWidth="1"/>
    <col min="9223" max="9223" width="10.28515625" style="60"/>
    <col min="9224" max="9224" width="10.28515625" style="60" customWidth="1"/>
    <col min="9225" max="9472" width="10.28515625" style="60"/>
    <col min="9473" max="9473" width="5" style="60" customWidth="1"/>
    <col min="9474" max="9474" width="54" style="60" customWidth="1"/>
    <col min="9475" max="9475" width="17" style="60" customWidth="1"/>
    <col min="9476" max="9476" width="17.140625" style="60" customWidth="1"/>
    <col min="9477" max="9477" width="16.5703125" style="60" customWidth="1"/>
    <col min="9478" max="9478" width="15.42578125" style="60" customWidth="1"/>
    <col min="9479" max="9479" width="10.28515625" style="60"/>
    <col min="9480" max="9480" width="10.28515625" style="60" customWidth="1"/>
    <col min="9481" max="9728" width="10.28515625" style="60"/>
    <col min="9729" max="9729" width="5" style="60" customWidth="1"/>
    <col min="9730" max="9730" width="54" style="60" customWidth="1"/>
    <col min="9731" max="9731" width="17" style="60" customWidth="1"/>
    <col min="9732" max="9732" width="17.140625" style="60" customWidth="1"/>
    <col min="9733" max="9733" width="16.5703125" style="60" customWidth="1"/>
    <col min="9734" max="9734" width="15.42578125" style="60" customWidth="1"/>
    <col min="9735" max="9735" width="10.28515625" style="60"/>
    <col min="9736" max="9736" width="10.28515625" style="60" customWidth="1"/>
    <col min="9737" max="9984" width="10.28515625" style="60"/>
    <col min="9985" max="9985" width="5" style="60" customWidth="1"/>
    <col min="9986" max="9986" width="54" style="60" customWidth="1"/>
    <col min="9987" max="9987" width="17" style="60" customWidth="1"/>
    <col min="9988" max="9988" width="17.140625" style="60" customWidth="1"/>
    <col min="9989" max="9989" width="16.5703125" style="60" customWidth="1"/>
    <col min="9990" max="9990" width="15.42578125" style="60" customWidth="1"/>
    <col min="9991" max="9991" width="10.28515625" style="60"/>
    <col min="9992" max="9992" width="10.28515625" style="60" customWidth="1"/>
    <col min="9993" max="10240" width="10.28515625" style="60"/>
    <col min="10241" max="10241" width="5" style="60" customWidth="1"/>
    <col min="10242" max="10242" width="54" style="60" customWidth="1"/>
    <col min="10243" max="10243" width="17" style="60" customWidth="1"/>
    <col min="10244" max="10244" width="17.140625" style="60" customWidth="1"/>
    <col min="10245" max="10245" width="16.5703125" style="60" customWidth="1"/>
    <col min="10246" max="10246" width="15.42578125" style="60" customWidth="1"/>
    <col min="10247" max="10247" width="10.28515625" style="60"/>
    <col min="10248" max="10248" width="10.28515625" style="60" customWidth="1"/>
    <col min="10249" max="10496" width="10.28515625" style="60"/>
    <col min="10497" max="10497" width="5" style="60" customWidth="1"/>
    <col min="10498" max="10498" width="54" style="60" customWidth="1"/>
    <col min="10499" max="10499" width="17" style="60" customWidth="1"/>
    <col min="10500" max="10500" width="17.140625" style="60" customWidth="1"/>
    <col min="10501" max="10501" width="16.5703125" style="60" customWidth="1"/>
    <col min="10502" max="10502" width="15.42578125" style="60" customWidth="1"/>
    <col min="10503" max="10503" width="10.28515625" style="60"/>
    <col min="10504" max="10504" width="10.28515625" style="60" customWidth="1"/>
    <col min="10505" max="10752" width="10.28515625" style="60"/>
    <col min="10753" max="10753" width="5" style="60" customWidth="1"/>
    <col min="10754" max="10754" width="54" style="60" customWidth="1"/>
    <col min="10755" max="10755" width="17" style="60" customWidth="1"/>
    <col min="10756" max="10756" width="17.140625" style="60" customWidth="1"/>
    <col min="10757" max="10757" width="16.5703125" style="60" customWidth="1"/>
    <col min="10758" max="10758" width="15.42578125" style="60" customWidth="1"/>
    <col min="10759" max="10759" width="10.28515625" style="60"/>
    <col min="10760" max="10760" width="10.28515625" style="60" customWidth="1"/>
    <col min="10761" max="11008" width="10.28515625" style="60"/>
    <col min="11009" max="11009" width="5" style="60" customWidth="1"/>
    <col min="11010" max="11010" width="54" style="60" customWidth="1"/>
    <col min="11011" max="11011" width="17" style="60" customWidth="1"/>
    <col min="11012" max="11012" width="17.140625" style="60" customWidth="1"/>
    <col min="11013" max="11013" width="16.5703125" style="60" customWidth="1"/>
    <col min="11014" max="11014" width="15.42578125" style="60" customWidth="1"/>
    <col min="11015" max="11015" width="10.28515625" style="60"/>
    <col min="11016" max="11016" width="10.28515625" style="60" customWidth="1"/>
    <col min="11017" max="11264" width="10.28515625" style="60"/>
    <col min="11265" max="11265" width="5" style="60" customWidth="1"/>
    <col min="11266" max="11266" width="54" style="60" customWidth="1"/>
    <col min="11267" max="11267" width="17" style="60" customWidth="1"/>
    <col min="11268" max="11268" width="17.140625" style="60" customWidth="1"/>
    <col min="11269" max="11269" width="16.5703125" style="60" customWidth="1"/>
    <col min="11270" max="11270" width="15.42578125" style="60" customWidth="1"/>
    <col min="11271" max="11271" width="10.28515625" style="60"/>
    <col min="11272" max="11272" width="10.28515625" style="60" customWidth="1"/>
    <col min="11273" max="11520" width="10.28515625" style="60"/>
    <col min="11521" max="11521" width="5" style="60" customWidth="1"/>
    <col min="11522" max="11522" width="54" style="60" customWidth="1"/>
    <col min="11523" max="11523" width="17" style="60" customWidth="1"/>
    <col min="11524" max="11524" width="17.140625" style="60" customWidth="1"/>
    <col min="11525" max="11525" width="16.5703125" style="60" customWidth="1"/>
    <col min="11526" max="11526" width="15.42578125" style="60" customWidth="1"/>
    <col min="11527" max="11527" width="10.28515625" style="60"/>
    <col min="11528" max="11528" width="10.28515625" style="60" customWidth="1"/>
    <col min="11529" max="11776" width="10.28515625" style="60"/>
    <col min="11777" max="11777" width="5" style="60" customWidth="1"/>
    <col min="11778" max="11778" width="54" style="60" customWidth="1"/>
    <col min="11779" max="11779" width="17" style="60" customWidth="1"/>
    <col min="11780" max="11780" width="17.140625" style="60" customWidth="1"/>
    <col min="11781" max="11781" width="16.5703125" style="60" customWidth="1"/>
    <col min="11782" max="11782" width="15.42578125" style="60" customWidth="1"/>
    <col min="11783" max="11783" width="10.28515625" style="60"/>
    <col min="11784" max="11784" width="10.28515625" style="60" customWidth="1"/>
    <col min="11785" max="12032" width="10.28515625" style="60"/>
    <col min="12033" max="12033" width="5" style="60" customWidth="1"/>
    <col min="12034" max="12034" width="54" style="60" customWidth="1"/>
    <col min="12035" max="12035" width="17" style="60" customWidth="1"/>
    <col min="12036" max="12036" width="17.140625" style="60" customWidth="1"/>
    <col min="12037" max="12037" width="16.5703125" style="60" customWidth="1"/>
    <col min="12038" max="12038" width="15.42578125" style="60" customWidth="1"/>
    <col min="12039" max="12039" width="10.28515625" style="60"/>
    <col min="12040" max="12040" width="10.28515625" style="60" customWidth="1"/>
    <col min="12041" max="12288" width="10.28515625" style="60"/>
    <col min="12289" max="12289" width="5" style="60" customWidth="1"/>
    <col min="12290" max="12290" width="54" style="60" customWidth="1"/>
    <col min="12291" max="12291" width="17" style="60" customWidth="1"/>
    <col min="12292" max="12292" width="17.140625" style="60" customWidth="1"/>
    <col min="12293" max="12293" width="16.5703125" style="60" customWidth="1"/>
    <col min="12294" max="12294" width="15.42578125" style="60" customWidth="1"/>
    <col min="12295" max="12295" width="10.28515625" style="60"/>
    <col min="12296" max="12296" width="10.28515625" style="60" customWidth="1"/>
    <col min="12297" max="12544" width="10.28515625" style="60"/>
    <col min="12545" max="12545" width="5" style="60" customWidth="1"/>
    <col min="12546" max="12546" width="54" style="60" customWidth="1"/>
    <col min="12547" max="12547" width="17" style="60" customWidth="1"/>
    <col min="12548" max="12548" width="17.140625" style="60" customWidth="1"/>
    <col min="12549" max="12549" width="16.5703125" style="60" customWidth="1"/>
    <col min="12550" max="12550" width="15.42578125" style="60" customWidth="1"/>
    <col min="12551" max="12551" width="10.28515625" style="60"/>
    <col min="12552" max="12552" width="10.28515625" style="60" customWidth="1"/>
    <col min="12553" max="12800" width="10.28515625" style="60"/>
    <col min="12801" max="12801" width="5" style="60" customWidth="1"/>
    <col min="12802" max="12802" width="54" style="60" customWidth="1"/>
    <col min="12803" max="12803" width="17" style="60" customWidth="1"/>
    <col min="12804" max="12804" width="17.140625" style="60" customWidth="1"/>
    <col min="12805" max="12805" width="16.5703125" style="60" customWidth="1"/>
    <col min="12806" max="12806" width="15.42578125" style="60" customWidth="1"/>
    <col min="12807" max="12807" width="10.28515625" style="60"/>
    <col min="12808" max="12808" width="10.28515625" style="60" customWidth="1"/>
    <col min="12809" max="13056" width="10.28515625" style="60"/>
    <col min="13057" max="13057" width="5" style="60" customWidth="1"/>
    <col min="13058" max="13058" width="54" style="60" customWidth="1"/>
    <col min="13059" max="13059" width="17" style="60" customWidth="1"/>
    <col min="13060" max="13060" width="17.140625" style="60" customWidth="1"/>
    <col min="13061" max="13061" width="16.5703125" style="60" customWidth="1"/>
    <col min="13062" max="13062" width="15.42578125" style="60" customWidth="1"/>
    <col min="13063" max="13063" width="10.28515625" style="60"/>
    <col min="13064" max="13064" width="10.28515625" style="60" customWidth="1"/>
    <col min="13065" max="13312" width="10.28515625" style="60"/>
    <col min="13313" max="13313" width="5" style="60" customWidth="1"/>
    <col min="13314" max="13314" width="54" style="60" customWidth="1"/>
    <col min="13315" max="13315" width="17" style="60" customWidth="1"/>
    <col min="13316" max="13316" width="17.140625" style="60" customWidth="1"/>
    <col min="13317" max="13317" width="16.5703125" style="60" customWidth="1"/>
    <col min="13318" max="13318" width="15.42578125" style="60" customWidth="1"/>
    <col min="13319" max="13319" width="10.28515625" style="60"/>
    <col min="13320" max="13320" width="10.28515625" style="60" customWidth="1"/>
    <col min="13321" max="13568" width="10.28515625" style="60"/>
    <col min="13569" max="13569" width="5" style="60" customWidth="1"/>
    <col min="13570" max="13570" width="54" style="60" customWidth="1"/>
    <col min="13571" max="13571" width="17" style="60" customWidth="1"/>
    <col min="13572" max="13572" width="17.140625" style="60" customWidth="1"/>
    <col min="13573" max="13573" width="16.5703125" style="60" customWidth="1"/>
    <col min="13574" max="13574" width="15.42578125" style="60" customWidth="1"/>
    <col min="13575" max="13575" width="10.28515625" style="60"/>
    <col min="13576" max="13576" width="10.28515625" style="60" customWidth="1"/>
    <col min="13577" max="13824" width="10.28515625" style="60"/>
    <col min="13825" max="13825" width="5" style="60" customWidth="1"/>
    <col min="13826" max="13826" width="54" style="60" customWidth="1"/>
    <col min="13827" max="13827" width="17" style="60" customWidth="1"/>
    <col min="13828" max="13828" width="17.140625" style="60" customWidth="1"/>
    <col min="13829" max="13829" width="16.5703125" style="60" customWidth="1"/>
    <col min="13830" max="13830" width="15.42578125" style="60" customWidth="1"/>
    <col min="13831" max="13831" width="10.28515625" style="60"/>
    <col min="13832" max="13832" width="10.28515625" style="60" customWidth="1"/>
    <col min="13833" max="14080" width="10.28515625" style="60"/>
    <col min="14081" max="14081" width="5" style="60" customWidth="1"/>
    <col min="14082" max="14082" width="54" style="60" customWidth="1"/>
    <col min="14083" max="14083" width="17" style="60" customWidth="1"/>
    <col min="14084" max="14084" width="17.140625" style="60" customWidth="1"/>
    <col min="14085" max="14085" width="16.5703125" style="60" customWidth="1"/>
    <col min="14086" max="14086" width="15.42578125" style="60" customWidth="1"/>
    <col min="14087" max="14087" width="10.28515625" style="60"/>
    <col min="14088" max="14088" width="10.28515625" style="60" customWidth="1"/>
    <col min="14089" max="14336" width="10.28515625" style="60"/>
    <col min="14337" max="14337" width="5" style="60" customWidth="1"/>
    <col min="14338" max="14338" width="54" style="60" customWidth="1"/>
    <col min="14339" max="14339" width="17" style="60" customWidth="1"/>
    <col min="14340" max="14340" width="17.140625" style="60" customWidth="1"/>
    <col min="14341" max="14341" width="16.5703125" style="60" customWidth="1"/>
    <col min="14342" max="14342" width="15.42578125" style="60" customWidth="1"/>
    <col min="14343" max="14343" width="10.28515625" style="60"/>
    <col min="14344" max="14344" width="10.28515625" style="60" customWidth="1"/>
    <col min="14345" max="14592" width="10.28515625" style="60"/>
    <col min="14593" max="14593" width="5" style="60" customWidth="1"/>
    <col min="14594" max="14594" width="54" style="60" customWidth="1"/>
    <col min="14595" max="14595" width="17" style="60" customWidth="1"/>
    <col min="14596" max="14596" width="17.140625" style="60" customWidth="1"/>
    <col min="14597" max="14597" width="16.5703125" style="60" customWidth="1"/>
    <col min="14598" max="14598" width="15.42578125" style="60" customWidth="1"/>
    <col min="14599" max="14599" width="10.28515625" style="60"/>
    <col min="14600" max="14600" width="10.28515625" style="60" customWidth="1"/>
    <col min="14601" max="14848" width="10.28515625" style="60"/>
    <col min="14849" max="14849" width="5" style="60" customWidth="1"/>
    <col min="14850" max="14850" width="54" style="60" customWidth="1"/>
    <col min="14851" max="14851" width="17" style="60" customWidth="1"/>
    <col min="14852" max="14852" width="17.140625" style="60" customWidth="1"/>
    <col min="14853" max="14853" width="16.5703125" style="60" customWidth="1"/>
    <col min="14854" max="14854" width="15.42578125" style="60" customWidth="1"/>
    <col min="14855" max="14855" width="10.28515625" style="60"/>
    <col min="14856" max="14856" width="10.28515625" style="60" customWidth="1"/>
    <col min="14857" max="15104" width="10.28515625" style="60"/>
    <col min="15105" max="15105" width="5" style="60" customWidth="1"/>
    <col min="15106" max="15106" width="54" style="60" customWidth="1"/>
    <col min="15107" max="15107" width="17" style="60" customWidth="1"/>
    <col min="15108" max="15108" width="17.140625" style="60" customWidth="1"/>
    <col min="15109" max="15109" width="16.5703125" style="60" customWidth="1"/>
    <col min="15110" max="15110" width="15.42578125" style="60" customWidth="1"/>
    <col min="15111" max="15111" width="10.28515625" style="60"/>
    <col min="15112" max="15112" width="10.28515625" style="60" customWidth="1"/>
    <col min="15113" max="15360" width="10.28515625" style="60"/>
    <col min="15361" max="15361" width="5" style="60" customWidth="1"/>
    <col min="15362" max="15362" width="54" style="60" customWidth="1"/>
    <col min="15363" max="15363" width="17" style="60" customWidth="1"/>
    <col min="15364" max="15364" width="17.140625" style="60" customWidth="1"/>
    <col min="15365" max="15365" width="16.5703125" style="60" customWidth="1"/>
    <col min="15366" max="15366" width="15.42578125" style="60" customWidth="1"/>
    <col min="15367" max="15367" width="10.28515625" style="60"/>
    <col min="15368" max="15368" width="10.28515625" style="60" customWidth="1"/>
    <col min="15369" max="15616" width="10.28515625" style="60"/>
    <col min="15617" max="15617" width="5" style="60" customWidth="1"/>
    <col min="15618" max="15618" width="54" style="60" customWidth="1"/>
    <col min="15619" max="15619" width="17" style="60" customWidth="1"/>
    <col min="15620" max="15620" width="17.140625" style="60" customWidth="1"/>
    <col min="15621" max="15621" width="16.5703125" style="60" customWidth="1"/>
    <col min="15622" max="15622" width="15.42578125" style="60" customWidth="1"/>
    <col min="15623" max="15623" width="10.28515625" style="60"/>
    <col min="15624" max="15624" width="10.28515625" style="60" customWidth="1"/>
    <col min="15625" max="15872" width="10.28515625" style="60"/>
    <col min="15873" max="15873" width="5" style="60" customWidth="1"/>
    <col min="15874" max="15874" width="54" style="60" customWidth="1"/>
    <col min="15875" max="15875" width="17" style="60" customWidth="1"/>
    <col min="15876" max="15876" width="17.140625" style="60" customWidth="1"/>
    <col min="15877" max="15877" width="16.5703125" style="60" customWidth="1"/>
    <col min="15878" max="15878" width="15.42578125" style="60" customWidth="1"/>
    <col min="15879" max="15879" width="10.28515625" style="60"/>
    <col min="15880" max="15880" width="10.28515625" style="60" customWidth="1"/>
    <col min="15881" max="16128" width="10.28515625" style="60"/>
    <col min="16129" max="16129" width="5" style="60" customWidth="1"/>
    <col min="16130" max="16130" width="54" style="60" customWidth="1"/>
    <col min="16131" max="16131" width="17" style="60" customWidth="1"/>
    <col min="16132" max="16132" width="17.140625" style="60" customWidth="1"/>
    <col min="16133" max="16133" width="16.5703125" style="60" customWidth="1"/>
    <col min="16134" max="16134" width="15.42578125" style="60" customWidth="1"/>
    <col min="16135" max="16135" width="10.28515625" style="60"/>
    <col min="16136" max="16136" width="10.28515625" style="60" customWidth="1"/>
    <col min="16137" max="16384" width="10.28515625" style="60"/>
  </cols>
  <sheetData>
    <row r="1" spans="1:8" s="62" customFormat="1" ht="18.75">
      <c r="B1" s="63" t="s">
        <v>1</v>
      </c>
      <c r="C1" s="64"/>
      <c r="D1" s="64"/>
      <c r="E1" s="64"/>
      <c r="F1" s="64"/>
    </row>
    <row r="2" spans="1:8" s="62" customFormat="1" ht="18.75">
      <c r="A2" s="298" t="s">
        <v>117</v>
      </c>
      <c r="B2" s="298"/>
      <c r="C2" s="298"/>
      <c r="D2" s="298"/>
      <c r="E2" s="298"/>
      <c r="F2" s="298"/>
    </row>
    <row r="3" spans="1:8" ht="13.5" thickBot="1"/>
    <row r="4" spans="1:8" ht="15">
      <c r="A4" s="299" t="s">
        <v>2</v>
      </c>
      <c r="B4" s="301" t="s">
        <v>118</v>
      </c>
      <c r="C4" s="206" t="s">
        <v>5</v>
      </c>
      <c r="D4" s="4" t="s">
        <v>5</v>
      </c>
      <c r="E4" s="4" t="s">
        <v>5</v>
      </c>
      <c r="F4" s="207" t="s">
        <v>5</v>
      </c>
    </row>
    <row r="5" spans="1:8" ht="15">
      <c r="A5" s="323"/>
      <c r="B5" s="324"/>
      <c r="C5" s="178" t="s">
        <v>6</v>
      </c>
      <c r="D5" s="179" t="s">
        <v>6</v>
      </c>
      <c r="E5" s="179" t="s">
        <v>6</v>
      </c>
      <c r="F5" s="208" t="s">
        <v>7</v>
      </c>
    </row>
    <row r="6" spans="1:8" ht="15">
      <c r="A6" s="300"/>
      <c r="B6" s="302"/>
      <c r="C6" s="181" t="s">
        <v>444</v>
      </c>
      <c r="D6" s="6" t="s">
        <v>445</v>
      </c>
      <c r="E6" s="6" t="s">
        <v>446</v>
      </c>
      <c r="F6" s="209"/>
    </row>
    <row r="7" spans="1:8" ht="16.5">
      <c r="A7" s="68"/>
      <c r="B7" s="69" t="s">
        <v>119</v>
      </c>
      <c r="C7" s="31">
        <f>C8+C9+C10+C11+C12+C13+C14</f>
        <v>443095096</v>
      </c>
      <c r="D7" s="31">
        <f>D8+D9+D10+D11+D12+D13+D14</f>
        <v>1609693</v>
      </c>
      <c r="E7" s="31">
        <f>E8+E9+E10+E11+E12+E13+E14</f>
        <v>444704789</v>
      </c>
      <c r="F7" s="32">
        <f>F8+F9+F10+F11+F12+F13+F14</f>
        <v>58603880</v>
      </c>
    </row>
    <row r="8" spans="1:8" ht="16.5">
      <c r="A8" s="68">
        <v>1</v>
      </c>
      <c r="B8" s="70" t="s">
        <v>120</v>
      </c>
      <c r="C8" s="19">
        <v>1071210733</v>
      </c>
      <c r="D8" s="325"/>
      <c r="E8" s="184">
        <f>SUM(C8:D8)</f>
        <v>1071210733</v>
      </c>
      <c r="F8" s="16">
        <v>881734483</v>
      </c>
    </row>
    <row r="9" spans="1:8" ht="16.5">
      <c r="A9" s="29">
        <v>2</v>
      </c>
      <c r="B9" s="71" t="s">
        <v>121</v>
      </c>
      <c r="C9" s="19">
        <v>-592936404</v>
      </c>
      <c r="D9" s="325"/>
      <c r="E9" s="184">
        <f t="shared" ref="E9:E14" si="0">SUM(C9:D9)</f>
        <v>-592936404</v>
      </c>
      <c r="F9" s="16">
        <v>-786565142</v>
      </c>
      <c r="H9" s="195"/>
    </row>
    <row r="10" spans="1:8" ht="16.5">
      <c r="A10" s="29">
        <v>3</v>
      </c>
      <c r="B10" s="70" t="s">
        <v>122</v>
      </c>
      <c r="C10" s="19"/>
      <c r="D10" s="325"/>
      <c r="E10" s="184">
        <f t="shared" si="0"/>
        <v>0</v>
      </c>
      <c r="F10" s="16"/>
    </row>
    <row r="11" spans="1:8" ht="16.5">
      <c r="A11" s="68">
        <v>4</v>
      </c>
      <c r="B11" s="70" t="s">
        <v>123</v>
      </c>
      <c r="C11" s="19"/>
      <c r="D11" s="325"/>
      <c r="E11" s="184">
        <f t="shared" si="0"/>
        <v>0</v>
      </c>
      <c r="F11" s="16"/>
    </row>
    <row r="12" spans="1:8" ht="16.5">
      <c r="A12" s="68">
        <v>5</v>
      </c>
      <c r="B12" s="70" t="s">
        <v>124</v>
      </c>
      <c r="C12" s="19">
        <v>-21100848</v>
      </c>
      <c r="D12" s="325">
        <v>0</v>
      </c>
      <c r="E12" s="184">
        <f t="shared" si="0"/>
        <v>-21100848</v>
      </c>
      <c r="F12" s="16">
        <v>-13058231</v>
      </c>
    </row>
    <row r="13" spans="1:8" ht="16.5">
      <c r="A13" s="68">
        <v>6</v>
      </c>
      <c r="B13" s="70" t="s">
        <v>125</v>
      </c>
      <c r="C13" s="19">
        <v>-14078385</v>
      </c>
      <c r="D13" s="325">
        <v>1609693</v>
      </c>
      <c r="E13" s="184">
        <f t="shared" si="0"/>
        <v>-12468692</v>
      </c>
      <c r="F13" s="16">
        <v>-23507230</v>
      </c>
    </row>
    <row r="14" spans="1:8" ht="16.5">
      <c r="A14" s="68">
        <v>7</v>
      </c>
      <c r="B14" s="72" t="s">
        <v>126</v>
      </c>
      <c r="C14" s="19"/>
      <c r="D14" s="325"/>
      <c r="E14" s="184">
        <f t="shared" si="0"/>
        <v>0</v>
      </c>
      <c r="F14" s="16"/>
    </row>
    <row r="15" spans="1:8" ht="16.5">
      <c r="A15" s="68">
        <v>8</v>
      </c>
      <c r="B15" s="73" t="s">
        <v>127</v>
      </c>
      <c r="C15" s="11">
        <f>+C16+C17+C18+C19+C20+C21</f>
        <v>-61680028</v>
      </c>
      <c r="D15" s="53">
        <f>+D16+D17+D18+D19+D20+D21</f>
        <v>0</v>
      </c>
      <c r="E15" s="11">
        <f>+E16+E17+E18+E19+E20+E21</f>
        <v>-61680028</v>
      </c>
      <c r="F15" s="12">
        <f>+F16+F17+F18+F19+F20+F21</f>
        <v>-39813438</v>
      </c>
    </row>
    <row r="16" spans="1:8" ht="16.5">
      <c r="A16" s="68">
        <v>9</v>
      </c>
      <c r="B16" s="70" t="s">
        <v>128</v>
      </c>
      <c r="C16" s="19"/>
      <c r="D16" s="325"/>
      <c r="E16" s="184">
        <f t="shared" ref="E16:E21" si="1">SUM(C16:D16)</f>
        <v>0</v>
      </c>
      <c r="F16" s="16"/>
    </row>
    <row r="17" spans="1:8" ht="16.5">
      <c r="A17" s="68">
        <v>10</v>
      </c>
      <c r="B17" s="72" t="s">
        <v>129</v>
      </c>
      <c r="C17" s="19">
        <v>-61683074</v>
      </c>
      <c r="D17" s="325"/>
      <c r="E17" s="184">
        <f t="shared" si="1"/>
        <v>-61683074</v>
      </c>
      <c r="F17" s="16">
        <v>-39813438</v>
      </c>
    </row>
    <row r="18" spans="1:8" ht="16.5">
      <c r="A18" s="68">
        <v>11</v>
      </c>
      <c r="B18" s="70" t="s">
        <v>130</v>
      </c>
      <c r="C18" s="19">
        <f>+[8]amort.!C167</f>
        <v>0</v>
      </c>
      <c r="D18" s="325"/>
      <c r="E18" s="184">
        <f t="shared" si="1"/>
        <v>0</v>
      </c>
      <c r="F18" s="16"/>
    </row>
    <row r="19" spans="1:8" ht="16.5">
      <c r="A19" s="68">
        <v>12</v>
      </c>
      <c r="B19" s="70" t="s">
        <v>131</v>
      </c>
      <c r="C19" s="19">
        <v>3046</v>
      </c>
      <c r="D19" s="325"/>
      <c r="E19" s="184">
        <f t="shared" si="1"/>
        <v>3046</v>
      </c>
      <c r="F19" s="16">
        <v>0</v>
      </c>
    </row>
    <row r="20" spans="1:8" ht="16.5">
      <c r="A20" s="68">
        <v>13</v>
      </c>
      <c r="B20" s="70" t="s">
        <v>132</v>
      </c>
      <c r="C20" s="19"/>
      <c r="D20" s="325"/>
      <c r="E20" s="184">
        <f t="shared" si="1"/>
        <v>0</v>
      </c>
      <c r="F20" s="16"/>
    </row>
    <row r="21" spans="1:8" ht="16.5">
      <c r="A21" s="68">
        <v>14</v>
      </c>
      <c r="B21" s="74" t="s">
        <v>133</v>
      </c>
      <c r="C21" s="19"/>
      <c r="D21" s="325"/>
      <c r="E21" s="184">
        <f t="shared" si="1"/>
        <v>0</v>
      </c>
      <c r="F21" s="16">
        <v>0</v>
      </c>
    </row>
    <row r="22" spans="1:8" ht="16.5">
      <c r="A22" s="68">
        <v>15</v>
      </c>
      <c r="B22" s="73" t="s">
        <v>134</v>
      </c>
      <c r="C22" s="11">
        <f>+C23+C24+C25+C26+C27</f>
        <v>-380426965</v>
      </c>
      <c r="D22" s="53">
        <f>+D23+D24+D25+D26+D27</f>
        <v>0</v>
      </c>
      <c r="E22" s="11">
        <f>+E23+E24+E25+E26+E27</f>
        <v>-380426965</v>
      </c>
      <c r="F22" s="12">
        <f>+F23+F24+F25+F26+F27</f>
        <v>-19113342</v>
      </c>
    </row>
    <row r="23" spans="1:8" ht="16.5">
      <c r="A23" s="68">
        <v>16</v>
      </c>
      <c r="B23" s="72" t="s">
        <v>135</v>
      </c>
      <c r="C23" s="19"/>
      <c r="D23" s="325"/>
      <c r="E23" s="184">
        <f t="shared" ref="E23:E29" si="2">SUM(C23:D23)</f>
        <v>0</v>
      </c>
      <c r="F23" s="16"/>
    </row>
    <row r="24" spans="1:8" ht="16.5">
      <c r="A24" s="68">
        <v>17</v>
      </c>
      <c r="B24" s="70" t="s">
        <v>136</v>
      </c>
      <c r="C24" s="19"/>
      <c r="D24" s="184"/>
      <c r="E24" s="184">
        <f t="shared" si="2"/>
        <v>0</v>
      </c>
      <c r="F24" s="16">
        <v>0</v>
      </c>
    </row>
    <row r="25" spans="1:8" ht="16.5">
      <c r="A25" s="68">
        <v>18</v>
      </c>
      <c r="B25" s="70" t="s">
        <v>137</v>
      </c>
      <c r="C25" s="19">
        <v>-380426965</v>
      </c>
      <c r="D25" s="184"/>
      <c r="E25" s="184">
        <f t="shared" si="2"/>
        <v>-380426965</v>
      </c>
      <c r="F25" s="16">
        <v>-19113342</v>
      </c>
    </row>
    <row r="26" spans="1:8" ht="16.5">
      <c r="A26" s="68">
        <v>19</v>
      </c>
      <c r="B26" s="70" t="s">
        <v>138</v>
      </c>
      <c r="C26" s="19"/>
      <c r="D26" s="184"/>
      <c r="E26" s="184">
        <f t="shared" si="2"/>
        <v>0</v>
      </c>
      <c r="F26" s="16"/>
    </row>
    <row r="27" spans="1:8" ht="16.5">
      <c r="A27" s="68">
        <v>20</v>
      </c>
      <c r="B27" s="74" t="s">
        <v>139</v>
      </c>
      <c r="C27" s="19"/>
      <c r="D27" s="184"/>
      <c r="E27" s="184">
        <f t="shared" si="2"/>
        <v>0</v>
      </c>
      <c r="F27" s="16"/>
      <c r="H27" s="195"/>
    </row>
    <row r="28" spans="1:8" ht="16.5">
      <c r="A28" s="68">
        <v>21</v>
      </c>
      <c r="B28" s="75" t="s">
        <v>140</v>
      </c>
      <c r="C28" s="76">
        <f>+C30-C29</f>
        <v>988104</v>
      </c>
      <c r="D28" s="76">
        <f>+D30-D29</f>
        <v>63504</v>
      </c>
      <c r="E28" s="76">
        <f t="shared" si="2"/>
        <v>1051608</v>
      </c>
      <c r="F28" s="79">
        <f>+F30-F29</f>
        <v>-322900</v>
      </c>
    </row>
    <row r="29" spans="1:8" ht="16.5">
      <c r="A29" s="68">
        <v>22</v>
      </c>
      <c r="B29" s="75" t="s">
        <v>141</v>
      </c>
      <c r="C29" s="77">
        <v>2540803</v>
      </c>
      <c r="D29" s="210">
        <v>7102</v>
      </c>
      <c r="E29" s="210">
        <f t="shared" si="2"/>
        <v>2547905</v>
      </c>
      <c r="F29" s="78">
        <v>2870805</v>
      </c>
    </row>
    <row r="30" spans="1:8" ht="16.5">
      <c r="A30" s="68">
        <v>23</v>
      </c>
      <c r="B30" s="75" t="s">
        <v>142</v>
      </c>
      <c r="C30" s="76">
        <v>3528907</v>
      </c>
      <c r="D30" s="76">
        <v>70606</v>
      </c>
      <c r="E30" s="76">
        <f>E29+E28</f>
        <v>3599513</v>
      </c>
      <c r="F30" s="79">
        <v>2547905</v>
      </c>
    </row>
    <row r="31" spans="1:8" ht="17.25" thickBot="1">
      <c r="A31" s="80"/>
      <c r="B31" s="81"/>
      <c r="C31" s="82"/>
      <c r="D31" s="211"/>
      <c r="E31" s="211"/>
      <c r="F31" s="36"/>
    </row>
    <row r="32" spans="1:8" ht="16.5">
      <c r="A32" s="2"/>
      <c r="B32" s="212"/>
      <c r="C32" s="97"/>
      <c r="D32" s="97"/>
      <c r="E32" s="97"/>
      <c r="F32" s="97"/>
    </row>
    <row r="33" spans="1:6" ht="16.5">
      <c r="A33" s="213"/>
      <c r="B33" s="212"/>
      <c r="C33" s="214"/>
      <c r="D33" s="214"/>
      <c r="E33" s="214"/>
      <c r="F33" s="97"/>
    </row>
    <row r="34" spans="1:6" ht="16.5">
      <c r="A34" s="187"/>
      <c r="B34" s="212"/>
      <c r="C34" s="214"/>
      <c r="D34" s="212"/>
      <c r="E34" s="212"/>
      <c r="F34" s="97"/>
    </row>
    <row r="35" spans="1:6" ht="16.5">
      <c r="A35" s="187"/>
      <c r="B35" s="215"/>
      <c r="C35" s="97"/>
      <c r="D35" s="97"/>
      <c r="E35" s="97"/>
      <c r="F35" s="97"/>
    </row>
    <row r="36" spans="1:6" ht="16.5">
      <c r="A36" s="187"/>
      <c r="B36" s="215"/>
      <c r="C36" s="97"/>
      <c r="D36" s="97"/>
      <c r="E36" s="97"/>
      <c r="F36" s="97"/>
    </row>
    <row r="37" spans="1:6" ht="16.5">
      <c r="A37" s="2"/>
      <c r="B37" s="215"/>
      <c r="C37" s="97"/>
      <c r="D37" s="97"/>
      <c r="E37" s="97"/>
      <c r="F37" s="97"/>
    </row>
    <row r="38" spans="1:6" ht="16.5">
      <c r="A38" s="187"/>
      <c r="B38" s="215"/>
      <c r="C38" s="97"/>
      <c r="D38" s="97"/>
      <c r="E38" s="97"/>
      <c r="F38" s="97"/>
    </row>
  </sheetData>
  <mergeCells count="3">
    <mergeCell ref="A2:F2"/>
    <mergeCell ref="A4:A6"/>
    <mergeCell ref="B4:B6"/>
  </mergeCells>
  <pageMargins left="0.45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opLeftCell="A28" workbookViewId="0">
      <selection activeCell="D7" sqref="D7"/>
    </sheetView>
  </sheetViews>
  <sheetFormatPr defaultRowHeight="15"/>
  <cols>
    <col min="1" max="1" width="4.5703125" customWidth="1"/>
    <col min="2" max="2" width="46" customWidth="1"/>
    <col min="3" max="3" width="12.85546875" customWidth="1"/>
    <col min="4" max="4" width="15.5703125" customWidth="1"/>
    <col min="5" max="5" width="16" customWidth="1"/>
  </cols>
  <sheetData>
    <row r="1" spans="1:5" ht="21">
      <c r="A1" s="288" t="s">
        <v>0</v>
      </c>
      <c r="B1" s="288"/>
      <c r="C1" s="288"/>
      <c r="D1" s="288"/>
      <c r="E1" s="288"/>
    </row>
    <row r="2" spans="1:5" ht="17.25" thickBot="1">
      <c r="A2" s="1"/>
      <c r="B2" s="2" t="s">
        <v>1</v>
      </c>
      <c r="C2" s="1"/>
      <c r="D2" s="1"/>
      <c r="E2" s="1"/>
    </row>
    <row r="3" spans="1:5">
      <c r="A3" s="289" t="s">
        <v>2</v>
      </c>
      <c r="B3" s="291" t="s">
        <v>3</v>
      </c>
      <c r="C3" s="293" t="s">
        <v>4</v>
      </c>
      <c r="D3" s="4" t="s">
        <v>5</v>
      </c>
      <c r="E3" s="5" t="s">
        <v>5</v>
      </c>
    </row>
    <row r="4" spans="1:5">
      <c r="A4" s="290"/>
      <c r="B4" s="292"/>
      <c r="C4" s="294"/>
      <c r="D4" s="6" t="s">
        <v>6</v>
      </c>
      <c r="E4" s="7" t="s">
        <v>7</v>
      </c>
    </row>
    <row r="5" spans="1:5" ht="16.5">
      <c r="A5" s="8" t="s">
        <v>8</v>
      </c>
      <c r="B5" s="9" t="s">
        <v>9</v>
      </c>
      <c r="C5" s="10" t="s">
        <v>10</v>
      </c>
      <c r="D5" s="11">
        <f>D6+D9+D10+D17+D25+D26+D27</f>
        <v>463722353</v>
      </c>
      <c r="E5" s="12">
        <f>E6+E9+E10+E17+E25+E26+E27</f>
        <v>366761576</v>
      </c>
    </row>
    <row r="6" spans="1:5" ht="16.5">
      <c r="A6" s="13"/>
      <c r="B6" s="14" t="s">
        <v>11</v>
      </c>
      <c r="C6" s="15"/>
      <c r="D6" s="11">
        <f>SUM(D7:D8)</f>
        <v>3528908</v>
      </c>
      <c r="E6" s="16">
        <f>SUM(E7:E8)</f>
        <v>2540803</v>
      </c>
    </row>
    <row r="7" spans="1:5" ht="16.5">
      <c r="A7" s="17"/>
      <c r="B7" s="18" t="s">
        <v>12</v>
      </c>
      <c r="C7" s="15"/>
      <c r="D7" s="19">
        <v>3117145</v>
      </c>
      <c r="E7" s="16">
        <v>1688426</v>
      </c>
    </row>
    <row r="8" spans="1:5" ht="16.5">
      <c r="A8" s="17"/>
      <c r="B8" s="18" t="s">
        <v>13</v>
      </c>
      <c r="C8" s="15"/>
      <c r="D8" s="19">
        <v>411763</v>
      </c>
      <c r="E8" s="16">
        <v>852377</v>
      </c>
    </row>
    <row r="9" spans="1:5" ht="16.5">
      <c r="A9" s="17"/>
      <c r="B9" s="20" t="s">
        <v>14</v>
      </c>
      <c r="C9" s="21"/>
      <c r="D9" s="19"/>
      <c r="E9" s="16"/>
    </row>
    <row r="10" spans="1:5" ht="16.5">
      <c r="A10" s="17"/>
      <c r="B10" s="14" t="s">
        <v>15</v>
      </c>
      <c r="C10" s="15"/>
      <c r="D10" s="11">
        <f>SUM(D11:D16)</f>
        <v>369402737</v>
      </c>
      <c r="E10" s="12">
        <f>SUM(E11:E16)</f>
        <v>281911711</v>
      </c>
    </row>
    <row r="11" spans="1:5" ht="16.5">
      <c r="A11" s="17"/>
      <c r="B11" s="18" t="s">
        <v>16</v>
      </c>
      <c r="C11" s="15"/>
      <c r="D11" s="19">
        <v>265839713</v>
      </c>
      <c r="E11" s="16">
        <v>195825453</v>
      </c>
    </row>
    <row r="12" spans="1:5" ht="16.5">
      <c r="A12" s="17"/>
      <c r="B12" s="18" t="s">
        <v>17</v>
      </c>
      <c r="C12" s="15"/>
      <c r="D12" s="19"/>
      <c r="E12" s="16"/>
    </row>
    <row r="13" spans="1:5" ht="16.5">
      <c r="A13" s="17"/>
      <c r="B13" s="18" t="s">
        <v>18</v>
      </c>
      <c r="C13" s="15"/>
      <c r="D13" s="22"/>
      <c r="E13" s="16"/>
    </row>
    <row r="14" spans="1:5" ht="16.5">
      <c r="A14" s="17"/>
      <c r="B14" s="18" t="s">
        <v>19</v>
      </c>
      <c r="C14" s="15"/>
      <c r="D14" s="19">
        <v>18563024</v>
      </c>
      <c r="E14" s="16">
        <v>1086258</v>
      </c>
    </row>
    <row r="15" spans="1:5" ht="16.5">
      <c r="A15" s="17"/>
      <c r="B15" s="18" t="s">
        <v>20</v>
      </c>
      <c r="C15" s="15"/>
      <c r="D15" s="19">
        <v>85000000</v>
      </c>
      <c r="E15" s="16">
        <v>85000000</v>
      </c>
    </row>
    <row r="16" spans="1:5" ht="16.5">
      <c r="A16" s="17"/>
      <c r="B16" s="18" t="s">
        <v>21</v>
      </c>
      <c r="C16" s="15"/>
      <c r="D16" s="19">
        <v>0</v>
      </c>
      <c r="E16" s="16"/>
    </row>
    <row r="17" spans="1:5" ht="16.5">
      <c r="A17" s="17"/>
      <c r="B17" s="14" t="s">
        <v>22</v>
      </c>
      <c r="C17" s="15"/>
      <c r="D17" s="11">
        <f>+D18+D19+D22+D24</f>
        <v>90790708</v>
      </c>
      <c r="E17" s="11">
        <f>+E18+E19+E22+E24</f>
        <v>82309062</v>
      </c>
    </row>
    <row r="18" spans="1:5" ht="16.5">
      <c r="A18" s="17"/>
      <c r="B18" s="18" t="s">
        <v>23</v>
      </c>
      <c r="C18" s="15"/>
      <c r="D18" s="19"/>
      <c r="E18" s="16"/>
    </row>
    <row r="19" spans="1:5" ht="16.5">
      <c r="A19" s="17"/>
      <c r="B19" s="18" t="s">
        <v>24</v>
      </c>
      <c r="C19" s="15"/>
      <c r="D19" s="19"/>
      <c r="E19" s="16">
        <v>76560</v>
      </c>
    </row>
    <row r="20" spans="1:5" ht="16.5">
      <c r="A20" s="17"/>
      <c r="B20" s="18" t="s">
        <v>25</v>
      </c>
      <c r="C20" s="15"/>
      <c r="D20" s="19"/>
      <c r="E20" s="16"/>
    </row>
    <row r="21" spans="1:5" ht="16.5">
      <c r="A21" s="17"/>
      <c r="B21" s="18" t="s">
        <v>26</v>
      </c>
      <c r="C21" s="15"/>
      <c r="D21" s="19"/>
      <c r="E21" s="16"/>
    </row>
    <row r="22" spans="1:5" ht="16.5">
      <c r="A22" s="17"/>
      <c r="B22" s="18" t="s">
        <v>27</v>
      </c>
      <c r="C22" s="15"/>
      <c r="D22" s="19">
        <v>61863065</v>
      </c>
      <c r="E22" s="16">
        <v>70235317</v>
      </c>
    </row>
    <row r="23" spans="1:5" ht="16.5">
      <c r="A23" s="17"/>
      <c r="B23" s="18" t="s">
        <v>28</v>
      </c>
      <c r="C23" s="15"/>
      <c r="D23" s="19"/>
      <c r="E23" s="16"/>
    </row>
    <row r="24" spans="1:5" ht="16.5">
      <c r="A24" s="17"/>
      <c r="B24" s="18" t="s">
        <v>29</v>
      </c>
      <c r="C24" s="15"/>
      <c r="D24" s="19">
        <v>28927643</v>
      </c>
      <c r="E24" s="16">
        <v>11997185</v>
      </c>
    </row>
    <row r="25" spans="1:5" ht="16.5">
      <c r="A25" s="13"/>
      <c r="B25" s="14" t="s">
        <v>30</v>
      </c>
      <c r="C25" s="15"/>
      <c r="D25" s="19"/>
      <c r="E25" s="16"/>
    </row>
    <row r="26" spans="1:5" ht="16.5">
      <c r="A26" s="17"/>
      <c r="B26" s="14" t="s">
        <v>31</v>
      </c>
      <c r="C26" s="15"/>
      <c r="D26" s="19"/>
      <c r="E26" s="16"/>
    </row>
    <row r="27" spans="1:5" ht="16.5">
      <c r="A27" s="17"/>
      <c r="B27" s="14" t="s">
        <v>32</v>
      </c>
      <c r="C27" s="15"/>
      <c r="D27" s="11">
        <f>SUM(D28:D28)</f>
        <v>0</v>
      </c>
      <c r="E27" s="12">
        <f>SUM(E28:E28)</f>
        <v>0</v>
      </c>
    </row>
    <row r="28" spans="1:5" ht="16.5">
      <c r="A28" s="17"/>
      <c r="B28" s="18" t="s">
        <v>33</v>
      </c>
      <c r="C28" s="15"/>
      <c r="D28" s="19">
        <v>0</v>
      </c>
      <c r="E28" s="16">
        <f>+[1]bilanci!C39</f>
        <v>0</v>
      </c>
    </row>
    <row r="29" spans="1:5" ht="16.5">
      <c r="A29" s="17"/>
      <c r="B29" s="18"/>
      <c r="C29" s="15"/>
      <c r="D29" s="19"/>
      <c r="E29" s="16"/>
    </row>
    <row r="30" spans="1:5" ht="16.5">
      <c r="A30" s="8" t="s">
        <v>34</v>
      </c>
      <c r="B30" s="14" t="s">
        <v>35</v>
      </c>
      <c r="C30" s="10" t="s">
        <v>10</v>
      </c>
      <c r="D30" s="11">
        <f>D31+D32+D37+D38+D39+D40</f>
        <v>181530325</v>
      </c>
      <c r="E30" s="12">
        <f>E31+E32+E37+E38+E39+E40</f>
        <v>144832460</v>
      </c>
    </row>
    <row r="31" spans="1:5" ht="16.5">
      <c r="A31" s="17"/>
      <c r="B31" s="14" t="s">
        <v>36</v>
      </c>
      <c r="C31" s="15"/>
      <c r="D31" s="19"/>
      <c r="E31" s="16"/>
    </row>
    <row r="32" spans="1:5" ht="16.5">
      <c r="A32" s="17"/>
      <c r="B32" s="14" t="s">
        <v>37</v>
      </c>
      <c r="C32" s="15"/>
      <c r="D32" s="11">
        <f>+D33+D34+D35+D36</f>
        <v>181530325</v>
      </c>
      <c r="E32" s="12">
        <f>+E33+E34+E35+E36</f>
        <v>144832460</v>
      </c>
    </row>
    <row r="33" spans="1:5" ht="16.5">
      <c r="A33" s="17"/>
      <c r="B33" s="18" t="s">
        <v>38</v>
      </c>
      <c r="C33" s="15"/>
      <c r="D33" s="19"/>
      <c r="E33" s="16"/>
    </row>
    <row r="34" spans="1:5" ht="16.5">
      <c r="A34" s="17"/>
      <c r="B34" s="18" t="s">
        <v>39</v>
      </c>
      <c r="C34" s="15"/>
      <c r="D34" s="22">
        <v>63877740</v>
      </c>
      <c r="E34" s="16">
        <v>64963853</v>
      </c>
    </row>
    <row r="35" spans="1:5" ht="16.5">
      <c r="A35" s="17"/>
      <c r="B35" s="18" t="s">
        <v>40</v>
      </c>
      <c r="C35" s="15"/>
      <c r="D35" s="22">
        <v>117652585</v>
      </c>
      <c r="E35" s="16">
        <v>79868607</v>
      </c>
    </row>
    <row r="36" spans="1:5" ht="16.5">
      <c r="A36" s="17"/>
      <c r="B36" s="18"/>
      <c r="C36" s="15"/>
      <c r="D36" s="19"/>
      <c r="E36" s="16"/>
    </row>
    <row r="37" spans="1:5" ht="16.5">
      <c r="A37" s="17"/>
      <c r="B37" s="14" t="s">
        <v>41</v>
      </c>
      <c r="C37" s="15"/>
      <c r="D37" s="19"/>
      <c r="E37" s="16"/>
    </row>
    <row r="38" spans="1:5" ht="16.5">
      <c r="A38" s="17"/>
      <c r="B38" s="14" t="s">
        <v>42</v>
      </c>
      <c r="C38" s="15"/>
      <c r="D38" s="19">
        <v>0</v>
      </c>
      <c r="E38" s="16"/>
    </row>
    <row r="39" spans="1:5" ht="16.5">
      <c r="A39" s="17"/>
      <c r="B39" s="14" t="s">
        <v>43</v>
      </c>
      <c r="C39" s="15"/>
      <c r="D39" s="19"/>
      <c r="E39" s="16"/>
    </row>
    <row r="40" spans="1:5" ht="16.5">
      <c r="A40" s="17"/>
      <c r="B40" s="14" t="s">
        <v>44</v>
      </c>
      <c r="C40" s="15"/>
      <c r="D40" s="19"/>
      <c r="E40" s="16"/>
    </row>
    <row r="41" spans="1:5" ht="16.5">
      <c r="A41" s="17"/>
      <c r="B41" s="9" t="s">
        <v>45</v>
      </c>
      <c r="C41" s="10" t="s">
        <v>10</v>
      </c>
      <c r="D41" s="11">
        <f>D30+D5</f>
        <v>645252678</v>
      </c>
      <c r="E41" s="12">
        <f>E30+E5</f>
        <v>511594036</v>
      </c>
    </row>
    <row r="42" spans="1:5" ht="17.25" thickBot="1">
      <c r="A42" s="23"/>
      <c r="B42" s="24"/>
      <c r="C42" s="24"/>
      <c r="D42" s="25"/>
      <c r="E42" s="26"/>
    </row>
  </sheetData>
  <mergeCells count="4">
    <mergeCell ref="A1:E1"/>
    <mergeCell ref="A3:A4"/>
    <mergeCell ref="B3:B4"/>
    <mergeCell ref="C3:C4"/>
  </mergeCells>
  <pageMargins left="0.47" right="0.44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D15" sqref="D15"/>
    </sheetView>
  </sheetViews>
  <sheetFormatPr defaultRowHeight="15"/>
  <cols>
    <col min="1" max="1" width="5.85546875" customWidth="1"/>
    <col min="2" max="2" width="46.140625" customWidth="1"/>
    <col min="4" max="4" width="16.85546875" customWidth="1"/>
    <col min="5" max="5" width="14.5703125" customWidth="1"/>
  </cols>
  <sheetData>
    <row r="1" spans="1:5" ht="21">
      <c r="A1" s="295" t="s">
        <v>0</v>
      </c>
      <c r="B1" s="295"/>
      <c r="C1" s="295"/>
      <c r="D1" s="295"/>
      <c r="E1" s="295"/>
    </row>
    <row r="2" spans="1:5" ht="16.5">
      <c r="A2" s="27"/>
      <c r="B2" s="2" t="s">
        <v>1</v>
      </c>
      <c r="C2" s="27"/>
      <c r="D2" s="27"/>
      <c r="E2" s="27"/>
    </row>
    <row r="3" spans="1:5" ht="16.5">
      <c r="A3" s="296" t="s">
        <v>2</v>
      </c>
      <c r="B3" s="296" t="s">
        <v>46</v>
      </c>
      <c r="C3" s="297" t="s">
        <v>47</v>
      </c>
      <c r="D3" s="250" t="s">
        <v>5</v>
      </c>
      <c r="E3" s="249" t="s">
        <v>5</v>
      </c>
    </row>
    <row r="4" spans="1:5" ht="16.5">
      <c r="A4" s="296"/>
      <c r="B4" s="296"/>
      <c r="C4" s="297"/>
      <c r="D4" s="251" t="s">
        <v>6</v>
      </c>
      <c r="E4" s="28" t="s">
        <v>7</v>
      </c>
    </row>
    <row r="5" spans="1:5">
      <c r="A5" s="84" t="s">
        <v>8</v>
      </c>
      <c r="B5" s="84" t="s">
        <v>48</v>
      </c>
      <c r="C5" s="84" t="s">
        <v>10</v>
      </c>
      <c r="D5" s="31">
        <f>D6+D7+D10+D21+D22</f>
        <v>237792479</v>
      </c>
      <c r="E5" s="31">
        <f>E6+E7+E10+E21+E22</f>
        <v>169232221</v>
      </c>
    </row>
    <row r="6" spans="1:5" ht="16.5">
      <c r="A6" s="247"/>
      <c r="B6" s="247" t="s">
        <v>49</v>
      </c>
      <c r="C6" s="247"/>
      <c r="D6" s="19"/>
      <c r="E6" s="19"/>
    </row>
    <row r="7" spans="1:5" ht="16.5">
      <c r="A7" s="247"/>
      <c r="B7" s="33" t="s">
        <v>50</v>
      </c>
      <c r="C7" s="84"/>
      <c r="D7" s="19">
        <f>SUM(D8:D9)</f>
        <v>40356032</v>
      </c>
      <c r="E7" s="19">
        <f>+E9</f>
        <v>0</v>
      </c>
    </row>
    <row r="8" spans="1:5" ht="16.5">
      <c r="A8" s="247"/>
      <c r="B8" s="248" t="s">
        <v>51</v>
      </c>
      <c r="C8" s="247"/>
      <c r="D8" s="19">
        <f>-[1]bilanci!G40+[1]akt!D8</f>
        <v>0</v>
      </c>
      <c r="E8" s="19"/>
    </row>
    <row r="9" spans="1:5" ht="16.5">
      <c r="A9" s="247"/>
      <c r="B9" s="248" t="s">
        <v>52</v>
      </c>
      <c r="C9" s="247"/>
      <c r="D9" s="19">
        <v>40356032</v>
      </c>
      <c r="E9" s="19"/>
    </row>
    <row r="10" spans="1:5">
      <c r="A10" s="247"/>
      <c r="B10" s="247" t="s">
        <v>53</v>
      </c>
      <c r="C10" s="247"/>
      <c r="D10" s="11">
        <f>SUM(D11:D20)</f>
        <v>197436447</v>
      </c>
      <c r="E10" s="11">
        <f>SUM(E11:E20)</f>
        <v>169232221</v>
      </c>
    </row>
    <row r="11" spans="1:5" ht="16.5">
      <c r="A11" s="247"/>
      <c r="B11" s="248" t="s">
        <v>54</v>
      </c>
      <c r="C11" s="247"/>
      <c r="D11" s="19">
        <v>127655626</v>
      </c>
      <c r="E11" s="19">
        <v>100531391.5</v>
      </c>
    </row>
    <row r="12" spans="1:5" ht="16.5">
      <c r="A12" s="247"/>
      <c r="B12" s="248" t="s">
        <v>55</v>
      </c>
      <c r="C12" s="247"/>
      <c r="D12" s="19">
        <v>4397695</v>
      </c>
      <c r="E12" s="19">
        <v>197974</v>
      </c>
    </row>
    <row r="13" spans="1:5" ht="16.5">
      <c r="A13" s="247"/>
      <c r="B13" s="248" t="s">
        <v>56</v>
      </c>
      <c r="C13" s="247"/>
      <c r="D13" s="19">
        <v>765205</v>
      </c>
      <c r="E13" s="19">
        <v>966932</v>
      </c>
    </row>
    <row r="14" spans="1:5" ht="16.5">
      <c r="A14" s="247"/>
      <c r="B14" s="248" t="s">
        <v>57</v>
      </c>
      <c r="C14" s="247"/>
      <c r="D14" s="19">
        <v>124625</v>
      </c>
      <c r="E14" s="19">
        <v>86115</v>
      </c>
    </row>
    <row r="15" spans="1:5" ht="16.5">
      <c r="A15" s="247"/>
      <c r="B15" s="248" t="s">
        <v>58</v>
      </c>
      <c r="C15" s="247"/>
      <c r="D15" s="19">
        <v>5006515</v>
      </c>
      <c r="E15" s="19">
        <f>+[1]bilanci!D35</f>
        <v>963727</v>
      </c>
    </row>
    <row r="16" spans="1:5" ht="16.5">
      <c r="A16" s="247"/>
      <c r="B16" s="248" t="s">
        <v>59</v>
      </c>
      <c r="C16" s="247"/>
      <c r="D16" s="19">
        <v>0</v>
      </c>
      <c r="E16" s="19">
        <f>+[1]bilanci!D31</f>
        <v>0</v>
      </c>
    </row>
    <row r="17" spans="1:5" ht="16.5">
      <c r="A17" s="247"/>
      <c r="B17" s="248" t="s">
        <v>60</v>
      </c>
      <c r="C17" s="247"/>
      <c r="D17" s="19">
        <v>81114</v>
      </c>
      <c r="E17" s="19"/>
    </row>
    <row r="18" spans="1:5" ht="16.5">
      <c r="A18" s="247"/>
      <c r="B18" s="248" t="s">
        <v>61</v>
      </c>
      <c r="C18" s="247"/>
      <c r="D18" s="19"/>
      <c r="E18" s="19"/>
    </row>
    <row r="19" spans="1:5" ht="16.5">
      <c r="A19" s="247"/>
      <c r="B19" s="248" t="s">
        <v>62</v>
      </c>
      <c r="C19" s="247"/>
      <c r="D19" s="19"/>
      <c r="E19" s="19"/>
    </row>
    <row r="20" spans="1:5" ht="16.5">
      <c r="A20" s="247"/>
      <c r="B20" s="248" t="s">
        <v>63</v>
      </c>
      <c r="C20" s="247"/>
      <c r="D20" s="19">
        <v>59405667</v>
      </c>
      <c r="E20" s="19">
        <v>66486081.5</v>
      </c>
    </row>
    <row r="21" spans="1:5" ht="16.5">
      <c r="A21" s="247"/>
      <c r="B21" s="247" t="s">
        <v>64</v>
      </c>
      <c r="C21" s="247"/>
      <c r="D21" s="19"/>
      <c r="E21" s="19"/>
    </row>
    <row r="22" spans="1:5" ht="16.5">
      <c r="A22" s="247"/>
      <c r="B22" s="247" t="s">
        <v>65</v>
      </c>
      <c r="C22" s="247"/>
      <c r="D22" s="19"/>
      <c r="E22" s="19"/>
    </row>
    <row r="23" spans="1:5">
      <c r="A23" s="84" t="s">
        <v>34</v>
      </c>
      <c r="B23" s="84" t="s">
        <v>66</v>
      </c>
      <c r="C23" s="247"/>
      <c r="D23" s="11">
        <f>+D24+D28+D29</f>
        <v>156958643</v>
      </c>
      <c r="E23" s="11">
        <f>+E24+E28+E29+E30</f>
        <v>178600889</v>
      </c>
    </row>
    <row r="24" spans="1:5">
      <c r="A24" s="247"/>
      <c r="B24" s="247" t="s">
        <v>67</v>
      </c>
      <c r="C24" s="247"/>
      <c r="D24" s="11">
        <f>+D25+D26</f>
        <v>0</v>
      </c>
      <c r="E24" s="11">
        <f>+E26+E25</f>
        <v>119114436</v>
      </c>
    </row>
    <row r="25" spans="1:5" ht="16.5">
      <c r="A25" s="247"/>
      <c r="B25" s="248" t="s">
        <v>68</v>
      </c>
      <c r="C25" s="247"/>
      <c r="D25" s="19">
        <f>+[1]bilanci!H27</f>
        <v>0</v>
      </c>
      <c r="E25" s="19">
        <v>3274780</v>
      </c>
    </row>
    <row r="26" spans="1:5" ht="16.5">
      <c r="A26" s="247"/>
      <c r="B26" s="248" t="s">
        <v>69</v>
      </c>
      <c r="C26" s="247"/>
      <c r="D26" s="19"/>
      <c r="E26" s="19">
        <v>115839656</v>
      </c>
    </row>
    <row r="27" spans="1:5" ht="16.5">
      <c r="A27" s="247"/>
      <c r="B27" s="35" t="s">
        <v>70</v>
      </c>
      <c r="C27" s="84"/>
      <c r="D27" s="19"/>
      <c r="E27" s="19"/>
    </row>
    <row r="28" spans="1:5">
      <c r="A28" s="247"/>
      <c r="B28" s="247" t="s">
        <v>71</v>
      </c>
      <c r="C28" s="247"/>
      <c r="D28" s="11">
        <v>156958643</v>
      </c>
      <c r="E28" s="11">
        <v>59486453</v>
      </c>
    </row>
    <row r="29" spans="1:5" ht="16.5">
      <c r="A29" s="247"/>
      <c r="B29" s="247" t="s">
        <v>72</v>
      </c>
      <c r="C29" s="247"/>
      <c r="D29" s="19"/>
      <c r="E29" s="19"/>
    </row>
    <row r="30" spans="1:5" ht="16.5">
      <c r="A30" s="247"/>
      <c r="B30" s="247" t="s">
        <v>73</v>
      </c>
      <c r="C30" s="247"/>
      <c r="D30" s="19"/>
      <c r="E30" s="19"/>
    </row>
    <row r="31" spans="1:5">
      <c r="A31" s="247"/>
      <c r="B31" s="84" t="s">
        <v>74</v>
      </c>
      <c r="C31" s="247"/>
      <c r="D31" s="11">
        <f>D23+D5</f>
        <v>394751122</v>
      </c>
      <c r="E31" s="11">
        <f>E23+E5</f>
        <v>347833110</v>
      </c>
    </row>
    <row r="32" spans="1:5" ht="16.5">
      <c r="A32" s="84" t="s">
        <v>75</v>
      </c>
      <c r="B32" s="84" t="s">
        <v>76</v>
      </c>
      <c r="C32" s="247"/>
      <c r="D32" s="11">
        <f>SUM(D33:D42)</f>
        <v>250501555.80000001</v>
      </c>
      <c r="E32" s="19">
        <f>SUM(E33:E42)</f>
        <v>164060926</v>
      </c>
    </row>
    <row r="33" spans="1:5" ht="16.5">
      <c r="A33" s="247"/>
      <c r="B33" s="247" t="s">
        <v>77</v>
      </c>
      <c r="C33" s="247"/>
      <c r="D33" s="19"/>
      <c r="E33" s="19"/>
    </row>
    <row r="34" spans="1:5" ht="16.5">
      <c r="A34" s="247"/>
      <c r="B34" s="247" t="s">
        <v>78</v>
      </c>
      <c r="C34" s="247"/>
      <c r="D34" s="19"/>
      <c r="E34" s="19"/>
    </row>
    <row r="35" spans="1:5" ht="16.5">
      <c r="A35" s="247"/>
      <c r="B35" s="247" t="s">
        <v>79</v>
      </c>
      <c r="C35" s="247"/>
      <c r="D35" s="19">
        <v>80000000</v>
      </c>
      <c r="E35" s="19">
        <v>80000000</v>
      </c>
    </row>
    <row r="36" spans="1:5" ht="16.5">
      <c r="A36" s="247"/>
      <c r="B36" s="247" t="s">
        <v>80</v>
      </c>
      <c r="C36" s="247"/>
      <c r="D36" s="19"/>
      <c r="E36" s="11"/>
    </row>
    <row r="37" spans="1:5" ht="16.5">
      <c r="A37" s="247"/>
      <c r="B37" s="247" t="s">
        <v>81</v>
      </c>
      <c r="C37" s="247"/>
      <c r="D37" s="19"/>
      <c r="E37" s="19"/>
    </row>
    <row r="38" spans="1:5" ht="16.5">
      <c r="A38" s="247"/>
      <c r="B38" s="247" t="s">
        <v>82</v>
      </c>
      <c r="C38" s="247"/>
      <c r="D38" s="19">
        <f>+[1]bilanci!H7</f>
        <v>0</v>
      </c>
      <c r="E38" s="19">
        <f>+[1]bilanci!D7</f>
        <v>0</v>
      </c>
    </row>
    <row r="39" spans="1:5" ht="16.5">
      <c r="A39" s="247"/>
      <c r="B39" s="247" t="s">
        <v>83</v>
      </c>
      <c r="C39" s="247"/>
      <c r="D39" s="19">
        <v>6048997</v>
      </c>
      <c r="E39" s="19">
        <v>6048997</v>
      </c>
    </row>
    <row r="40" spans="1:5" ht="16.5">
      <c r="A40" s="247"/>
      <c r="B40" s="247" t="s">
        <v>84</v>
      </c>
      <c r="C40" s="247"/>
      <c r="D40" s="19">
        <v>32103203.399999999</v>
      </c>
      <c r="E40" s="19">
        <v>29686955</v>
      </c>
    </row>
    <row r="41" spans="1:5" ht="16.5">
      <c r="A41" s="247"/>
      <c r="B41" s="247" t="s">
        <v>85</v>
      </c>
      <c r="C41" s="247"/>
      <c r="D41" s="19"/>
      <c r="E41" s="19"/>
    </row>
    <row r="42" spans="1:5" ht="16.5">
      <c r="A42" s="247"/>
      <c r="B42" s="247" t="s">
        <v>86</v>
      </c>
      <c r="C42" s="247"/>
      <c r="D42" s="19">
        <v>132349355.40000001</v>
      </c>
      <c r="E42" s="19">
        <v>48324974</v>
      </c>
    </row>
    <row r="43" spans="1:5">
      <c r="A43" s="247"/>
      <c r="B43" s="247" t="s">
        <v>87</v>
      </c>
      <c r="C43" s="247"/>
      <c r="D43" s="11">
        <f>D5+D23+D32</f>
        <v>645252677.79999995</v>
      </c>
      <c r="E43" s="11">
        <f>E5+E23+E32</f>
        <v>511894036</v>
      </c>
    </row>
    <row r="44" spans="1:5" ht="16.5">
      <c r="A44" s="187"/>
      <c r="B44" s="187"/>
      <c r="C44" s="187"/>
      <c r="D44" s="187"/>
      <c r="E44" s="97"/>
    </row>
  </sheetData>
  <mergeCells count="4">
    <mergeCell ref="A1:E1"/>
    <mergeCell ref="A3:A4"/>
    <mergeCell ref="B3:B4"/>
    <mergeCell ref="C3:C4"/>
  </mergeCells>
  <pageMargins left="0.51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topLeftCell="A3" workbookViewId="0">
      <selection activeCell="D13" sqref="D13"/>
    </sheetView>
  </sheetViews>
  <sheetFormatPr defaultRowHeight="15"/>
  <cols>
    <col min="1" max="1" width="5.42578125" customWidth="1"/>
    <col min="2" max="2" width="57.140625" customWidth="1"/>
    <col min="3" max="3" width="17" customWidth="1"/>
    <col min="4" max="4" width="16.42578125" customWidth="1"/>
  </cols>
  <sheetData>
    <row r="1" spans="1:4" ht="21">
      <c r="A1" s="37" t="s">
        <v>88</v>
      </c>
      <c r="B1" s="38"/>
      <c r="C1" s="38"/>
      <c r="D1" s="38"/>
    </row>
    <row r="2" spans="1:4" ht="21">
      <c r="A2" s="39" t="s">
        <v>89</v>
      </c>
      <c r="B2" s="40"/>
      <c r="C2" s="40"/>
      <c r="D2" s="40"/>
    </row>
    <row r="3" spans="1:4" ht="16.5">
      <c r="A3" s="41"/>
      <c r="B3" s="41"/>
      <c r="C3" s="41"/>
      <c r="D3" s="41"/>
    </row>
    <row r="4" spans="1:4" ht="16.5">
      <c r="A4" s="41"/>
      <c r="B4" s="42" t="s">
        <v>1</v>
      </c>
      <c r="C4" s="41"/>
      <c r="D4" s="41"/>
    </row>
    <row r="5" spans="1:4" ht="16.5">
      <c r="A5" s="43"/>
      <c r="B5" s="41"/>
      <c r="C5" s="41"/>
      <c r="D5" s="41"/>
    </row>
    <row r="6" spans="1:4" ht="16.5">
      <c r="A6" s="44" t="s">
        <v>2</v>
      </c>
      <c r="B6" s="45" t="s">
        <v>90</v>
      </c>
      <c r="C6" s="44" t="s">
        <v>5</v>
      </c>
      <c r="D6" s="44" t="s">
        <v>5</v>
      </c>
    </row>
    <row r="7" spans="1:4" ht="16.5">
      <c r="A7" s="46"/>
      <c r="B7" s="47"/>
      <c r="C7" s="46" t="s">
        <v>6</v>
      </c>
      <c r="D7" s="46" t="s">
        <v>7</v>
      </c>
    </row>
    <row r="8" spans="1:4" ht="16.5">
      <c r="A8" s="48">
        <v>1</v>
      </c>
      <c r="B8" s="49" t="s">
        <v>91</v>
      </c>
      <c r="C8" s="50">
        <f>+[1]bilanci!F51</f>
        <v>953977552.14999962</v>
      </c>
      <c r="D8" s="50">
        <v>729109002</v>
      </c>
    </row>
    <row r="9" spans="1:4" ht="16.5">
      <c r="A9" s="48"/>
      <c r="B9" s="49" t="s">
        <v>92</v>
      </c>
      <c r="C9" s="50"/>
      <c r="D9" s="50"/>
    </row>
    <row r="10" spans="1:4" ht="16.5">
      <c r="A10" s="48">
        <v>2</v>
      </c>
      <c r="B10" s="51" t="s">
        <v>93</v>
      </c>
      <c r="C10" s="22"/>
      <c r="D10" s="22"/>
    </row>
    <row r="11" spans="1:4" ht="16.5">
      <c r="A11" s="48">
        <v>3</v>
      </c>
      <c r="B11" s="52" t="s">
        <v>94</v>
      </c>
      <c r="C11" s="22">
        <v>-8448812</v>
      </c>
      <c r="D11" s="22">
        <v>6312568</v>
      </c>
    </row>
    <row r="12" spans="1:4" ht="16.5">
      <c r="A12" s="48">
        <v>4</v>
      </c>
      <c r="B12" s="51" t="s">
        <v>95</v>
      </c>
      <c r="C12" s="53">
        <f>+[1]imp.13!E175+[1]Foglio1!L1464</f>
        <v>537429950.97200012</v>
      </c>
      <c r="D12" s="53">
        <v>423507280</v>
      </c>
    </row>
    <row r="13" spans="1:4" ht="16.5">
      <c r="A13" s="48"/>
      <c r="B13" s="51" t="s">
        <v>96</v>
      </c>
      <c r="C13" s="53"/>
      <c r="D13" s="53">
        <f>+D9</f>
        <v>0</v>
      </c>
    </row>
    <row r="14" spans="1:4" ht="16.5">
      <c r="A14" s="48">
        <v>5</v>
      </c>
      <c r="B14" s="51" t="s">
        <v>97</v>
      </c>
      <c r="C14" s="53">
        <f>+C15+C16</f>
        <v>65238347.5</v>
      </c>
      <c r="D14" s="53">
        <f>+D15+D16</f>
        <v>39886127</v>
      </c>
    </row>
    <row r="15" spans="1:4" ht="16.5">
      <c r="A15" s="48"/>
      <c r="B15" s="54" t="s">
        <v>98</v>
      </c>
      <c r="C15" s="22">
        <v>59574476.5</v>
      </c>
      <c r="D15" s="22">
        <v>36078285</v>
      </c>
    </row>
    <row r="16" spans="1:4" ht="16.5">
      <c r="A16" s="48"/>
      <c r="B16" s="55" t="s">
        <v>99</v>
      </c>
      <c r="C16" s="22">
        <v>5663871</v>
      </c>
      <c r="D16" s="22">
        <v>3807842</v>
      </c>
    </row>
    <row r="17" spans="1:7" ht="16.5">
      <c r="A17" s="48">
        <v>6</v>
      </c>
      <c r="B17" s="51" t="s">
        <v>100</v>
      </c>
      <c r="C17" s="22">
        <v>24062592</v>
      </c>
      <c r="D17" s="22">
        <v>21608631</v>
      </c>
    </row>
    <row r="18" spans="1:7" ht="16.5">
      <c r="A18" s="48">
        <v>7</v>
      </c>
      <c r="B18" s="51" t="s">
        <v>101</v>
      </c>
      <c r="C18" s="22">
        <v>113518597</v>
      </c>
      <c r="D18" s="22">
        <v>115315375</v>
      </c>
    </row>
    <row r="19" spans="1:7" ht="16.5">
      <c r="A19" s="56">
        <v>7.1</v>
      </c>
      <c r="B19" s="51" t="s">
        <v>102</v>
      </c>
      <c r="C19" s="22">
        <v>30391205</v>
      </c>
      <c r="D19" s="22">
        <v>61516359</v>
      </c>
    </row>
    <row r="20" spans="1:7" ht="16.5">
      <c r="A20" s="48">
        <v>8</v>
      </c>
      <c r="B20" s="57" t="s">
        <v>103</v>
      </c>
      <c r="C20" s="53">
        <f>C12+C14+C17+C18+C19+C13</f>
        <v>770640692.47200012</v>
      </c>
      <c r="D20" s="53">
        <f>D12+D14+D17+D18+D19+D13</f>
        <v>661833772</v>
      </c>
    </row>
    <row r="21" spans="1:7" ht="16.5">
      <c r="A21" s="48">
        <v>9</v>
      </c>
      <c r="B21" s="51" t="s">
        <v>104</v>
      </c>
      <c r="C21" s="53">
        <f>C8+C10+C11-C20+C9</f>
        <v>174888047.6779995</v>
      </c>
      <c r="D21" s="53">
        <f>D8+D10+D11-D20+D9</f>
        <v>73587798</v>
      </c>
    </row>
    <row r="22" spans="1:7" ht="16.5">
      <c r="A22" s="48">
        <v>10</v>
      </c>
      <c r="B22" s="51" t="s">
        <v>105</v>
      </c>
      <c r="C22" s="22"/>
      <c r="D22" s="22"/>
    </row>
    <row r="23" spans="1:7" ht="16.5">
      <c r="A23" s="48">
        <v>11</v>
      </c>
      <c r="B23" s="51" t="s">
        <v>106</v>
      </c>
      <c r="C23" s="22"/>
      <c r="D23" s="22"/>
    </row>
    <row r="24" spans="1:7" ht="16.5">
      <c r="A24" s="48">
        <v>12</v>
      </c>
      <c r="B24" s="51" t="s">
        <v>107</v>
      </c>
      <c r="C24" s="53">
        <f>C26+C28+C27</f>
        <v>-24067519.969999999</v>
      </c>
      <c r="D24" s="53">
        <f>+D26+D27+D28</f>
        <v>-13058231</v>
      </c>
    </row>
    <row r="25" spans="1:7" ht="16.5">
      <c r="A25" s="58"/>
      <c r="B25" s="54" t="s">
        <v>108</v>
      </c>
      <c r="C25" s="22"/>
      <c r="D25" s="22"/>
      <c r="G25">
        <v>12420</v>
      </c>
    </row>
    <row r="26" spans="1:7" ht="16.5">
      <c r="A26" s="58"/>
      <c r="B26" s="54" t="s">
        <v>109</v>
      </c>
      <c r="C26" s="22">
        <v>-21100848</v>
      </c>
      <c r="D26" s="22">
        <v>-13058231</v>
      </c>
      <c r="G26">
        <v>3285</v>
      </c>
    </row>
    <row r="27" spans="1:7" ht="16.5">
      <c r="A27" s="58"/>
      <c r="B27" s="54" t="s">
        <v>110</v>
      </c>
      <c r="C27" s="22">
        <v>-2969718</v>
      </c>
      <c r="D27" s="22">
        <v>0</v>
      </c>
      <c r="G27">
        <v>6138</v>
      </c>
    </row>
    <row r="28" spans="1:7" ht="16.5">
      <c r="A28" s="58"/>
      <c r="B28" s="54" t="s">
        <v>111</v>
      </c>
      <c r="C28" s="22">
        <f>[1]bilanci!F52</f>
        <v>3046.03</v>
      </c>
      <c r="D28" s="22">
        <v>0</v>
      </c>
      <c r="G28">
        <v>923</v>
      </c>
    </row>
    <row r="29" spans="1:7">
      <c r="A29" s="58">
        <v>13</v>
      </c>
      <c r="B29" s="59" t="s">
        <v>112</v>
      </c>
      <c r="C29" s="53">
        <f>+C24</f>
        <v>-24067519.969999999</v>
      </c>
      <c r="D29" s="53">
        <f>+D24</f>
        <v>-13058231</v>
      </c>
      <c r="G29">
        <v>260</v>
      </c>
    </row>
    <row r="30" spans="1:7">
      <c r="A30" s="58">
        <v>14</v>
      </c>
      <c r="B30" s="59" t="s">
        <v>113</v>
      </c>
      <c r="C30" s="53">
        <f>+C21+C29</f>
        <v>150820527.7079995</v>
      </c>
      <c r="D30" s="53">
        <f>+D21+D29</f>
        <v>60529567</v>
      </c>
      <c r="G30">
        <v>22651</v>
      </c>
    </row>
    <row r="31" spans="1:7" ht="16.5">
      <c r="A31" s="48">
        <v>15</v>
      </c>
      <c r="B31" s="51" t="s">
        <v>114</v>
      </c>
      <c r="C31" s="22">
        <v>18121173</v>
      </c>
      <c r="D31" s="22">
        <f>(+D30+D19)*0.1</f>
        <v>12204592.600000001</v>
      </c>
      <c r="G31">
        <v>1740</v>
      </c>
    </row>
    <row r="32" spans="1:7" ht="16.5">
      <c r="A32" s="58">
        <v>16</v>
      </c>
      <c r="B32" s="52" t="s">
        <v>115</v>
      </c>
      <c r="C32" s="53">
        <f>+C30-C31</f>
        <v>132699354.7079995</v>
      </c>
      <c r="D32" s="53">
        <f>+D30-D31</f>
        <v>48324974.399999999</v>
      </c>
      <c r="G32">
        <v>22958</v>
      </c>
    </row>
    <row r="33" spans="1:9" ht="16.5">
      <c r="A33" s="48">
        <v>17</v>
      </c>
      <c r="B33" s="51" t="s">
        <v>116</v>
      </c>
      <c r="C33" s="22"/>
      <c r="D33" s="22"/>
      <c r="G33">
        <v>328</v>
      </c>
    </row>
    <row r="34" spans="1:9">
      <c r="G34">
        <v>1463</v>
      </c>
    </row>
    <row r="35" spans="1:9">
      <c r="G35">
        <v>30391</v>
      </c>
    </row>
    <row r="36" spans="1:9">
      <c r="G36">
        <f>SUM(G25:G35)</f>
        <v>102557</v>
      </c>
    </row>
    <row r="37" spans="1:9">
      <c r="G37">
        <v>581230</v>
      </c>
    </row>
    <row r="38" spans="1:9">
      <c r="G38">
        <v>65238</v>
      </c>
    </row>
    <row r="39" spans="1:9">
      <c r="G39">
        <v>24062</v>
      </c>
    </row>
    <row r="40" spans="1:9">
      <c r="G40">
        <f>SUM(G36:G39)</f>
        <v>773087</v>
      </c>
      <c r="I40">
        <v>953980</v>
      </c>
    </row>
    <row r="41" spans="1:9">
      <c r="I41">
        <f>+I40-G40</f>
        <v>180893</v>
      </c>
    </row>
  </sheetData>
  <pageMargins left="0.47" right="0.38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activeCell="D12" sqref="D12"/>
    </sheetView>
  </sheetViews>
  <sheetFormatPr defaultRowHeight="15"/>
  <cols>
    <col min="1" max="1" width="6.7109375" customWidth="1"/>
    <col min="2" max="2" width="57.42578125" customWidth="1"/>
    <col min="3" max="3" width="16.28515625" customWidth="1"/>
    <col min="4" max="4" width="15.5703125" customWidth="1"/>
  </cols>
  <sheetData>
    <row r="1" spans="1:4">
      <c r="A1" s="60"/>
      <c r="B1" s="60"/>
      <c r="C1" s="61"/>
      <c r="D1" s="61"/>
    </row>
    <row r="2" spans="1:4" ht="18.75">
      <c r="A2" s="62"/>
      <c r="B2" s="63" t="s">
        <v>1</v>
      </c>
      <c r="C2" s="64"/>
      <c r="D2" s="64"/>
    </row>
    <row r="3" spans="1:4" ht="15.75">
      <c r="A3" s="62"/>
      <c r="B3" s="62"/>
      <c r="C3" s="64"/>
      <c r="D3" s="64"/>
    </row>
    <row r="4" spans="1:4" ht="18.75">
      <c r="A4" s="298" t="s">
        <v>117</v>
      </c>
      <c r="B4" s="298"/>
      <c r="C4" s="298"/>
      <c r="D4" s="298"/>
    </row>
    <row r="5" spans="1:4" ht="18.75">
      <c r="A5" s="65"/>
      <c r="B5" s="65"/>
      <c r="C5" s="66"/>
      <c r="D5" s="66"/>
    </row>
    <row r="6" spans="1:4">
      <c r="A6" s="60"/>
      <c r="B6" s="60"/>
      <c r="C6" s="61"/>
      <c r="D6" s="61"/>
    </row>
    <row r="7" spans="1:4" ht="15.75" thickBot="1">
      <c r="A7" s="60"/>
      <c r="B7" s="60"/>
      <c r="C7" s="61"/>
      <c r="D7" s="61"/>
    </row>
    <row r="8" spans="1:4" ht="16.5">
      <c r="A8" s="299" t="s">
        <v>2</v>
      </c>
      <c r="B8" s="301" t="s">
        <v>118</v>
      </c>
      <c r="C8" s="252" t="s">
        <v>5</v>
      </c>
      <c r="D8" s="253" t="s">
        <v>5</v>
      </c>
    </row>
    <row r="9" spans="1:4" ht="16.5">
      <c r="A9" s="300"/>
      <c r="B9" s="302"/>
      <c r="C9" s="67" t="s">
        <v>6</v>
      </c>
      <c r="D9" s="254" t="s">
        <v>7</v>
      </c>
    </row>
    <row r="10" spans="1:4" ht="16.5">
      <c r="A10" s="68"/>
      <c r="B10" s="69" t="s">
        <v>119</v>
      </c>
      <c r="C10" s="31">
        <f>C11+C12+C13+C14+C15+C16+C17</f>
        <v>443095096</v>
      </c>
      <c r="D10" s="31">
        <f>D11+D12+D13+D14+D15+D16+D17</f>
        <v>58615177</v>
      </c>
    </row>
    <row r="11" spans="1:4" ht="16.5">
      <c r="A11" s="68">
        <v>1</v>
      </c>
      <c r="B11" s="70" t="s">
        <v>120</v>
      </c>
      <c r="C11" s="19">
        <v>1071210733</v>
      </c>
      <c r="D11" s="16">
        <v>794261097</v>
      </c>
    </row>
    <row r="12" spans="1:4" ht="16.5">
      <c r="A12" s="29">
        <v>2</v>
      </c>
      <c r="B12" s="71" t="s">
        <v>121</v>
      </c>
      <c r="C12" s="19">
        <v>-592936404</v>
      </c>
      <c r="D12" s="16">
        <v>-703955295</v>
      </c>
    </row>
    <row r="13" spans="1:4" ht="16.5">
      <c r="A13" s="29">
        <v>3</v>
      </c>
      <c r="B13" s="70" t="s">
        <v>122</v>
      </c>
      <c r="C13" s="19"/>
      <c r="D13" s="16"/>
    </row>
    <row r="14" spans="1:4" ht="16.5">
      <c r="A14" s="68">
        <v>4</v>
      </c>
      <c r="B14" s="70" t="s">
        <v>123</v>
      </c>
      <c r="C14" s="19"/>
      <c r="D14" s="16"/>
    </row>
    <row r="15" spans="1:4" ht="16.5">
      <c r="A15" s="68">
        <v>5</v>
      </c>
      <c r="B15" s="70" t="s">
        <v>124</v>
      </c>
      <c r="C15" s="19">
        <v>-21100848</v>
      </c>
      <c r="D15" s="16">
        <v>-13058231</v>
      </c>
    </row>
    <row r="16" spans="1:4" ht="16.5">
      <c r="A16" s="68">
        <v>6</v>
      </c>
      <c r="B16" s="70" t="s">
        <v>125</v>
      </c>
      <c r="C16" s="19">
        <v>-14078385</v>
      </c>
      <c r="D16" s="16">
        <v>-18632394</v>
      </c>
    </row>
    <row r="17" spans="1:4" ht="16.5">
      <c r="A17" s="68">
        <v>7</v>
      </c>
      <c r="B17" s="72" t="s">
        <v>126</v>
      </c>
      <c r="C17" s="19"/>
      <c r="D17" s="16"/>
    </row>
    <row r="18" spans="1:4" ht="16.5">
      <c r="A18" s="68">
        <v>8</v>
      </c>
      <c r="B18" s="73" t="s">
        <v>127</v>
      </c>
      <c r="C18" s="11">
        <f>+C19+C20+C21+C22+C23+C24</f>
        <v>-61680028</v>
      </c>
      <c r="D18" s="11">
        <f>+D19+D20+D21+D22+D23+D24</f>
        <v>-39813438</v>
      </c>
    </row>
    <row r="19" spans="1:4" ht="16.5">
      <c r="A19" s="68">
        <v>9</v>
      </c>
      <c r="B19" s="70" t="s">
        <v>128</v>
      </c>
      <c r="C19" s="19"/>
      <c r="D19" s="16"/>
    </row>
    <row r="20" spans="1:4" ht="16.5">
      <c r="A20" s="68">
        <v>10</v>
      </c>
      <c r="B20" s="72" t="s">
        <v>129</v>
      </c>
      <c r="C20" s="19">
        <v>-61683074</v>
      </c>
      <c r="D20" s="16">
        <v>-39813438</v>
      </c>
    </row>
    <row r="21" spans="1:4" ht="16.5">
      <c r="A21" s="68">
        <v>11</v>
      </c>
      <c r="B21" s="70" t="s">
        <v>130</v>
      </c>
      <c r="C21" s="19">
        <f>+[1]amort.!C220</f>
        <v>0</v>
      </c>
      <c r="D21" s="16"/>
    </row>
    <row r="22" spans="1:4" ht="16.5">
      <c r="A22" s="68">
        <v>12</v>
      </c>
      <c r="B22" s="70" t="s">
        <v>131</v>
      </c>
      <c r="C22" s="19">
        <v>3046</v>
      </c>
      <c r="D22" s="16"/>
    </row>
    <row r="23" spans="1:4" ht="16.5">
      <c r="A23" s="68">
        <v>13</v>
      </c>
      <c r="B23" s="70" t="s">
        <v>132</v>
      </c>
      <c r="C23" s="19"/>
      <c r="D23" s="16"/>
    </row>
    <row r="24" spans="1:4" ht="16.5">
      <c r="A24" s="68">
        <v>14</v>
      </c>
      <c r="B24" s="74" t="s">
        <v>133</v>
      </c>
      <c r="C24" s="19"/>
      <c r="D24" s="16"/>
    </row>
    <row r="25" spans="1:4" ht="16.5">
      <c r="A25" s="68">
        <v>15</v>
      </c>
      <c r="B25" s="73" t="s">
        <v>134</v>
      </c>
      <c r="C25" s="11">
        <f>+C26+C27+C28+C29+C30</f>
        <v>-380426965</v>
      </c>
      <c r="D25" s="12">
        <f>+D26+D27+D28+D29+D30</f>
        <v>-19113342</v>
      </c>
    </row>
    <row r="26" spans="1:4" ht="16.5">
      <c r="A26" s="68">
        <v>16</v>
      </c>
      <c r="B26" s="72" t="s">
        <v>135</v>
      </c>
      <c r="C26" s="19"/>
      <c r="D26" s="16"/>
    </row>
    <row r="27" spans="1:4" ht="16.5">
      <c r="A27" s="68">
        <v>17</v>
      </c>
      <c r="B27" s="70" t="s">
        <v>136</v>
      </c>
      <c r="C27" s="19"/>
      <c r="D27" s="16"/>
    </row>
    <row r="28" spans="1:4" ht="16.5">
      <c r="A28" s="68">
        <v>18</v>
      </c>
      <c r="B28" s="70" t="s">
        <v>137</v>
      </c>
      <c r="C28" s="19">
        <v>-380426965</v>
      </c>
      <c r="D28" s="16">
        <v>-19113342</v>
      </c>
    </row>
    <row r="29" spans="1:4" ht="16.5">
      <c r="A29" s="68">
        <v>19</v>
      </c>
      <c r="B29" s="70" t="s">
        <v>138</v>
      </c>
      <c r="C29" s="19"/>
      <c r="D29" s="16"/>
    </row>
    <row r="30" spans="1:4" ht="16.5">
      <c r="A30" s="68">
        <v>20</v>
      </c>
      <c r="B30" s="74" t="s">
        <v>139</v>
      </c>
      <c r="C30" s="19"/>
      <c r="D30" s="16"/>
    </row>
    <row r="31" spans="1:4" ht="16.5">
      <c r="A31" s="68">
        <v>21</v>
      </c>
      <c r="B31" s="75" t="s">
        <v>140</v>
      </c>
      <c r="C31" s="76">
        <f>+C33-C32</f>
        <v>988104</v>
      </c>
      <c r="D31" s="76">
        <f>+D33-D32</f>
        <v>-311603</v>
      </c>
    </row>
    <row r="32" spans="1:4" ht="16.5">
      <c r="A32" s="68">
        <v>22</v>
      </c>
      <c r="B32" s="75" t="s">
        <v>141</v>
      </c>
      <c r="C32" s="77">
        <f>+D33</f>
        <v>2540803</v>
      </c>
      <c r="D32" s="78">
        <v>2852406</v>
      </c>
    </row>
    <row r="33" spans="1:4" ht="16.5">
      <c r="A33" s="68">
        <v>23</v>
      </c>
      <c r="B33" s="75" t="s">
        <v>142</v>
      </c>
      <c r="C33" s="76">
        <v>3528907</v>
      </c>
      <c r="D33" s="79">
        <v>2540803</v>
      </c>
    </row>
    <row r="34" spans="1:4" ht="17.25" thickBot="1">
      <c r="A34" s="80"/>
      <c r="B34" s="81"/>
      <c r="C34" s="82"/>
      <c r="D34" s="36"/>
    </row>
  </sheetData>
  <mergeCells count="3">
    <mergeCell ref="A4:D4"/>
    <mergeCell ref="A8:A9"/>
    <mergeCell ref="B8:B9"/>
  </mergeCells>
  <pageMargins left="0.49" right="0.4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topLeftCell="A13" workbookViewId="0">
      <selection activeCell="I22" sqref="I22"/>
    </sheetView>
  </sheetViews>
  <sheetFormatPr defaultRowHeight="15"/>
  <cols>
    <col min="1" max="1" width="7" customWidth="1"/>
    <col min="2" max="2" width="38" customWidth="1"/>
    <col min="3" max="3" width="14.140625" customWidth="1"/>
    <col min="5" max="5" width="7.42578125" customWidth="1"/>
    <col min="6" max="6" width="12.140625" customWidth="1"/>
    <col min="7" max="7" width="12.5703125" customWidth="1"/>
    <col min="8" max="8" width="14.140625" customWidth="1"/>
    <col min="9" max="9" width="15.85546875" customWidth="1"/>
  </cols>
  <sheetData>
    <row r="1" spans="1:10" ht="16.5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ht="16.5">
      <c r="A2" s="85"/>
      <c r="B2" s="2" t="s">
        <v>1</v>
      </c>
      <c r="C2" s="85"/>
      <c r="D2" s="85"/>
      <c r="E2" s="85"/>
      <c r="F2" s="85"/>
      <c r="G2" s="85"/>
      <c r="H2" s="85"/>
      <c r="I2" s="85"/>
      <c r="J2" s="85"/>
    </row>
    <row r="3" spans="1:10" ht="16.5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ht="18.75">
      <c r="A4" s="303" t="s">
        <v>143</v>
      </c>
      <c r="B4" s="303"/>
      <c r="C4" s="303"/>
      <c r="D4" s="303"/>
      <c r="E4" s="303"/>
      <c r="F4" s="303"/>
      <c r="G4" s="303"/>
      <c r="H4" s="303"/>
      <c r="I4" s="303"/>
      <c r="J4" s="303"/>
    </row>
    <row r="5" spans="1:10" ht="16.5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 ht="16.5">
      <c r="A6" s="85"/>
      <c r="B6" s="86" t="s">
        <v>144</v>
      </c>
      <c r="C6" s="85"/>
      <c r="D6" s="85"/>
      <c r="E6" s="85"/>
      <c r="F6" s="85"/>
      <c r="G6" s="85"/>
      <c r="H6" s="85"/>
      <c r="I6" s="85"/>
      <c r="J6" s="85"/>
    </row>
    <row r="7" spans="1:10" ht="17.25" thickBot="1">
      <c r="A7" s="85"/>
      <c r="B7" s="85"/>
      <c r="C7" s="85"/>
      <c r="D7" s="85"/>
      <c r="E7" s="85"/>
      <c r="F7" s="85"/>
      <c r="G7" s="85"/>
      <c r="H7" s="85"/>
      <c r="I7" s="85"/>
      <c r="J7" s="87"/>
    </row>
    <row r="8" spans="1:10" ht="45.75">
      <c r="A8" s="304" t="s">
        <v>2</v>
      </c>
      <c r="B8" s="306" t="s">
        <v>145</v>
      </c>
      <c r="C8" s="308" t="s">
        <v>146</v>
      </c>
      <c r="D8" s="308" t="s">
        <v>147</v>
      </c>
      <c r="E8" s="308" t="s">
        <v>148</v>
      </c>
      <c r="F8" s="308" t="s">
        <v>149</v>
      </c>
      <c r="G8" s="88" t="s">
        <v>150</v>
      </c>
      <c r="H8" s="308" t="s">
        <v>151</v>
      </c>
      <c r="I8" s="310" t="s">
        <v>152</v>
      </c>
      <c r="J8" s="89"/>
    </row>
    <row r="9" spans="1:10" ht="16.5">
      <c r="A9" s="305"/>
      <c r="B9" s="307"/>
      <c r="C9" s="309"/>
      <c r="D9" s="309"/>
      <c r="E9" s="309"/>
      <c r="F9" s="309"/>
      <c r="G9" s="90" t="s">
        <v>153</v>
      </c>
      <c r="H9" s="309"/>
      <c r="I9" s="311"/>
      <c r="J9" s="87"/>
    </row>
    <row r="10" spans="1:10" ht="16.5">
      <c r="A10" s="91" t="s">
        <v>154</v>
      </c>
      <c r="B10" s="92" t="s">
        <v>155</v>
      </c>
      <c r="C10" s="11">
        <v>80000000</v>
      </c>
      <c r="D10" s="11"/>
      <c r="E10" s="11"/>
      <c r="F10" s="11">
        <v>6048997</v>
      </c>
      <c r="G10" s="11">
        <v>29686955</v>
      </c>
      <c r="H10" s="11">
        <v>48324974</v>
      </c>
      <c r="I10" s="12">
        <f>SUM(C10:H10)</f>
        <v>164060926</v>
      </c>
      <c r="J10" s="87"/>
    </row>
    <row r="11" spans="1:10" ht="16.5">
      <c r="A11" s="93" t="s">
        <v>156</v>
      </c>
      <c r="B11" s="94" t="s">
        <v>157</v>
      </c>
      <c r="C11" s="19"/>
      <c r="D11" s="19"/>
      <c r="E11" s="19"/>
      <c r="F11" s="19"/>
      <c r="G11" s="19">
        <v>2416248</v>
      </c>
      <c r="H11" s="19"/>
      <c r="I11" s="16"/>
      <c r="J11" s="87"/>
    </row>
    <row r="12" spans="1:10" ht="16.5">
      <c r="A12" s="91" t="s">
        <v>158</v>
      </c>
      <c r="B12" s="92" t="s">
        <v>159</v>
      </c>
      <c r="C12" s="11"/>
      <c r="D12" s="11"/>
      <c r="E12" s="11"/>
      <c r="F12" s="11">
        <f>+[1]bilanci!F6</f>
        <v>0</v>
      </c>
      <c r="G12" s="11">
        <f>SUM(G10:G11)</f>
        <v>32103203</v>
      </c>
      <c r="H12" s="11">
        <f>+H10-G11</f>
        <v>45908726</v>
      </c>
      <c r="I12" s="12">
        <f>+G12+H12+F12</f>
        <v>78011929</v>
      </c>
      <c r="J12" s="87"/>
    </row>
    <row r="13" spans="1:10" ht="16.5">
      <c r="A13" s="95">
        <v>1</v>
      </c>
      <c r="B13" s="96" t="s">
        <v>160</v>
      </c>
      <c r="C13" s="77"/>
      <c r="D13" s="97"/>
      <c r="E13" s="77"/>
      <c r="F13" s="77"/>
      <c r="G13" s="77"/>
      <c r="H13" s="77"/>
      <c r="I13" s="16">
        <f t="shared" ref="I13:I21" si="0">C13+D13+E13+F13+H13</f>
        <v>0</v>
      </c>
      <c r="J13" s="87"/>
    </row>
    <row r="14" spans="1:10" ht="16.5">
      <c r="A14" s="95">
        <v>2</v>
      </c>
      <c r="B14" s="96" t="s">
        <v>161</v>
      </c>
      <c r="C14" s="77"/>
      <c r="D14" s="77"/>
      <c r="E14" s="77"/>
      <c r="F14" s="77"/>
      <c r="G14" s="77"/>
      <c r="H14" s="77">
        <v>-45908726</v>
      </c>
      <c r="I14" s="16">
        <f t="shared" si="0"/>
        <v>-45908726</v>
      </c>
      <c r="J14" s="87"/>
    </row>
    <row r="15" spans="1:10" ht="16.5">
      <c r="A15" s="93">
        <v>3</v>
      </c>
      <c r="B15" s="98" t="s">
        <v>162</v>
      </c>
      <c r="C15" s="19"/>
      <c r="D15" s="19"/>
      <c r="E15" s="19"/>
      <c r="F15" s="19"/>
      <c r="G15" s="19"/>
      <c r="H15" s="19"/>
      <c r="I15" s="16">
        <f>C15+D15+E15+F15+H15</f>
        <v>0</v>
      </c>
      <c r="J15" s="87"/>
    </row>
    <row r="16" spans="1:10" ht="16.5">
      <c r="A16" s="93">
        <v>4</v>
      </c>
      <c r="B16" s="99" t="s">
        <v>163</v>
      </c>
      <c r="C16" s="19"/>
      <c r="D16" s="19"/>
      <c r="E16" s="19"/>
      <c r="F16" s="19"/>
      <c r="G16" s="19"/>
      <c r="H16" s="19"/>
      <c r="I16" s="16">
        <f t="shared" si="0"/>
        <v>0</v>
      </c>
      <c r="J16" s="87"/>
    </row>
    <row r="17" spans="1:10" ht="16.5">
      <c r="A17" s="91" t="s">
        <v>34</v>
      </c>
      <c r="B17" s="100" t="s">
        <v>155</v>
      </c>
      <c r="C17" s="76">
        <f>SUM(C10:C16)</f>
        <v>80000000</v>
      </c>
      <c r="D17" s="76">
        <f>SUM(D10:D16)</f>
        <v>0</v>
      </c>
      <c r="E17" s="76">
        <f>SUM(E10:E16)</f>
        <v>0</v>
      </c>
      <c r="F17" s="76">
        <f>SUM(F10:F16)</f>
        <v>6048997</v>
      </c>
      <c r="G17" s="76">
        <f>+G12</f>
        <v>32103203</v>
      </c>
      <c r="H17" s="76">
        <v>0</v>
      </c>
      <c r="I17" s="12">
        <f>+C17+F17+G17</f>
        <v>118152200</v>
      </c>
      <c r="J17" s="87"/>
    </row>
    <row r="18" spans="1:10" ht="16.5">
      <c r="A18" s="101">
        <v>1</v>
      </c>
      <c r="B18" s="98" t="s">
        <v>160</v>
      </c>
      <c r="C18" s="19"/>
      <c r="D18" s="19"/>
      <c r="E18" s="19"/>
      <c r="F18" s="19"/>
      <c r="G18" s="19"/>
      <c r="H18" s="19">
        <v>132349355</v>
      </c>
      <c r="I18" s="16">
        <f t="shared" si="0"/>
        <v>132349355</v>
      </c>
      <c r="J18" s="87"/>
    </row>
    <row r="19" spans="1:10" ht="16.5">
      <c r="A19" s="93">
        <v>2</v>
      </c>
      <c r="B19" s="102" t="s">
        <v>161</v>
      </c>
      <c r="C19" s="19"/>
      <c r="D19" s="19"/>
      <c r="E19" s="19"/>
      <c r="F19" s="19"/>
      <c r="G19" s="19"/>
      <c r="H19" s="19"/>
      <c r="I19" s="16">
        <f t="shared" si="0"/>
        <v>0</v>
      </c>
      <c r="J19" s="87"/>
    </row>
    <row r="20" spans="1:10" ht="16.5">
      <c r="A20" s="103">
        <v>3</v>
      </c>
      <c r="B20" s="104" t="s">
        <v>164</v>
      </c>
      <c r="C20" s="77"/>
      <c r="D20" s="77"/>
      <c r="E20" s="77"/>
      <c r="F20" s="77"/>
      <c r="G20" s="77"/>
      <c r="H20" s="77"/>
      <c r="I20" s="16">
        <f t="shared" si="0"/>
        <v>0</v>
      </c>
      <c r="J20" s="87"/>
    </row>
    <row r="21" spans="1:10" ht="16.5">
      <c r="A21" s="105">
        <v>4</v>
      </c>
      <c r="B21" s="106" t="s">
        <v>165</v>
      </c>
      <c r="C21" s="77"/>
      <c r="D21" s="77"/>
      <c r="E21" s="77"/>
      <c r="F21" s="77"/>
      <c r="G21" s="77"/>
      <c r="H21" s="77"/>
      <c r="I21" s="16">
        <f t="shared" si="0"/>
        <v>0</v>
      </c>
      <c r="J21" s="87"/>
    </row>
    <row r="22" spans="1:10" ht="17.25" thickBot="1">
      <c r="A22" s="107" t="s">
        <v>75</v>
      </c>
      <c r="B22" s="108" t="s">
        <v>166</v>
      </c>
      <c r="C22" s="109">
        <f>SUM(C17:C21)</f>
        <v>80000000</v>
      </c>
      <c r="D22" s="109">
        <f>SUM(D17:D21)</f>
        <v>0</v>
      </c>
      <c r="E22" s="109">
        <f>SUM(E17:E21)</f>
        <v>0</v>
      </c>
      <c r="F22" s="109">
        <f>SUM(F17:F21)</f>
        <v>6048997</v>
      </c>
      <c r="G22" s="109">
        <f>+G17</f>
        <v>32103203</v>
      </c>
      <c r="H22" s="109">
        <f>SUM(H17:H21)</f>
        <v>132349355</v>
      </c>
      <c r="I22" s="12">
        <f>+I17+I18</f>
        <v>250501555</v>
      </c>
      <c r="J22" s="87"/>
    </row>
  </sheetData>
  <mergeCells count="9">
    <mergeCell ref="A4:J4"/>
    <mergeCell ref="A8:A9"/>
    <mergeCell ref="B8:B9"/>
    <mergeCell ref="C8:C9"/>
    <mergeCell ref="D8:D9"/>
    <mergeCell ref="E8:E9"/>
    <mergeCell ref="F8:F9"/>
    <mergeCell ref="H8:H9"/>
    <mergeCell ref="I8:I9"/>
  </mergeCells>
  <pageMargins left="0.41" right="0.3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3"/>
  <sheetViews>
    <sheetView workbookViewId="0">
      <selection activeCell="Q13" sqref="Q13"/>
    </sheetView>
  </sheetViews>
  <sheetFormatPr defaultRowHeight="15"/>
  <cols>
    <col min="1" max="1" width="7" style="139" customWidth="1"/>
    <col min="2" max="2" width="24" style="173" customWidth="1"/>
    <col min="3" max="4" width="9.140625" style="139"/>
    <col min="5" max="5" width="4.42578125" style="174" customWidth="1"/>
    <col min="6" max="6" width="11.5703125" style="139" customWidth="1"/>
    <col min="7" max="7" width="11.85546875" style="139" customWidth="1"/>
    <col min="8" max="8" width="11.5703125" style="139" customWidth="1"/>
    <col min="9" max="9" width="12.28515625" style="139" customWidth="1"/>
    <col min="10" max="10" width="9.140625" style="139"/>
    <col min="11" max="11" width="11.28515625" style="139" customWidth="1"/>
    <col min="12" max="16384" width="9.140625" style="139"/>
  </cols>
  <sheetData>
    <row r="1" spans="1:11" ht="15.75">
      <c r="A1" s="142"/>
      <c r="B1" s="147"/>
      <c r="C1" s="142"/>
      <c r="D1" s="148" t="s">
        <v>169</v>
      </c>
      <c r="E1" s="149"/>
      <c r="F1" s="150"/>
      <c r="G1" s="150"/>
      <c r="H1" s="150"/>
      <c r="I1" s="151"/>
      <c r="J1" s="142"/>
      <c r="K1" s="151"/>
    </row>
    <row r="2" spans="1:11">
      <c r="A2" s="142"/>
      <c r="B2" s="147"/>
      <c r="C2" s="142"/>
      <c r="D2" s="142"/>
      <c r="E2" s="152"/>
      <c r="F2" s="151"/>
      <c r="G2" s="151"/>
      <c r="H2" s="151"/>
      <c r="I2" s="151"/>
      <c r="J2" s="142"/>
      <c r="K2" s="151"/>
    </row>
    <row r="3" spans="1:11">
      <c r="A3" s="142"/>
      <c r="B3" s="147"/>
      <c r="C3" s="142"/>
      <c r="D3" s="142"/>
      <c r="E3" s="152"/>
      <c r="F3" s="151"/>
      <c r="G3" s="151"/>
      <c r="H3" s="151"/>
      <c r="I3" s="151"/>
      <c r="J3" s="142"/>
      <c r="K3" s="151"/>
    </row>
    <row r="4" spans="1:11" ht="15.75">
      <c r="A4" s="153" t="s">
        <v>170</v>
      </c>
      <c r="B4" s="153" t="s">
        <v>171</v>
      </c>
      <c r="C4" s="153" t="s">
        <v>172</v>
      </c>
      <c r="D4" s="153" t="s">
        <v>173</v>
      </c>
      <c r="E4" s="154" t="s">
        <v>174</v>
      </c>
      <c r="F4" s="155" t="s">
        <v>175</v>
      </c>
      <c r="G4" s="155" t="s">
        <v>176</v>
      </c>
      <c r="H4" s="155" t="s">
        <v>177</v>
      </c>
      <c r="I4" s="155" t="s">
        <v>176</v>
      </c>
      <c r="J4" s="153" t="s">
        <v>178</v>
      </c>
      <c r="K4" s="155" t="s">
        <v>177</v>
      </c>
    </row>
    <row r="5" spans="1:11" ht="15.75">
      <c r="A5" s="156" t="s">
        <v>179</v>
      </c>
      <c r="B5" s="156" t="s">
        <v>180</v>
      </c>
      <c r="C5" s="156" t="s">
        <v>181</v>
      </c>
      <c r="D5" s="156"/>
      <c r="E5" s="157"/>
      <c r="F5" s="158"/>
      <c r="G5" s="158" t="s">
        <v>182</v>
      </c>
      <c r="H5" s="158" t="s">
        <v>183</v>
      </c>
      <c r="I5" s="158" t="s">
        <v>184</v>
      </c>
      <c r="J5" s="156" t="s">
        <v>185</v>
      </c>
      <c r="K5" s="158" t="s">
        <v>186</v>
      </c>
    </row>
    <row r="6" spans="1:11">
      <c r="A6" s="111">
        <v>1</v>
      </c>
      <c r="B6" s="111" t="s">
        <v>187</v>
      </c>
      <c r="C6" s="112"/>
      <c r="D6" s="112"/>
      <c r="E6" s="144"/>
      <c r="F6" s="113"/>
      <c r="G6" s="113">
        <v>9432544</v>
      </c>
      <c r="H6" s="113">
        <v>5051067</v>
      </c>
      <c r="I6" s="113">
        <f>G6-H6</f>
        <v>4381477</v>
      </c>
      <c r="J6" s="114">
        <v>0.05</v>
      </c>
      <c r="K6" s="113">
        <f>(G6*J6)/12*12</f>
        <v>471627.20000000007</v>
      </c>
    </row>
    <row r="7" spans="1:11">
      <c r="A7" s="111"/>
      <c r="B7" s="111" t="s">
        <v>188</v>
      </c>
      <c r="C7" s="112"/>
      <c r="D7" s="112"/>
      <c r="E7" s="144"/>
      <c r="F7" s="113">
        <v>56000000</v>
      </c>
      <c r="G7" s="113">
        <v>56000000</v>
      </c>
      <c r="H7" s="113"/>
      <c r="I7" s="113">
        <v>56000000</v>
      </c>
      <c r="J7" s="114"/>
      <c r="K7" s="113"/>
    </row>
    <row r="8" spans="1:11">
      <c r="A8" s="111">
        <v>2</v>
      </c>
      <c r="B8" s="111" t="s">
        <v>189</v>
      </c>
      <c r="C8" s="112" t="s">
        <v>190</v>
      </c>
      <c r="D8" s="111" t="s">
        <v>191</v>
      </c>
      <c r="E8" s="144">
        <v>1</v>
      </c>
      <c r="F8" s="113">
        <v>30000</v>
      </c>
      <c r="G8" s="113">
        <f>E8*F8</f>
        <v>30000</v>
      </c>
      <c r="H8" s="113">
        <v>27202</v>
      </c>
      <c r="I8" s="113">
        <f t="shared" ref="I8:I72" si="0">G8-H8</f>
        <v>2798</v>
      </c>
      <c r="J8" s="114">
        <v>0.2</v>
      </c>
      <c r="K8" s="113">
        <v>2798</v>
      </c>
    </row>
    <row r="9" spans="1:11">
      <c r="A9" s="111">
        <v>3</v>
      </c>
      <c r="B9" s="111" t="s">
        <v>192</v>
      </c>
      <c r="C9" s="112" t="s">
        <v>193</v>
      </c>
      <c r="D9" s="111" t="s">
        <v>191</v>
      </c>
      <c r="E9" s="144">
        <v>1</v>
      </c>
      <c r="F9" s="113">
        <v>110000</v>
      </c>
      <c r="G9" s="113">
        <f t="shared" ref="G9:G31" si="1">E9*F9</f>
        <v>110000</v>
      </c>
      <c r="H9" s="113">
        <v>99739</v>
      </c>
      <c r="I9" s="113">
        <f t="shared" si="0"/>
        <v>10261</v>
      </c>
      <c r="J9" s="114">
        <v>0.2</v>
      </c>
      <c r="K9" s="113">
        <v>10261</v>
      </c>
    </row>
    <row r="10" spans="1:11">
      <c r="A10" s="111">
        <v>4</v>
      </c>
      <c r="B10" s="111" t="s">
        <v>194</v>
      </c>
      <c r="C10" s="112" t="s">
        <v>195</v>
      </c>
      <c r="D10" s="111" t="s">
        <v>191</v>
      </c>
      <c r="E10" s="144">
        <v>1</v>
      </c>
      <c r="F10" s="113">
        <v>35000</v>
      </c>
      <c r="G10" s="113">
        <f t="shared" si="1"/>
        <v>35000</v>
      </c>
      <c r="H10" s="113">
        <v>32322</v>
      </c>
      <c r="I10" s="113">
        <f t="shared" si="0"/>
        <v>2678</v>
      </c>
      <c r="J10" s="114">
        <v>0.2</v>
      </c>
      <c r="K10" s="113">
        <v>2678</v>
      </c>
    </row>
    <row r="11" spans="1:11">
      <c r="A11" s="111">
        <v>5</v>
      </c>
      <c r="B11" s="111" t="s">
        <v>196</v>
      </c>
      <c r="C11" s="112" t="s">
        <v>195</v>
      </c>
      <c r="D11" s="111" t="s">
        <v>191</v>
      </c>
      <c r="E11" s="144">
        <v>1</v>
      </c>
      <c r="F11" s="113">
        <v>13200</v>
      </c>
      <c r="G11" s="113">
        <f t="shared" si="1"/>
        <v>13200</v>
      </c>
      <c r="H11" s="113">
        <v>12190</v>
      </c>
      <c r="I11" s="113">
        <f t="shared" si="0"/>
        <v>1010</v>
      </c>
      <c r="J11" s="114">
        <v>0.2</v>
      </c>
      <c r="K11" s="113">
        <v>1010</v>
      </c>
    </row>
    <row r="12" spans="1:11">
      <c r="A12" s="111">
        <v>6</v>
      </c>
      <c r="B12" s="111" t="s">
        <v>197</v>
      </c>
      <c r="C12" s="112" t="s">
        <v>198</v>
      </c>
      <c r="D12" s="111" t="s">
        <v>191</v>
      </c>
      <c r="E12" s="144">
        <v>1</v>
      </c>
      <c r="F12" s="113">
        <v>560000</v>
      </c>
      <c r="G12" s="113">
        <f t="shared" si="1"/>
        <v>560000</v>
      </c>
      <c r="H12" s="113">
        <v>516102</v>
      </c>
      <c r="I12" s="113">
        <f t="shared" si="0"/>
        <v>43898</v>
      </c>
      <c r="J12" s="114">
        <v>0.2</v>
      </c>
      <c r="K12" s="113">
        <v>43898</v>
      </c>
    </row>
    <row r="13" spans="1:11">
      <c r="A13" s="111">
        <v>7</v>
      </c>
      <c r="B13" s="111" t="s">
        <v>199</v>
      </c>
      <c r="C13" s="112" t="s">
        <v>198</v>
      </c>
      <c r="D13" s="111" t="s">
        <v>191</v>
      </c>
      <c r="E13" s="144">
        <v>1</v>
      </c>
      <c r="F13" s="113">
        <v>18400</v>
      </c>
      <c r="G13" s="113">
        <f t="shared" si="1"/>
        <v>18400</v>
      </c>
      <c r="H13" s="113">
        <v>16958</v>
      </c>
      <c r="I13" s="113">
        <f t="shared" si="0"/>
        <v>1442</v>
      </c>
      <c r="J13" s="114">
        <v>0.2</v>
      </c>
      <c r="K13" s="113">
        <v>1442</v>
      </c>
    </row>
    <row r="14" spans="1:11">
      <c r="A14" s="111">
        <v>8</v>
      </c>
      <c r="B14" s="111" t="s">
        <v>200</v>
      </c>
      <c r="C14" s="112" t="s">
        <v>198</v>
      </c>
      <c r="D14" s="111" t="s">
        <v>191</v>
      </c>
      <c r="E14" s="144">
        <v>1</v>
      </c>
      <c r="F14" s="113">
        <v>12500</v>
      </c>
      <c r="G14" s="113">
        <f t="shared" si="1"/>
        <v>12500</v>
      </c>
      <c r="H14" s="113">
        <v>11520</v>
      </c>
      <c r="I14" s="113">
        <f t="shared" si="0"/>
        <v>980</v>
      </c>
      <c r="J14" s="114">
        <v>0.2</v>
      </c>
      <c r="K14" s="113">
        <v>980</v>
      </c>
    </row>
    <row r="15" spans="1:11">
      <c r="A15" s="111">
        <v>9</v>
      </c>
      <c r="B15" s="111" t="s">
        <v>201</v>
      </c>
      <c r="C15" s="112" t="s">
        <v>202</v>
      </c>
      <c r="D15" s="111" t="s">
        <v>191</v>
      </c>
      <c r="E15" s="144">
        <v>1</v>
      </c>
      <c r="F15" s="113">
        <v>45000</v>
      </c>
      <c r="G15" s="113">
        <f t="shared" si="1"/>
        <v>45000</v>
      </c>
      <c r="H15" s="113">
        <v>41896</v>
      </c>
      <c r="I15" s="113">
        <f t="shared" si="0"/>
        <v>3104</v>
      </c>
      <c r="J15" s="114">
        <v>0.2</v>
      </c>
      <c r="K15" s="113">
        <v>3104</v>
      </c>
    </row>
    <row r="16" spans="1:11">
      <c r="A16" s="111">
        <v>10</v>
      </c>
      <c r="B16" s="111" t="s">
        <v>203</v>
      </c>
      <c r="C16" s="112" t="s">
        <v>204</v>
      </c>
      <c r="D16" s="111" t="s">
        <v>191</v>
      </c>
      <c r="E16" s="144">
        <v>1</v>
      </c>
      <c r="F16" s="113">
        <v>30000</v>
      </c>
      <c r="G16" s="113">
        <f t="shared" si="1"/>
        <v>30000</v>
      </c>
      <c r="H16" s="113">
        <v>27705</v>
      </c>
      <c r="I16" s="113">
        <f t="shared" si="0"/>
        <v>2295</v>
      </c>
      <c r="J16" s="114">
        <v>0.2</v>
      </c>
      <c r="K16" s="113">
        <v>2295</v>
      </c>
    </row>
    <row r="17" spans="1:11">
      <c r="A17" s="111">
        <v>11</v>
      </c>
      <c r="B17" s="111" t="s">
        <v>205</v>
      </c>
      <c r="C17" s="112" t="s">
        <v>206</v>
      </c>
      <c r="D17" s="111" t="s">
        <v>191</v>
      </c>
      <c r="E17" s="144">
        <v>1</v>
      </c>
      <c r="F17" s="113">
        <v>28440</v>
      </c>
      <c r="G17" s="113">
        <f t="shared" si="1"/>
        <v>28440</v>
      </c>
      <c r="H17" s="113">
        <v>26050</v>
      </c>
      <c r="I17" s="113">
        <f t="shared" si="0"/>
        <v>2390</v>
      </c>
      <c r="J17" s="114">
        <v>0.2</v>
      </c>
      <c r="K17" s="113">
        <v>2390</v>
      </c>
    </row>
    <row r="18" spans="1:11">
      <c r="A18" s="111">
        <v>12</v>
      </c>
      <c r="B18" s="111" t="s">
        <v>207</v>
      </c>
      <c r="C18" s="112" t="s">
        <v>208</v>
      </c>
      <c r="D18" s="111" t="s">
        <v>191</v>
      </c>
      <c r="E18" s="144">
        <v>1</v>
      </c>
      <c r="F18" s="113">
        <v>1252960</v>
      </c>
      <c r="G18" s="113">
        <f t="shared" si="1"/>
        <v>1252960</v>
      </c>
      <c r="H18" s="113">
        <v>1152820</v>
      </c>
      <c r="I18" s="113">
        <f t="shared" si="0"/>
        <v>100140</v>
      </c>
      <c r="J18" s="114">
        <v>0.2</v>
      </c>
      <c r="K18" s="113">
        <v>100140</v>
      </c>
    </row>
    <row r="19" spans="1:11">
      <c r="A19" s="111">
        <v>13</v>
      </c>
      <c r="B19" s="111" t="s">
        <v>209</v>
      </c>
      <c r="C19" s="112" t="s">
        <v>210</v>
      </c>
      <c r="D19" s="111" t="s">
        <v>191</v>
      </c>
      <c r="E19" s="144">
        <v>1</v>
      </c>
      <c r="F19" s="113">
        <v>410332</v>
      </c>
      <c r="G19" s="113">
        <f t="shared" si="1"/>
        <v>410332</v>
      </c>
      <c r="H19" s="113">
        <v>375085</v>
      </c>
      <c r="I19" s="113">
        <f t="shared" si="0"/>
        <v>35247</v>
      </c>
      <c r="J19" s="114">
        <v>0.2</v>
      </c>
      <c r="K19" s="113">
        <v>35247</v>
      </c>
    </row>
    <row r="20" spans="1:11">
      <c r="A20" s="111">
        <v>14</v>
      </c>
      <c r="B20" s="111" t="s">
        <v>211</v>
      </c>
      <c r="C20" s="112" t="s">
        <v>212</v>
      </c>
      <c r="D20" s="111" t="s">
        <v>191</v>
      </c>
      <c r="E20" s="144">
        <v>1</v>
      </c>
      <c r="F20" s="113">
        <v>145401</v>
      </c>
      <c r="G20" s="113">
        <f t="shared" si="1"/>
        <v>145401</v>
      </c>
      <c r="H20" s="113">
        <v>105087</v>
      </c>
      <c r="I20" s="113">
        <f t="shared" si="0"/>
        <v>40314</v>
      </c>
      <c r="J20" s="114">
        <v>0.2</v>
      </c>
      <c r="K20" s="113">
        <v>40314</v>
      </c>
    </row>
    <row r="21" spans="1:11">
      <c r="A21" s="111">
        <v>15</v>
      </c>
      <c r="B21" s="111" t="s">
        <v>213</v>
      </c>
      <c r="C21" s="112" t="s">
        <v>212</v>
      </c>
      <c r="D21" s="111" t="s">
        <v>191</v>
      </c>
      <c r="E21" s="144">
        <v>1</v>
      </c>
      <c r="F21" s="113">
        <v>143112</v>
      </c>
      <c r="G21" s="113">
        <f t="shared" si="1"/>
        <v>143112</v>
      </c>
      <c r="H21" s="113">
        <v>103434</v>
      </c>
      <c r="I21" s="113">
        <f t="shared" si="0"/>
        <v>39678</v>
      </c>
      <c r="J21" s="114">
        <v>0.2</v>
      </c>
      <c r="K21" s="113">
        <v>39678</v>
      </c>
    </row>
    <row r="22" spans="1:11">
      <c r="A22" s="111">
        <v>16</v>
      </c>
      <c r="B22" s="111" t="s">
        <v>214</v>
      </c>
      <c r="C22" s="112" t="s">
        <v>215</v>
      </c>
      <c r="D22" s="111" t="s">
        <v>191</v>
      </c>
      <c r="E22" s="144">
        <v>1</v>
      </c>
      <c r="F22" s="113">
        <v>273294</v>
      </c>
      <c r="G22" s="113">
        <f t="shared" si="1"/>
        <v>273294</v>
      </c>
      <c r="H22" s="113">
        <v>250332</v>
      </c>
      <c r="I22" s="113">
        <f t="shared" si="0"/>
        <v>22962</v>
      </c>
      <c r="J22" s="114">
        <v>0.2</v>
      </c>
      <c r="K22" s="113">
        <v>22962</v>
      </c>
    </row>
    <row r="23" spans="1:11">
      <c r="A23" s="111">
        <v>17</v>
      </c>
      <c r="B23" s="111" t="s">
        <v>216</v>
      </c>
      <c r="C23" s="112" t="s">
        <v>217</v>
      </c>
      <c r="D23" s="111" t="s">
        <v>191</v>
      </c>
      <c r="E23" s="144">
        <v>1</v>
      </c>
      <c r="F23" s="113">
        <v>93687</v>
      </c>
      <c r="G23" s="113">
        <f t="shared" si="1"/>
        <v>93687</v>
      </c>
      <c r="H23" s="113">
        <v>85629</v>
      </c>
      <c r="I23" s="113">
        <f t="shared" si="0"/>
        <v>8058</v>
      </c>
      <c r="J23" s="114">
        <v>0.2</v>
      </c>
      <c r="K23" s="113">
        <v>8058</v>
      </c>
    </row>
    <row r="24" spans="1:11">
      <c r="A24" s="111">
        <v>18</v>
      </c>
      <c r="B24" s="111" t="s">
        <v>187</v>
      </c>
      <c r="C24" s="112" t="s">
        <v>218</v>
      </c>
      <c r="D24" s="111" t="s">
        <v>191</v>
      </c>
      <c r="E24" s="144">
        <v>1</v>
      </c>
      <c r="F24" s="113">
        <v>641701</v>
      </c>
      <c r="G24" s="113">
        <f t="shared" si="1"/>
        <v>641701</v>
      </c>
      <c r="H24" s="113">
        <v>581370</v>
      </c>
      <c r="I24" s="113">
        <f t="shared" si="0"/>
        <v>60331</v>
      </c>
      <c r="J24" s="114">
        <v>0.2</v>
      </c>
      <c r="K24" s="113">
        <v>60331</v>
      </c>
    </row>
    <row r="25" spans="1:11">
      <c r="A25" s="111">
        <v>19</v>
      </c>
      <c r="B25" s="111" t="s">
        <v>187</v>
      </c>
      <c r="C25" s="112" t="s">
        <v>219</v>
      </c>
      <c r="D25" s="111" t="s">
        <v>191</v>
      </c>
      <c r="E25" s="144">
        <v>1</v>
      </c>
      <c r="F25" s="113">
        <v>666528</v>
      </c>
      <c r="G25" s="113">
        <f t="shared" si="1"/>
        <v>666528</v>
      </c>
      <c r="H25" s="113">
        <v>604502</v>
      </c>
      <c r="I25" s="113">
        <f t="shared" si="0"/>
        <v>62026</v>
      </c>
      <c r="J25" s="114">
        <v>0.2</v>
      </c>
      <c r="K25" s="113">
        <v>62026</v>
      </c>
    </row>
    <row r="26" spans="1:11">
      <c r="A26" s="111">
        <v>20</v>
      </c>
      <c r="B26" s="111" t="s">
        <v>220</v>
      </c>
      <c r="C26" s="112" t="s">
        <v>221</v>
      </c>
      <c r="D26" s="111" t="s">
        <v>191</v>
      </c>
      <c r="E26" s="144">
        <v>1</v>
      </c>
      <c r="F26" s="113">
        <v>117404</v>
      </c>
      <c r="G26" s="113">
        <f t="shared" si="1"/>
        <v>117404</v>
      </c>
      <c r="H26" s="113">
        <v>106899</v>
      </c>
      <c r="I26" s="113">
        <f t="shared" si="0"/>
        <v>10505</v>
      </c>
      <c r="J26" s="114">
        <v>0.2</v>
      </c>
      <c r="K26" s="113">
        <v>10505</v>
      </c>
    </row>
    <row r="27" spans="1:11">
      <c r="A27" s="111">
        <v>21</v>
      </c>
      <c r="B27" s="111" t="s">
        <v>222</v>
      </c>
      <c r="C27" s="112" t="s">
        <v>223</v>
      </c>
      <c r="D27" s="111" t="s">
        <v>191</v>
      </c>
      <c r="E27" s="144">
        <v>1</v>
      </c>
      <c r="F27" s="113">
        <v>100000</v>
      </c>
      <c r="G27" s="113">
        <f t="shared" si="1"/>
        <v>100000</v>
      </c>
      <c r="H27" s="113">
        <v>91230</v>
      </c>
      <c r="I27" s="113">
        <f t="shared" si="0"/>
        <v>8770</v>
      </c>
      <c r="J27" s="114">
        <v>0.2</v>
      </c>
      <c r="K27" s="113">
        <v>8770</v>
      </c>
    </row>
    <row r="28" spans="1:11">
      <c r="A28" s="111">
        <v>22</v>
      </c>
      <c r="B28" s="111" t="s">
        <v>224</v>
      </c>
      <c r="C28" s="112" t="s">
        <v>225</v>
      </c>
      <c r="D28" s="111" t="s">
        <v>191</v>
      </c>
      <c r="E28" s="144">
        <v>1</v>
      </c>
      <c r="F28" s="113">
        <v>113200</v>
      </c>
      <c r="G28" s="113">
        <f t="shared" si="1"/>
        <v>113200</v>
      </c>
      <c r="H28" s="113">
        <v>103274</v>
      </c>
      <c r="I28" s="113">
        <f t="shared" si="0"/>
        <v>9926</v>
      </c>
      <c r="J28" s="114">
        <v>0.2</v>
      </c>
      <c r="K28" s="113">
        <v>9926</v>
      </c>
    </row>
    <row r="29" spans="1:11">
      <c r="A29" s="111">
        <v>23</v>
      </c>
      <c r="B29" s="111" t="s">
        <v>226</v>
      </c>
      <c r="C29" s="112" t="s">
        <v>227</v>
      </c>
      <c r="D29" s="111" t="s">
        <v>191</v>
      </c>
      <c r="E29" s="144">
        <v>3</v>
      </c>
      <c r="F29" s="113">
        <v>14583</v>
      </c>
      <c r="G29" s="113">
        <f t="shared" si="1"/>
        <v>43749</v>
      </c>
      <c r="H29" s="113">
        <v>39443</v>
      </c>
      <c r="I29" s="113">
        <f t="shared" si="0"/>
        <v>4306</v>
      </c>
      <c r="J29" s="114">
        <v>0.2</v>
      </c>
      <c r="K29" s="113">
        <v>4306</v>
      </c>
    </row>
    <row r="30" spans="1:11">
      <c r="A30" s="111">
        <v>24</v>
      </c>
      <c r="B30" s="111" t="s">
        <v>226</v>
      </c>
      <c r="C30" s="112" t="s">
        <v>228</v>
      </c>
      <c r="D30" s="111" t="s">
        <v>191</v>
      </c>
      <c r="E30" s="144">
        <v>1</v>
      </c>
      <c r="F30" s="113">
        <v>76583</v>
      </c>
      <c r="G30" s="113">
        <f t="shared" si="1"/>
        <v>76583</v>
      </c>
      <c r="H30" s="113">
        <v>67161</v>
      </c>
      <c r="I30" s="113">
        <f t="shared" si="0"/>
        <v>9422</v>
      </c>
      <c r="J30" s="114">
        <v>0.2</v>
      </c>
      <c r="K30" s="113">
        <v>9422</v>
      </c>
    </row>
    <row r="31" spans="1:11">
      <c r="A31" s="111">
        <v>25</v>
      </c>
      <c r="B31" s="111" t="s">
        <v>226</v>
      </c>
      <c r="C31" s="112" t="s">
        <v>229</v>
      </c>
      <c r="D31" s="111" t="s">
        <v>191</v>
      </c>
      <c r="E31" s="144">
        <v>1</v>
      </c>
      <c r="F31" s="113">
        <v>45500</v>
      </c>
      <c r="G31" s="113">
        <f t="shared" si="1"/>
        <v>45500</v>
      </c>
      <c r="H31" s="113">
        <v>38502</v>
      </c>
      <c r="I31" s="113">
        <f t="shared" si="0"/>
        <v>6998</v>
      </c>
      <c r="J31" s="114">
        <v>0.2</v>
      </c>
      <c r="K31" s="113">
        <v>6998</v>
      </c>
    </row>
    <row r="32" spans="1:11">
      <c r="A32" s="111">
        <v>26</v>
      </c>
      <c r="B32" s="111" t="str">
        <f>+[2]imp.07!E39</f>
        <v>traktor</v>
      </c>
      <c r="C32" s="112" t="str">
        <f>+[2]imp.07!B37</f>
        <v>15.03.07</v>
      </c>
      <c r="D32" s="111" t="s">
        <v>191</v>
      </c>
      <c r="E32" s="146">
        <v>1</v>
      </c>
      <c r="F32" s="113">
        <f>+G32</f>
        <v>1804841</v>
      </c>
      <c r="G32" s="113">
        <v>1804841</v>
      </c>
      <c r="H32" s="113">
        <v>1233144</v>
      </c>
      <c r="I32" s="113">
        <f t="shared" si="0"/>
        <v>571697</v>
      </c>
      <c r="J32" s="114">
        <v>0.2</v>
      </c>
      <c r="K32" s="113">
        <v>571697</v>
      </c>
    </row>
    <row r="33" spans="1:11">
      <c r="A33" s="111">
        <v>27</v>
      </c>
      <c r="B33" s="111" t="str">
        <f>+[2]imp.07!E100</f>
        <v>imp.vadites</v>
      </c>
      <c r="C33" s="121" t="s">
        <v>230</v>
      </c>
      <c r="D33" s="111" t="s">
        <v>191</v>
      </c>
      <c r="E33" s="144">
        <v>1</v>
      </c>
      <c r="F33" s="113">
        <f>+G33/E33</f>
        <v>905636.65720000002</v>
      </c>
      <c r="G33" s="113">
        <f>+[2]imp.07!J100+[2]imp.07!M100</f>
        <v>905636.65720000002</v>
      </c>
      <c r="H33" s="113">
        <v>618770</v>
      </c>
      <c r="I33" s="113">
        <f t="shared" si="0"/>
        <v>286866.65720000002</v>
      </c>
      <c r="J33" s="114">
        <v>0.2</v>
      </c>
      <c r="K33" s="113">
        <f>+I33*J33</f>
        <v>57373.331440000009</v>
      </c>
    </row>
    <row r="34" spans="1:11">
      <c r="A34" s="111">
        <v>28</v>
      </c>
      <c r="B34" s="111" t="str">
        <f>+[2]imp.07!E120</f>
        <v xml:space="preserve">pompa </v>
      </c>
      <c r="C34" s="112" t="s">
        <v>231</v>
      </c>
      <c r="D34" s="111" t="s">
        <v>191</v>
      </c>
      <c r="E34" s="144">
        <f>+[2]imp.07!F120</f>
        <v>2</v>
      </c>
      <c r="F34" s="113">
        <f t="shared" ref="F34:F56" si="2">+G34/E34</f>
        <v>110833.54</v>
      </c>
      <c r="G34" s="113">
        <f>+[2]imp.07!J120+[2]imp.07!M120</f>
        <v>221667.08</v>
      </c>
      <c r="H34" s="113">
        <v>150241</v>
      </c>
      <c r="I34" s="113">
        <f t="shared" si="0"/>
        <v>71426.079999999987</v>
      </c>
      <c r="J34" s="114">
        <v>0.2</v>
      </c>
      <c r="K34" s="113">
        <v>71426</v>
      </c>
    </row>
    <row r="35" spans="1:11">
      <c r="A35" s="111">
        <v>29</v>
      </c>
      <c r="B35" s="111" t="str">
        <f>+[2]imp.07!E124</f>
        <v xml:space="preserve">kazan hekuri </v>
      </c>
      <c r="C35" s="112" t="str">
        <f>+[2]imp.07!B124</f>
        <v>15.10.07</v>
      </c>
      <c r="D35" s="111" t="s">
        <v>191</v>
      </c>
      <c r="E35" s="144">
        <v>1</v>
      </c>
      <c r="F35" s="113">
        <f t="shared" si="2"/>
        <v>74658</v>
      </c>
      <c r="G35" s="113">
        <f>+[2]imp.07!J124+[2]imp.07!M124</f>
        <v>74658</v>
      </c>
      <c r="H35" s="113">
        <v>50194</v>
      </c>
      <c r="I35" s="113">
        <f t="shared" si="0"/>
        <v>24464</v>
      </c>
      <c r="J35" s="114">
        <v>0.2</v>
      </c>
      <c r="K35" s="113">
        <v>24464</v>
      </c>
    </row>
    <row r="36" spans="1:11">
      <c r="A36" s="111">
        <v>30</v>
      </c>
      <c r="B36" s="111" t="str">
        <f>+[2]imp.07!E130</f>
        <v xml:space="preserve">pompa </v>
      </c>
      <c r="C36" s="112" t="str">
        <f>+[2]imp.07!B130</f>
        <v>23.10.07</v>
      </c>
      <c r="D36" s="111" t="s">
        <v>191</v>
      </c>
      <c r="E36" s="144">
        <f>+[2]imp.07!F130</f>
        <v>3</v>
      </c>
      <c r="F36" s="113">
        <f t="shared" si="2"/>
        <v>69288.44</v>
      </c>
      <c r="G36" s="113">
        <f>+[2]imp.07!J130+[2]imp.07!M130</f>
        <v>207865.32</v>
      </c>
      <c r="H36" s="113">
        <v>139751</v>
      </c>
      <c r="I36" s="113">
        <f t="shared" si="0"/>
        <v>68114.320000000007</v>
      </c>
      <c r="J36" s="114">
        <v>0.2</v>
      </c>
      <c r="K36" s="113">
        <v>68114</v>
      </c>
    </row>
    <row r="37" spans="1:11">
      <c r="A37" s="111">
        <v>31</v>
      </c>
      <c r="B37" s="111" t="str">
        <f>+[2]mj.k.leasing!D9</f>
        <v>pirun ngites me goma tip 938.13</v>
      </c>
      <c r="C37" s="112" t="s">
        <v>232</v>
      </c>
      <c r="D37" s="111" t="s">
        <v>191</v>
      </c>
      <c r="E37" s="144">
        <v>1</v>
      </c>
      <c r="F37" s="113">
        <f t="shared" si="2"/>
        <v>7323982.9236000003</v>
      </c>
      <c r="G37" s="113">
        <f>+[2]mj.k.leasing!H9</f>
        <v>7323982.9236000003</v>
      </c>
      <c r="H37" s="113">
        <v>3574104</v>
      </c>
      <c r="I37" s="113">
        <f t="shared" si="0"/>
        <v>3749878.9236000003</v>
      </c>
      <c r="J37" s="114">
        <v>0.2</v>
      </c>
      <c r="K37" s="113">
        <f>+I37*J37</f>
        <v>749975.78472000011</v>
      </c>
    </row>
    <row r="38" spans="1:11">
      <c r="A38" s="111">
        <v>32</v>
      </c>
      <c r="B38" s="111" t="str">
        <f>+[2]mj.k.leasing!D10</f>
        <v>ford fiesta</v>
      </c>
      <c r="C38" s="112" t="s">
        <v>233</v>
      </c>
      <c r="D38" s="111" t="s">
        <v>191</v>
      </c>
      <c r="E38" s="144">
        <v>1</v>
      </c>
      <c r="F38" s="113">
        <f t="shared" si="2"/>
        <v>1086662.5</v>
      </c>
      <c r="G38" s="113">
        <f>+[2]mj.k.leasing!H10</f>
        <v>1086662.5</v>
      </c>
      <c r="H38" s="113">
        <v>641566</v>
      </c>
      <c r="I38" s="113">
        <f t="shared" si="0"/>
        <v>445096.5</v>
      </c>
      <c r="J38" s="114">
        <v>0.2</v>
      </c>
      <c r="K38" s="113">
        <f>+I38*J38</f>
        <v>89019.3</v>
      </c>
    </row>
    <row r="39" spans="1:11">
      <c r="A39" s="111">
        <v>33</v>
      </c>
      <c r="B39" s="111" t="str">
        <f>+[2]mj.k.leasing!D11</f>
        <v>ford ranger pick-up</v>
      </c>
      <c r="C39" s="112" t="s">
        <v>233</v>
      </c>
      <c r="D39" s="111" t="s">
        <v>191</v>
      </c>
      <c r="E39" s="144">
        <v>1</v>
      </c>
      <c r="F39" s="113">
        <f t="shared" si="2"/>
        <v>1247457.926</v>
      </c>
      <c r="G39" s="113">
        <f>+[2]mj.k.leasing!H11</f>
        <v>1247457.926</v>
      </c>
      <c r="H39" s="113">
        <v>736500</v>
      </c>
      <c r="I39" s="113">
        <f t="shared" si="0"/>
        <v>510957.92599999998</v>
      </c>
      <c r="J39" s="114">
        <v>0.2</v>
      </c>
      <c r="K39" s="113">
        <f>+I39*J39</f>
        <v>102191.5852</v>
      </c>
    </row>
    <row r="40" spans="1:11">
      <c r="A40" s="111">
        <v>34</v>
      </c>
      <c r="B40" s="111" t="str">
        <f>+[2]mj.k.leasing!D12</f>
        <v>ford transit pick up</v>
      </c>
      <c r="C40" s="112" t="s">
        <v>234</v>
      </c>
      <c r="D40" s="111" t="s">
        <v>191</v>
      </c>
      <c r="E40" s="144">
        <v>1</v>
      </c>
      <c r="F40" s="113">
        <f t="shared" si="2"/>
        <v>2078010</v>
      </c>
      <c r="G40" s="113">
        <f>+[2]mj.k.leasing!H12</f>
        <v>2078010</v>
      </c>
      <c r="H40" s="113">
        <v>1014069</v>
      </c>
      <c r="I40" s="113">
        <f t="shared" si="0"/>
        <v>1063941</v>
      </c>
      <c r="J40" s="114">
        <v>0.2</v>
      </c>
      <c r="K40" s="113">
        <f>+I40*J40</f>
        <v>212788.2</v>
      </c>
    </row>
    <row r="41" spans="1:11">
      <c r="A41" s="111">
        <v>35</v>
      </c>
      <c r="B41" s="111" t="str">
        <f>+[2]bl.vend!D28</f>
        <v>matrapik</v>
      </c>
      <c r="C41" s="112" t="str">
        <f>+[2]bl.vend!B28</f>
        <v>30.01.07</v>
      </c>
      <c r="D41" s="111" t="s">
        <v>191</v>
      </c>
      <c r="E41" s="144">
        <v>1</v>
      </c>
      <c r="F41" s="113">
        <f t="shared" si="2"/>
        <v>17650</v>
      </c>
      <c r="G41" s="113">
        <f>+[2]bl.vend!E28</f>
        <v>17650</v>
      </c>
      <c r="H41" s="113">
        <v>11866</v>
      </c>
      <c r="I41" s="113">
        <f t="shared" si="0"/>
        <v>5784</v>
      </c>
      <c r="J41" s="114">
        <v>0.2</v>
      </c>
      <c r="K41" s="113">
        <v>5874</v>
      </c>
    </row>
    <row r="42" spans="1:11">
      <c r="A42" s="111">
        <v>36</v>
      </c>
      <c r="B42" s="111" t="str">
        <f>+[2]bl.vend!D50</f>
        <v>share</v>
      </c>
      <c r="C42" s="112" t="str">
        <f>+[2]bl.vend!B50</f>
        <v>19.05.07</v>
      </c>
      <c r="D42" s="111" t="s">
        <v>191</v>
      </c>
      <c r="E42" s="144">
        <v>1</v>
      </c>
      <c r="F42" s="113">
        <f t="shared" si="2"/>
        <v>41667</v>
      </c>
      <c r="G42" s="113">
        <f>+[2]bl.vend!E50</f>
        <v>41667</v>
      </c>
      <c r="H42" s="113">
        <v>28013</v>
      </c>
      <c r="I42" s="113">
        <f t="shared" si="0"/>
        <v>13654</v>
      </c>
      <c r="J42" s="114">
        <v>0.2</v>
      </c>
      <c r="K42" s="113">
        <v>13654</v>
      </c>
    </row>
    <row r="43" spans="1:11">
      <c r="A43" s="111">
        <v>37</v>
      </c>
      <c r="B43" s="111" t="str">
        <f>+[2]bl.vend!D52</f>
        <v>makine korese</v>
      </c>
      <c r="C43" s="112" t="str">
        <f>+[2]bl.vend!B52</f>
        <v>21.05.07</v>
      </c>
      <c r="D43" s="111" t="s">
        <v>191</v>
      </c>
      <c r="E43" s="144">
        <v>1</v>
      </c>
      <c r="F43" s="113">
        <f t="shared" si="2"/>
        <v>58333</v>
      </c>
      <c r="G43" s="113">
        <f>+[2]bl.vend!E52</f>
        <v>58333</v>
      </c>
      <c r="H43" s="113">
        <v>39219</v>
      </c>
      <c r="I43" s="113">
        <f t="shared" si="0"/>
        <v>19114</v>
      </c>
      <c r="J43" s="114">
        <v>0.2</v>
      </c>
      <c r="K43" s="113">
        <v>19114</v>
      </c>
    </row>
    <row r="44" spans="1:11">
      <c r="A44" s="111">
        <v>38</v>
      </c>
      <c r="B44" s="111" t="str">
        <f>+[2]bl.vend!D56</f>
        <v>aspirator</v>
      </c>
      <c r="C44" s="112" t="str">
        <f>+[2]bl.vend!B56</f>
        <v>13.06.07</v>
      </c>
      <c r="D44" s="111" t="s">
        <v>191</v>
      </c>
      <c r="E44" s="144">
        <v>1</v>
      </c>
      <c r="F44" s="113">
        <f t="shared" si="2"/>
        <v>66667</v>
      </c>
      <c r="G44" s="113">
        <f>+[2]bl.vend!E56</f>
        <v>66667</v>
      </c>
      <c r="H44" s="113">
        <v>44821</v>
      </c>
      <c r="I44" s="113">
        <f t="shared" si="0"/>
        <v>21846</v>
      </c>
      <c r="J44" s="114">
        <v>0.2</v>
      </c>
      <c r="K44" s="113">
        <v>21846</v>
      </c>
    </row>
    <row r="45" spans="1:11">
      <c r="A45" s="111">
        <v>39</v>
      </c>
      <c r="B45" s="111" t="str">
        <f>+[2]bl.vend!D57</f>
        <v>makine korese</v>
      </c>
      <c r="C45" s="112" t="str">
        <f>+[2]bl.vend!B57</f>
        <v>29.06.07</v>
      </c>
      <c r="D45" s="111" t="s">
        <v>191</v>
      </c>
      <c r="E45" s="144">
        <v>1</v>
      </c>
      <c r="F45" s="113">
        <f t="shared" si="2"/>
        <v>10833</v>
      </c>
      <c r="G45" s="113">
        <f>+[2]bl.vend!E57</f>
        <v>10833</v>
      </c>
      <c r="H45" s="113">
        <v>7283</v>
      </c>
      <c r="I45" s="113">
        <f t="shared" si="0"/>
        <v>3550</v>
      </c>
      <c r="J45" s="114">
        <v>0.2</v>
      </c>
      <c r="K45" s="113">
        <v>3350</v>
      </c>
    </row>
    <row r="46" spans="1:11">
      <c r="A46" s="111">
        <v>40</v>
      </c>
      <c r="B46" s="111" t="str">
        <f>+[2]bl.vend!D76</f>
        <v>dyer dritare</v>
      </c>
      <c r="C46" s="112" t="str">
        <f>+[2]bl.vend!B76</f>
        <v>21,11,07</v>
      </c>
      <c r="D46" s="111" t="s">
        <v>191</v>
      </c>
      <c r="E46" s="144">
        <v>1</v>
      </c>
      <c r="F46" s="113">
        <f t="shared" si="2"/>
        <v>125000</v>
      </c>
      <c r="G46" s="113">
        <f>+[2]bl.vend!E76</f>
        <v>125000</v>
      </c>
      <c r="H46" s="113">
        <v>84040</v>
      </c>
      <c r="I46" s="113">
        <f t="shared" si="0"/>
        <v>40960</v>
      </c>
      <c r="J46" s="114">
        <v>0.2</v>
      </c>
      <c r="K46" s="113">
        <v>40960</v>
      </c>
    </row>
    <row r="47" spans="1:11">
      <c r="A47" s="111">
        <v>41</v>
      </c>
      <c r="B47" s="111" t="str">
        <f>+[2]bl.vend!D83</f>
        <v>printer</v>
      </c>
      <c r="C47" s="112" t="str">
        <f>+[2]bl.vend!B83</f>
        <v>30,11,07</v>
      </c>
      <c r="D47" s="111" t="s">
        <v>191</v>
      </c>
      <c r="E47" s="144">
        <v>1</v>
      </c>
      <c r="F47" s="113">
        <f t="shared" si="2"/>
        <v>133333</v>
      </c>
      <c r="G47" s="113">
        <f>+[2]bl.vend!E83</f>
        <v>133333</v>
      </c>
      <c r="H47" s="113">
        <v>89643</v>
      </c>
      <c r="I47" s="113">
        <f t="shared" si="0"/>
        <v>43690</v>
      </c>
      <c r="J47" s="114">
        <v>0.2</v>
      </c>
      <c r="K47" s="113">
        <v>43690</v>
      </c>
    </row>
    <row r="48" spans="1:11">
      <c r="A48" s="111">
        <v>42</v>
      </c>
      <c r="B48" s="116" t="s">
        <v>235</v>
      </c>
      <c r="C48" s="112" t="s">
        <v>236</v>
      </c>
      <c r="D48" s="111" t="s">
        <v>191</v>
      </c>
      <c r="E48" s="144">
        <v>1</v>
      </c>
      <c r="F48" s="113">
        <f t="shared" si="2"/>
        <v>1088279.1666666665</v>
      </c>
      <c r="G48" s="113">
        <f>+[3]mj.k.lizing!H41</f>
        <v>1088279.1666666665</v>
      </c>
      <c r="H48" s="113">
        <v>642521</v>
      </c>
      <c r="I48" s="113">
        <f t="shared" si="0"/>
        <v>445758.16666666651</v>
      </c>
      <c r="J48" s="114">
        <v>0.2</v>
      </c>
      <c r="K48" s="113">
        <f>+I48*J48</f>
        <v>89151.633333333302</v>
      </c>
    </row>
    <row r="49" spans="1:11">
      <c r="A49" s="111">
        <v>43</v>
      </c>
      <c r="B49" s="116" t="s">
        <v>237</v>
      </c>
      <c r="C49" s="112" t="s">
        <v>236</v>
      </c>
      <c r="D49" s="111" t="s">
        <v>191</v>
      </c>
      <c r="E49" s="144">
        <v>1</v>
      </c>
      <c r="F49" s="113">
        <f t="shared" si="2"/>
        <v>1826681.6666666667</v>
      </c>
      <c r="G49" s="113">
        <f>+[3]mj.k.lizing!H42</f>
        <v>1826681.6666666667</v>
      </c>
      <c r="H49" s="113">
        <v>1078472</v>
      </c>
      <c r="I49" s="113">
        <f t="shared" si="0"/>
        <v>748209.66666666674</v>
      </c>
      <c r="J49" s="114">
        <v>0.2</v>
      </c>
      <c r="K49" s="113">
        <f>+I49*J49</f>
        <v>149641.93333333335</v>
      </c>
    </row>
    <row r="50" spans="1:11">
      <c r="A50" s="111">
        <v>44</v>
      </c>
      <c r="B50" s="116" t="s">
        <v>238</v>
      </c>
      <c r="C50" s="112" t="s">
        <v>236</v>
      </c>
      <c r="D50" s="111" t="s">
        <v>191</v>
      </c>
      <c r="E50" s="144">
        <v>1</v>
      </c>
      <c r="F50" s="113">
        <f t="shared" si="2"/>
        <v>7420640</v>
      </c>
      <c r="G50" s="113">
        <f>+[3]mj.k.lizing!H43</f>
        <v>7420640</v>
      </c>
      <c r="H50" s="113">
        <v>3621272</v>
      </c>
      <c r="I50" s="113">
        <f t="shared" si="0"/>
        <v>3799368</v>
      </c>
      <c r="J50" s="114">
        <v>0.2</v>
      </c>
      <c r="K50" s="113">
        <f>+I50*J50</f>
        <v>759873.60000000009</v>
      </c>
    </row>
    <row r="51" spans="1:11">
      <c r="A51" s="111">
        <v>45</v>
      </c>
      <c r="B51" s="111" t="s">
        <v>239</v>
      </c>
      <c r="C51" s="117" t="s">
        <v>240</v>
      </c>
      <c r="D51" s="111" t="s">
        <v>191</v>
      </c>
      <c r="E51" s="144">
        <v>1</v>
      </c>
      <c r="F51" s="113">
        <f t="shared" si="2"/>
        <v>1739822</v>
      </c>
      <c r="G51" s="113">
        <v>1739822</v>
      </c>
      <c r="H51" s="113">
        <v>849033</v>
      </c>
      <c r="I51" s="113">
        <f t="shared" si="0"/>
        <v>890789</v>
      </c>
      <c r="J51" s="114">
        <v>0.2</v>
      </c>
      <c r="K51" s="113">
        <f>+I51*J51</f>
        <v>178157.80000000002</v>
      </c>
    </row>
    <row r="52" spans="1:11">
      <c r="A52" s="111">
        <v>46</v>
      </c>
      <c r="B52" s="111" t="s">
        <v>241</v>
      </c>
      <c r="C52" s="117" t="s">
        <v>240</v>
      </c>
      <c r="D52" s="111" t="s">
        <v>191</v>
      </c>
      <c r="E52" s="144">
        <v>1</v>
      </c>
      <c r="F52" s="113">
        <f t="shared" si="2"/>
        <v>182764</v>
      </c>
      <c r="G52" s="113">
        <v>182764</v>
      </c>
      <c r="H52" s="113">
        <v>107904</v>
      </c>
      <c r="I52" s="113">
        <f t="shared" si="0"/>
        <v>74860</v>
      </c>
      <c r="J52" s="114">
        <v>0.2</v>
      </c>
      <c r="K52" s="113">
        <v>74860</v>
      </c>
    </row>
    <row r="53" spans="1:11">
      <c r="A53" s="111">
        <v>47</v>
      </c>
      <c r="B53" s="111" t="s">
        <v>242</v>
      </c>
      <c r="C53" s="117" t="s">
        <v>240</v>
      </c>
      <c r="D53" s="111" t="s">
        <v>191</v>
      </c>
      <c r="E53" s="144">
        <v>1</v>
      </c>
      <c r="F53" s="113">
        <f t="shared" si="2"/>
        <v>456910</v>
      </c>
      <c r="G53" s="113">
        <v>456910</v>
      </c>
      <c r="H53" s="113">
        <v>269760</v>
      </c>
      <c r="I53" s="113">
        <f t="shared" si="0"/>
        <v>187150</v>
      </c>
      <c r="J53" s="114">
        <v>0.2</v>
      </c>
      <c r="K53" s="113">
        <v>187150</v>
      </c>
    </row>
    <row r="54" spans="1:11">
      <c r="A54" s="111">
        <v>48</v>
      </c>
      <c r="B54" s="111" t="s">
        <v>243</v>
      </c>
      <c r="C54" s="117" t="s">
        <v>244</v>
      </c>
      <c r="D54" s="111" t="s">
        <v>191</v>
      </c>
      <c r="E54" s="144">
        <v>1</v>
      </c>
      <c r="F54" s="113">
        <f t="shared" si="2"/>
        <v>180018</v>
      </c>
      <c r="G54" s="113">
        <v>180018</v>
      </c>
      <c r="H54" s="113">
        <v>123059</v>
      </c>
      <c r="I54" s="113">
        <f t="shared" si="0"/>
        <v>56959</v>
      </c>
      <c r="J54" s="114">
        <v>0.25</v>
      </c>
      <c r="K54" s="113">
        <v>56969</v>
      </c>
    </row>
    <row r="55" spans="1:11">
      <c r="A55" s="111">
        <v>49</v>
      </c>
      <c r="B55" s="118" t="s">
        <v>245</v>
      </c>
      <c r="C55" s="119" t="s">
        <v>246</v>
      </c>
      <c r="D55" s="111" t="s">
        <v>191</v>
      </c>
      <c r="E55" s="144">
        <v>1</v>
      </c>
      <c r="F55" s="113">
        <f t="shared" si="2"/>
        <v>41667</v>
      </c>
      <c r="G55" s="113">
        <v>41667</v>
      </c>
      <c r="H55" s="113">
        <v>24600</v>
      </c>
      <c r="I55" s="113">
        <f t="shared" si="0"/>
        <v>17067</v>
      </c>
      <c r="J55" s="114">
        <v>0.2</v>
      </c>
      <c r="K55" s="113">
        <f>+I55*J55</f>
        <v>3413.4</v>
      </c>
    </row>
    <row r="56" spans="1:11">
      <c r="A56" s="111">
        <v>50</v>
      </c>
      <c r="B56" s="118" t="s">
        <v>247</v>
      </c>
      <c r="C56" s="117" t="s">
        <v>248</v>
      </c>
      <c r="D56" s="111" t="s">
        <v>191</v>
      </c>
      <c r="E56" s="144">
        <v>1</v>
      </c>
      <c r="F56" s="113">
        <f t="shared" si="2"/>
        <v>423591</v>
      </c>
      <c r="G56" s="113">
        <v>423591</v>
      </c>
      <c r="H56" s="113">
        <v>250089</v>
      </c>
      <c r="I56" s="113">
        <f t="shared" si="0"/>
        <v>173502</v>
      </c>
      <c r="J56" s="114">
        <v>0.2</v>
      </c>
      <c r="K56" s="113">
        <v>173502</v>
      </c>
    </row>
    <row r="57" spans="1:11">
      <c r="A57" s="111">
        <v>51</v>
      </c>
      <c r="B57" s="111" t="s">
        <v>249</v>
      </c>
      <c r="C57" s="112">
        <v>2006</v>
      </c>
      <c r="D57" s="111" t="s">
        <v>191</v>
      </c>
      <c r="E57" s="144">
        <v>1</v>
      </c>
      <c r="F57" s="113">
        <f t="shared" ref="F57:F69" si="3">G57/E57</f>
        <v>25962.639999999999</v>
      </c>
      <c r="G57" s="113">
        <f>+'[4]inv mj.k 2009'!G45</f>
        <v>25962.639999999999</v>
      </c>
      <c r="H57" s="113">
        <v>16025</v>
      </c>
      <c r="I57" s="113">
        <f t="shared" si="0"/>
        <v>9937.64</v>
      </c>
      <c r="J57" s="114">
        <v>0.2</v>
      </c>
      <c r="K57" s="113">
        <v>9938</v>
      </c>
    </row>
    <row r="58" spans="1:11">
      <c r="A58" s="111">
        <v>52</v>
      </c>
      <c r="B58" s="111" t="s">
        <v>250</v>
      </c>
      <c r="C58" s="112">
        <v>2006</v>
      </c>
      <c r="D58" s="111" t="s">
        <v>191</v>
      </c>
      <c r="E58" s="145">
        <v>1</v>
      </c>
      <c r="F58" s="113">
        <f t="shared" si="3"/>
        <v>82945.94</v>
      </c>
      <c r="G58" s="113">
        <f>+'[4]inv mj.k 2009'!G46</f>
        <v>82945.94</v>
      </c>
      <c r="H58" s="113">
        <v>51199</v>
      </c>
      <c r="I58" s="113">
        <f t="shared" si="0"/>
        <v>31746.940000000002</v>
      </c>
      <c r="J58" s="114">
        <v>0.2</v>
      </c>
      <c r="K58" s="113">
        <v>31747</v>
      </c>
    </row>
    <row r="59" spans="1:11">
      <c r="A59" s="111">
        <v>53</v>
      </c>
      <c r="B59" s="111" t="s">
        <v>251</v>
      </c>
      <c r="C59" s="112">
        <v>2006</v>
      </c>
      <c r="D59" s="111" t="s">
        <v>191</v>
      </c>
      <c r="E59" s="145">
        <v>2</v>
      </c>
      <c r="F59" s="113">
        <f t="shared" si="3"/>
        <v>35126.959999999999</v>
      </c>
      <c r="G59" s="113">
        <f>+'[4]inv mj.k 2009'!G47</f>
        <v>70253.919999999998</v>
      </c>
      <c r="H59" s="113">
        <v>43365</v>
      </c>
      <c r="I59" s="113">
        <f t="shared" si="0"/>
        <v>26888.92</v>
      </c>
      <c r="J59" s="114">
        <v>0.2</v>
      </c>
      <c r="K59" s="113">
        <v>26889</v>
      </c>
    </row>
    <row r="60" spans="1:11">
      <c r="A60" s="111">
        <v>54</v>
      </c>
      <c r="B60" s="111" t="s">
        <v>252</v>
      </c>
      <c r="C60" s="112">
        <v>2006</v>
      </c>
      <c r="D60" s="111" t="s">
        <v>191</v>
      </c>
      <c r="E60" s="145">
        <v>4</v>
      </c>
      <c r="F60" s="113">
        <f t="shared" si="3"/>
        <v>19770</v>
      </c>
      <c r="G60" s="113">
        <f>+'[4]inv mj.k 2009'!G48</f>
        <v>79080</v>
      </c>
      <c r="H60" s="113">
        <v>48812</v>
      </c>
      <c r="I60" s="113">
        <f t="shared" si="0"/>
        <v>30268</v>
      </c>
      <c r="J60" s="114">
        <v>0.2</v>
      </c>
      <c r="K60" s="113">
        <v>30268</v>
      </c>
    </row>
    <row r="61" spans="1:11">
      <c r="A61" s="111">
        <v>55</v>
      </c>
      <c r="B61" s="111" t="s">
        <v>253</v>
      </c>
      <c r="C61" s="112">
        <v>2006</v>
      </c>
      <c r="D61" s="111" t="s">
        <v>191</v>
      </c>
      <c r="E61" s="145">
        <v>3</v>
      </c>
      <c r="F61" s="113">
        <f t="shared" si="3"/>
        <v>197771.69999999998</v>
      </c>
      <c r="G61" s="113">
        <f>+'[4]inv mj.k 2009'!G49</f>
        <v>593315.1</v>
      </c>
      <c r="H61" s="113">
        <v>366297</v>
      </c>
      <c r="I61" s="113">
        <f t="shared" si="0"/>
        <v>227018.09999999998</v>
      </c>
      <c r="J61" s="114">
        <v>0.2</v>
      </c>
      <c r="K61" s="113">
        <v>227018</v>
      </c>
    </row>
    <row r="62" spans="1:11">
      <c r="A62" s="111">
        <v>56</v>
      </c>
      <c r="B62" s="111" t="s">
        <v>254</v>
      </c>
      <c r="C62" s="112">
        <v>2006</v>
      </c>
      <c r="D62" s="111" t="s">
        <v>191</v>
      </c>
      <c r="E62" s="145">
        <v>1</v>
      </c>
      <c r="F62" s="113">
        <f t="shared" si="3"/>
        <v>197771.7</v>
      </c>
      <c r="G62" s="113">
        <f>+'[4]inv mj.k 2009'!G50</f>
        <v>197771.7</v>
      </c>
      <c r="H62" s="113">
        <v>122074</v>
      </c>
      <c r="I62" s="113">
        <f t="shared" si="0"/>
        <v>75697.700000000012</v>
      </c>
      <c r="J62" s="114">
        <v>0.2</v>
      </c>
      <c r="K62" s="113">
        <v>75698</v>
      </c>
    </row>
    <row r="63" spans="1:11">
      <c r="A63" s="111">
        <v>57</v>
      </c>
      <c r="B63" s="111" t="s">
        <v>255</v>
      </c>
      <c r="C63" s="112">
        <v>2006</v>
      </c>
      <c r="D63" s="111" t="s">
        <v>191</v>
      </c>
      <c r="E63" s="145">
        <v>1</v>
      </c>
      <c r="F63" s="113">
        <f t="shared" si="3"/>
        <v>44270.400000000001</v>
      </c>
      <c r="G63" s="113">
        <f>+'[4]inv mj.k 2009'!G51</f>
        <v>44270.400000000001</v>
      </c>
      <c r="H63" s="113">
        <v>27326</v>
      </c>
      <c r="I63" s="113">
        <f t="shared" si="0"/>
        <v>16944.400000000001</v>
      </c>
      <c r="J63" s="114">
        <v>0.2</v>
      </c>
      <c r="K63" s="113">
        <v>16944</v>
      </c>
    </row>
    <row r="64" spans="1:11">
      <c r="A64" s="111">
        <v>58</v>
      </c>
      <c r="B64" s="111" t="s">
        <v>256</v>
      </c>
      <c r="C64" s="112">
        <v>2006</v>
      </c>
      <c r="D64" s="111" t="s">
        <v>191</v>
      </c>
      <c r="E64" s="145">
        <v>1</v>
      </c>
      <c r="F64" s="113">
        <f t="shared" si="3"/>
        <v>180317.28</v>
      </c>
      <c r="G64" s="113">
        <f>+'[4]inv mj.k 2009'!G52</f>
        <v>180317.28</v>
      </c>
      <c r="H64" s="113">
        <v>111301</v>
      </c>
      <c r="I64" s="113">
        <f t="shared" si="0"/>
        <v>69016.28</v>
      </c>
      <c r="J64" s="114">
        <v>0.2</v>
      </c>
      <c r="K64" s="113">
        <v>69016</v>
      </c>
    </row>
    <row r="65" spans="1:11">
      <c r="A65" s="111">
        <v>59</v>
      </c>
      <c r="B65" s="111" t="s">
        <v>257</v>
      </c>
      <c r="C65" s="112">
        <v>2006</v>
      </c>
      <c r="D65" s="111" t="s">
        <v>191</v>
      </c>
      <c r="E65" s="145">
        <v>1</v>
      </c>
      <c r="F65" s="113">
        <f t="shared" si="3"/>
        <v>1142148</v>
      </c>
      <c r="G65" s="113">
        <f>+'[4]inv mj.k 2009'!G53</f>
        <v>1142148</v>
      </c>
      <c r="H65" s="113">
        <v>701974</v>
      </c>
      <c r="I65" s="113">
        <f t="shared" si="0"/>
        <v>440174</v>
      </c>
      <c r="J65" s="114">
        <v>0.2</v>
      </c>
      <c r="K65" s="113">
        <v>440174</v>
      </c>
    </row>
    <row r="66" spans="1:11">
      <c r="A66" s="111">
        <v>60</v>
      </c>
      <c r="B66" s="111" t="s">
        <v>258</v>
      </c>
      <c r="C66" s="112">
        <v>2006</v>
      </c>
      <c r="D66" s="111" t="s">
        <v>191</v>
      </c>
      <c r="E66" s="145">
        <v>1</v>
      </c>
      <c r="F66" s="113">
        <f t="shared" si="3"/>
        <v>77588.539999999994</v>
      </c>
      <c r="G66" s="113">
        <f>+'[4]inv mj.k 2009'!G54</f>
        <v>77588.539999999994</v>
      </c>
      <c r="H66" s="113">
        <v>47891</v>
      </c>
      <c r="I66" s="113">
        <f t="shared" si="0"/>
        <v>29697.539999999994</v>
      </c>
      <c r="J66" s="114">
        <v>0.2</v>
      </c>
      <c r="K66" s="113">
        <v>29698</v>
      </c>
    </row>
    <row r="67" spans="1:11">
      <c r="A67" s="111">
        <v>61</v>
      </c>
      <c r="B67" s="111" t="s">
        <v>259</v>
      </c>
      <c r="C67" s="112">
        <v>2006</v>
      </c>
      <c r="D67" s="111" t="s">
        <v>191</v>
      </c>
      <c r="E67" s="145">
        <v>1</v>
      </c>
      <c r="F67" s="113">
        <f t="shared" si="3"/>
        <v>28437.620000000003</v>
      </c>
      <c r="G67" s="113">
        <f>+'[4]inv mj.k 2009'!G55</f>
        <v>28437.620000000003</v>
      </c>
      <c r="H67" s="113">
        <v>17553</v>
      </c>
      <c r="I67" s="113">
        <f t="shared" si="0"/>
        <v>10884.620000000003</v>
      </c>
      <c r="J67" s="114">
        <v>0.2</v>
      </c>
      <c r="K67" s="113">
        <v>10885</v>
      </c>
    </row>
    <row r="68" spans="1:11">
      <c r="A68" s="111">
        <v>62</v>
      </c>
      <c r="B68" s="111" t="s">
        <v>260</v>
      </c>
      <c r="C68" s="112">
        <v>2006</v>
      </c>
      <c r="D68" s="111" t="s">
        <v>191</v>
      </c>
      <c r="E68" s="145">
        <v>1</v>
      </c>
      <c r="F68" s="113">
        <f t="shared" si="3"/>
        <v>19834.900000000001</v>
      </c>
      <c r="G68" s="113">
        <f>+'[4]inv mj.k 2009'!G56</f>
        <v>19834.900000000001</v>
      </c>
      <c r="H68" s="113">
        <v>12243</v>
      </c>
      <c r="I68" s="113">
        <f t="shared" si="0"/>
        <v>7591.9000000000015</v>
      </c>
      <c r="J68" s="114">
        <v>0.2</v>
      </c>
      <c r="K68" s="113">
        <v>7592</v>
      </c>
    </row>
    <row r="69" spans="1:11">
      <c r="A69" s="111">
        <v>63</v>
      </c>
      <c r="B69" s="111" t="s">
        <v>261</v>
      </c>
      <c r="C69" s="112">
        <v>2006</v>
      </c>
      <c r="D69" s="111" t="s">
        <v>191</v>
      </c>
      <c r="E69" s="145">
        <v>1</v>
      </c>
      <c r="F69" s="113">
        <f t="shared" si="3"/>
        <v>39669.800000000003</v>
      </c>
      <c r="G69" s="113">
        <f>+'[4]inv mj.k 2009'!G57</f>
        <v>39669.800000000003</v>
      </c>
      <c r="H69" s="113">
        <v>24487</v>
      </c>
      <c r="I69" s="113">
        <f t="shared" si="0"/>
        <v>15182.800000000003</v>
      </c>
      <c r="J69" s="114">
        <v>0.2</v>
      </c>
      <c r="K69" s="113">
        <v>15183</v>
      </c>
    </row>
    <row r="70" spans="1:11">
      <c r="A70" s="111">
        <v>64</v>
      </c>
      <c r="B70" s="111" t="str">
        <f>+[4]bl.vend!C91</f>
        <v>eurosistemalbania</v>
      </c>
      <c r="C70" s="120" t="s">
        <v>262</v>
      </c>
      <c r="D70" s="111" t="s">
        <v>191</v>
      </c>
      <c r="E70" s="145">
        <v>1</v>
      </c>
      <c r="F70" s="113">
        <f>+G70</f>
        <v>183400</v>
      </c>
      <c r="G70" s="113">
        <f>+[4]bl.vend!E91</f>
        <v>183400</v>
      </c>
      <c r="H70" s="113">
        <v>66024</v>
      </c>
      <c r="I70" s="113">
        <f t="shared" si="0"/>
        <v>117376</v>
      </c>
      <c r="J70" s="114">
        <v>0.2</v>
      </c>
      <c r="K70" s="113">
        <v>117376</v>
      </c>
    </row>
    <row r="71" spans="1:11">
      <c r="A71" s="111">
        <v>65</v>
      </c>
      <c r="B71" s="111" t="str">
        <f>+[4]bl.vend!D41</f>
        <v>pompa uji</v>
      </c>
      <c r="C71" s="120" t="str">
        <f>+[4]bl.vend!B41</f>
        <v>09.07.09</v>
      </c>
      <c r="D71" s="111" t="s">
        <v>191</v>
      </c>
      <c r="E71" s="145">
        <v>1</v>
      </c>
      <c r="F71" s="113">
        <f t="shared" ref="F71:F84" si="4">+G71</f>
        <v>65000</v>
      </c>
      <c r="G71" s="113">
        <f>+[4]bl.vend!E41</f>
        <v>65000</v>
      </c>
      <c r="H71" s="113">
        <v>30045</v>
      </c>
      <c r="I71" s="113">
        <f>G71-H71</f>
        <v>34955</v>
      </c>
      <c r="J71" s="114">
        <v>0.2</v>
      </c>
      <c r="K71" s="113">
        <v>34955</v>
      </c>
    </row>
    <row r="72" spans="1:11">
      <c r="A72" s="111">
        <v>66</v>
      </c>
      <c r="B72" s="111" t="str">
        <f>+[4]bl.vend!C26</f>
        <v>la prealpina</v>
      </c>
      <c r="C72" s="120" t="str">
        <f>+[4]bl.vend!B26</f>
        <v>20.05.09</v>
      </c>
      <c r="D72" s="111" t="s">
        <v>191</v>
      </c>
      <c r="E72" s="145">
        <v>1</v>
      </c>
      <c r="F72" s="113">
        <f t="shared" si="4"/>
        <v>13950</v>
      </c>
      <c r="G72" s="113">
        <f>+[4]bl.vend!E26</f>
        <v>13950</v>
      </c>
      <c r="H72" s="113">
        <v>6719</v>
      </c>
      <c r="I72" s="113">
        <f t="shared" si="0"/>
        <v>7231</v>
      </c>
      <c r="J72" s="114">
        <v>0.2</v>
      </c>
      <c r="K72" s="113">
        <v>7231</v>
      </c>
    </row>
    <row r="73" spans="1:11">
      <c r="A73" s="111">
        <v>67</v>
      </c>
      <c r="B73" s="111" t="str">
        <f>+[4]bl.vend!C58</f>
        <v>la prealpina</v>
      </c>
      <c r="C73" s="120" t="str">
        <f>+[4]bl.vend!B58</f>
        <v>15.09.09</v>
      </c>
      <c r="D73" s="111" t="s">
        <v>191</v>
      </c>
      <c r="E73" s="145">
        <v>1</v>
      </c>
      <c r="F73" s="113">
        <f t="shared" si="4"/>
        <v>22692</v>
      </c>
      <c r="G73" s="113">
        <f>+[4]bl.vend!E58</f>
        <v>22692</v>
      </c>
      <c r="H73" s="113">
        <v>8649</v>
      </c>
      <c r="I73" s="113">
        <f t="shared" ref="I73:I136" si="5">G73-H73</f>
        <v>14043</v>
      </c>
      <c r="J73" s="114">
        <v>0.2</v>
      </c>
      <c r="K73" s="113">
        <v>14043</v>
      </c>
    </row>
    <row r="74" spans="1:11">
      <c r="A74" s="111">
        <v>68</v>
      </c>
      <c r="B74" s="111" t="str">
        <f>+[4]bl.vend!C98</f>
        <v>iva elektrika</v>
      </c>
      <c r="C74" s="120">
        <f>+[4]bl.vend!B98</f>
        <v>0.46607638888888886</v>
      </c>
      <c r="D74" s="111" t="s">
        <v>191</v>
      </c>
      <c r="E74" s="145">
        <v>1</v>
      </c>
      <c r="F74" s="113">
        <f t="shared" si="4"/>
        <v>64650</v>
      </c>
      <c r="G74" s="113">
        <f>+[4]bl.vend!E98+[4]bl.vend!F99+[4]bl.vend!E103</f>
        <v>64650</v>
      </c>
      <c r="H74" s="113">
        <v>23274</v>
      </c>
      <c r="I74" s="113">
        <f t="shared" si="5"/>
        <v>41376</v>
      </c>
      <c r="J74" s="114">
        <v>0.2</v>
      </c>
      <c r="K74" s="113">
        <f t="shared" ref="K74:K137" si="6">+I74*J74</f>
        <v>8275.2000000000007</v>
      </c>
    </row>
    <row r="75" spans="1:11">
      <c r="A75" s="111">
        <v>69</v>
      </c>
      <c r="B75" s="111" t="str">
        <f>+[4]bl.vend!C103</f>
        <v>iva elektrika</v>
      </c>
      <c r="C75" s="120" t="str">
        <f>+[4]bl.vend!B121</f>
        <v>21.12.09</v>
      </c>
      <c r="D75" s="111" t="s">
        <v>191</v>
      </c>
      <c r="E75" s="145">
        <v>1</v>
      </c>
      <c r="F75" s="113">
        <f t="shared" si="4"/>
        <v>37367</v>
      </c>
      <c r="G75" s="113">
        <f>+[4]bl.vend!E121</f>
        <v>37367</v>
      </c>
      <c r="H75" s="113">
        <v>13452</v>
      </c>
      <c r="I75" s="113">
        <f t="shared" si="5"/>
        <v>23915</v>
      </c>
      <c r="J75" s="114">
        <v>0.2</v>
      </c>
      <c r="K75" s="113">
        <f t="shared" si="6"/>
        <v>4783</v>
      </c>
    </row>
    <row r="76" spans="1:11">
      <c r="A76" s="111">
        <v>70</v>
      </c>
      <c r="B76" s="111" t="str">
        <f>+[4]bl.vend!D49</f>
        <v>ford ronger</v>
      </c>
      <c r="C76" s="120" t="str">
        <f>+[4]bl.vend!B49</f>
        <v>31.08.09</v>
      </c>
      <c r="D76" s="111" t="s">
        <v>191</v>
      </c>
      <c r="E76" s="145">
        <v>1</v>
      </c>
      <c r="F76" s="113">
        <f t="shared" si="4"/>
        <v>2426783.4</v>
      </c>
      <c r="G76" s="113">
        <f>+[4]bl.vend!E49</f>
        <v>2426783.4</v>
      </c>
      <c r="H76" s="113">
        <v>1025073</v>
      </c>
      <c r="I76" s="113">
        <f t="shared" si="5"/>
        <v>1401710.4</v>
      </c>
      <c r="J76" s="114">
        <v>0.2</v>
      </c>
      <c r="K76" s="113">
        <f t="shared" si="6"/>
        <v>280342.08</v>
      </c>
    </row>
    <row r="77" spans="1:11">
      <c r="A77" s="111">
        <v>71</v>
      </c>
      <c r="B77" s="111" t="str">
        <f>+[4]bl.vend!D50</f>
        <v>ford tranzit</v>
      </c>
      <c r="C77" s="120" t="str">
        <f>+[4]bl.vend!B50</f>
        <v>31.08.09</v>
      </c>
      <c r="D77" s="111" t="s">
        <v>191</v>
      </c>
      <c r="E77" s="145">
        <v>1</v>
      </c>
      <c r="F77" s="113">
        <f t="shared" si="4"/>
        <v>2592245.9</v>
      </c>
      <c r="G77" s="113">
        <f>+[4]bl.vend!E50</f>
        <v>2592245.9</v>
      </c>
      <c r="H77" s="113">
        <v>1094964</v>
      </c>
      <c r="I77" s="113">
        <f t="shared" si="5"/>
        <v>1497281.9</v>
      </c>
      <c r="J77" s="114">
        <v>0.2</v>
      </c>
      <c r="K77" s="113">
        <f t="shared" si="6"/>
        <v>299456.38</v>
      </c>
    </row>
    <row r="78" spans="1:11">
      <c r="A78" s="111">
        <v>72</v>
      </c>
      <c r="B78" s="111" t="str">
        <f>+[4]bl.vend!C177</f>
        <v>univers reklama    tabele</v>
      </c>
      <c r="C78" s="121" t="str">
        <f>+[4]bl.vend!B125</f>
        <v>30.12.09</v>
      </c>
      <c r="D78" s="111" t="s">
        <v>191</v>
      </c>
      <c r="E78" s="145">
        <v>1</v>
      </c>
      <c r="F78" s="113">
        <f t="shared" si="4"/>
        <v>270600</v>
      </c>
      <c r="G78" s="113">
        <f>+[4]bl.vend!E125</f>
        <v>270600</v>
      </c>
      <c r="H78" s="113">
        <v>97416</v>
      </c>
      <c r="I78" s="113">
        <f t="shared" si="5"/>
        <v>173184</v>
      </c>
      <c r="J78" s="114">
        <v>0.2</v>
      </c>
      <c r="K78" s="113">
        <v>173184</v>
      </c>
    </row>
    <row r="79" spans="1:11">
      <c r="A79" s="111">
        <v>73</v>
      </c>
      <c r="B79" s="111" t="str">
        <f>+[4]bl.vend!C126</f>
        <v>praktiker</v>
      </c>
      <c r="C79" s="112"/>
      <c r="D79" s="111" t="s">
        <v>191</v>
      </c>
      <c r="E79" s="145">
        <v>1</v>
      </c>
      <c r="F79" s="113">
        <f t="shared" si="4"/>
        <v>57833.33</v>
      </c>
      <c r="G79" s="113">
        <f>+[4]bl.vend!D186</f>
        <v>57833.33</v>
      </c>
      <c r="H79" s="113">
        <v>20820</v>
      </c>
      <c r="I79" s="113">
        <f t="shared" si="5"/>
        <v>37013.33</v>
      </c>
      <c r="J79" s="114">
        <v>0.2</v>
      </c>
      <c r="K79" s="113">
        <v>37013</v>
      </c>
    </row>
    <row r="80" spans="1:11">
      <c r="A80" s="111">
        <v>74</v>
      </c>
      <c r="B80" s="111" t="str">
        <f>+[4]imp.09!E60</f>
        <v>pjese mak.mb.bari  cop</v>
      </c>
      <c r="C80" s="112" t="str">
        <f>+[4]imp.09!B60</f>
        <v>12.09.09</v>
      </c>
      <c r="D80" s="111" t="s">
        <v>191</v>
      </c>
      <c r="E80" s="145">
        <v>1</v>
      </c>
      <c r="F80" s="113">
        <f t="shared" si="4"/>
        <v>170121.01</v>
      </c>
      <c r="G80" s="113">
        <f>+[4]imp.09!N60</f>
        <v>170121.01</v>
      </c>
      <c r="H80" s="113">
        <v>71859</v>
      </c>
      <c r="I80" s="113">
        <f t="shared" si="5"/>
        <v>98262.010000000009</v>
      </c>
      <c r="J80" s="114">
        <v>0.2</v>
      </c>
      <c r="K80" s="113">
        <v>98262</v>
      </c>
    </row>
    <row r="81" spans="1:11">
      <c r="A81" s="111">
        <v>75</v>
      </c>
      <c r="B81" s="111" t="str">
        <f>+[4]imp.09!E63</f>
        <v>makine per mbjellje basri</v>
      </c>
      <c r="C81" s="112" t="str">
        <f>+[4]imp.09!B63</f>
        <v>12.09.09</v>
      </c>
      <c r="D81" s="111" t="s">
        <v>191</v>
      </c>
      <c r="E81" s="145">
        <v>1</v>
      </c>
      <c r="F81" s="113">
        <f t="shared" si="4"/>
        <v>1936326</v>
      </c>
      <c r="G81" s="113">
        <f>+[4]imp.09!N63</f>
        <v>1936326</v>
      </c>
      <c r="H81" s="113">
        <v>817904</v>
      </c>
      <c r="I81" s="113">
        <f t="shared" si="5"/>
        <v>1118422</v>
      </c>
      <c r="J81" s="114">
        <v>0.2</v>
      </c>
      <c r="K81" s="113">
        <f t="shared" si="6"/>
        <v>223684.40000000002</v>
      </c>
    </row>
    <row r="82" spans="1:11">
      <c r="A82" s="111">
        <v>76</v>
      </c>
      <c r="B82" s="111" t="str">
        <f>+[4]imp.09!E71</f>
        <v>mak perd.mbj.bari</v>
      </c>
      <c r="C82" s="112" t="str">
        <f>+[4]imp.09!B71</f>
        <v>16.09.09</v>
      </c>
      <c r="D82" s="111" t="s">
        <v>191</v>
      </c>
      <c r="E82" s="145">
        <v>1</v>
      </c>
      <c r="F82" s="113">
        <f t="shared" si="4"/>
        <v>615678</v>
      </c>
      <c r="G82" s="113">
        <f>+[4]imp.09!N71</f>
        <v>615678</v>
      </c>
      <c r="H82" s="113">
        <v>260063</v>
      </c>
      <c r="I82" s="113">
        <f t="shared" si="5"/>
        <v>355615</v>
      </c>
      <c r="J82" s="114">
        <v>0.2</v>
      </c>
      <c r="K82" s="113">
        <f t="shared" si="6"/>
        <v>71123</v>
      </c>
    </row>
    <row r="83" spans="1:11">
      <c r="A83" s="111">
        <v>77</v>
      </c>
      <c r="B83" s="111" t="str">
        <f>+[4]imp.09!E72</f>
        <v>makine per mbjellje basri</v>
      </c>
      <c r="C83" s="112" t="s">
        <v>263</v>
      </c>
      <c r="D83" s="111" t="s">
        <v>191</v>
      </c>
      <c r="E83" s="145">
        <v>1</v>
      </c>
      <c r="F83" s="113">
        <f t="shared" si="4"/>
        <v>3981381</v>
      </c>
      <c r="G83" s="113">
        <f>+[4]imp.09!N72</f>
        <v>3981381</v>
      </c>
      <c r="H83" s="113">
        <v>1560701</v>
      </c>
      <c r="I83" s="113">
        <f t="shared" si="5"/>
        <v>2420680</v>
      </c>
      <c r="J83" s="114">
        <v>0.2</v>
      </c>
      <c r="K83" s="113">
        <f t="shared" si="6"/>
        <v>484136</v>
      </c>
    </row>
    <row r="84" spans="1:11">
      <c r="A84" s="111">
        <v>78</v>
      </c>
      <c r="B84" s="111" t="str">
        <f>+[4]bl.vend!C184</f>
        <v xml:space="preserve">kmpjutri turit </v>
      </c>
      <c r="C84" s="112"/>
      <c r="D84" s="111" t="s">
        <v>191</v>
      </c>
      <c r="E84" s="145">
        <v>1</v>
      </c>
      <c r="F84" s="113">
        <f t="shared" si="4"/>
        <v>41667</v>
      </c>
      <c r="G84" s="113">
        <f>+[4]bl.vend!D184</f>
        <v>41667</v>
      </c>
      <c r="H84" s="113">
        <v>18230</v>
      </c>
      <c r="I84" s="113">
        <f t="shared" si="5"/>
        <v>23437</v>
      </c>
      <c r="J84" s="114">
        <v>0.25</v>
      </c>
      <c r="K84" s="113">
        <v>23437</v>
      </c>
    </row>
    <row r="85" spans="1:11">
      <c r="A85" s="111">
        <v>79</v>
      </c>
      <c r="B85" s="122" t="str">
        <f>+[4]llog.370!H118</f>
        <v>Pompa 2P</v>
      </c>
      <c r="C85" s="112">
        <v>2007</v>
      </c>
      <c r="D85" s="111" t="s">
        <v>191</v>
      </c>
      <c r="E85" s="145">
        <v>1</v>
      </c>
      <c r="F85" s="113">
        <v>116151</v>
      </c>
      <c r="G85" s="113">
        <f>+[4]llog.370!G118</f>
        <v>116150.98</v>
      </c>
      <c r="H85" s="113">
        <v>71549</v>
      </c>
      <c r="I85" s="113">
        <f t="shared" si="5"/>
        <v>44601.979999999996</v>
      </c>
      <c r="J85" s="114">
        <v>0.2</v>
      </c>
      <c r="K85" s="113">
        <v>44602</v>
      </c>
    </row>
    <row r="86" spans="1:11">
      <c r="A86" s="111">
        <v>80</v>
      </c>
      <c r="B86" s="111" t="str">
        <f>+'[4]inv mj.k 2009'!B75</f>
        <v>shperndares dheu   cop</v>
      </c>
      <c r="C86" s="112"/>
      <c r="D86" s="111" t="s">
        <v>191</v>
      </c>
      <c r="E86" s="144">
        <v>1</v>
      </c>
      <c r="F86" s="113">
        <f>+'[4]inv mj.k 2009'!F75</f>
        <v>67039</v>
      </c>
      <c r="G86" s="113">
        <f>+'[4]inv mj.k 2009'!G75</f>
        <v>67039</v>
      </c>
      <c r="H86" s="113">
        <v>41295</v>
      </c>
      <c r="I86" s="113">
        <f t="shared" si="5"/>
        <v>25744</v>
      </c>
      <c r="J86" s="114">
        <v>0.2</v>
      </c>
      <c r="K86" s="113">
        <v>25744</v>
      </c>
    </row>
    <row r="87" spans="1:11">
      <c r="A87" s="111">
        <v>81</v>
      </c>
      <c r="B87" s="111" t="str">
        <f>+'[5]blerjet 2010'!H327</f>
        <v>kasa</v>
      </c>
      <c r="C87" s="123" t="str">
        <f>+'[5]blerjet 2010'!C232</f>
        <v>12.02.2010</v>
      </c>
      <c r="D87" s="111" t="s">
        <v>191</v>
      </c>
      <c r="E87" s="144">
        <v>1</v>
      </c>
      <c r="F87" s="113">
        <f>+'[5]blerjet 2010'!E327</f>
        <v>34050</v>
      </c>
      <c r="G87" s="113">
        <f>+F87</f>
        <v>34050</v>
      </c>
      <c r="H87" s="113">
        <v>16616</v>
      </c>
      <c r="I87" s="113">
        <f t="shared" si="5"/>
        <v>17434</v>
      </c>
      <c r="J87" s="114">
        <v>0.2</v>
      </c>
      <c r="K87" s="113">
        <f t="shared" si="6"/>
        <v>3486.8</v>
      </c>
    </row>
    <row r="88" spans="1:11">
      <c r="A88" s="111">
        <v>82</v>
      </c>
      <c r="B88" s="111" t="str">
        <f>+'[5]blerjet 2010'!D329</f>
        <v>kompjuter turi</v>
      </c>
      <c r="C88" s="112" t="s">
        <v>264</v>
      </c>
      <c r="D88" s="111" t="s">
        <v>191</v>
      </c>
      <c r="E88" s="144">
        <v>1</v>
      </c>
      <c r="F88" s="113">
        <f>+'[5]blerjet 2010'!E329</f>
        <v>154210</v>
      </c>
      <c r="G88" s="113">
        <f>+F88</f>
        <v>154210</v>
      </c>
      <c r="H88" s="113">
        <v>85539</v>
      </c>
      <c r="I88" s="113">
        <f t="shared" si="5"/>
        <v>68671</v>
      </c>
      <c r="J88" s="114">
        <v>0.25</v>
      </c>
      <c r="K88" s="113">
        <f t="shared" si="6"/>
        <v>17167.75</v>
      </c>
    </row>
    <row r="89" spans="1:11">
      <c r="A89" s="111">
        <v>83</v>
      </c>
      <c r="B89" s="111" t="str">
        <f>+'[5]blerjet 2010'!H330</f>
        <v>sistemi  kamer vezhgimi</v>
      </c>
      <c r="C89" s="112" t="str">
        <f>+'[5]blerjet 2010'!C148</f>
        <v>26.06.2010</v>
      </c>
      <c r="D89" s="111" t="s">
        <v>191</v>
      </c>
      <c r="E89" s="144">
        <v>1</v>
      </c>
      <c r="F89" s="113">
        <f>+'[5]blerjet 2010'!E330</f>
        <v>295783</v>
      </c>
      <c r="G89" s="113">
        <f>+F89</f>
        <v>295783</v>
      </c>
      <c r="H89" s="113">
        <v>122257</v>
      </c>
      <c r="I89" s="113">
        <f t="shared" si="5"/>
        <v>173526</v>
      </c>
      <c r="J89" s="114">
        <v>0.2</v>
      </c>
      <c r="K89" s="113">
        <f t="shared" si="6"/>
        <v>34705.200000000004</v>
      </c>
    </row>
    <row r="90" spans="1:11">
      <c r="A90" s="111">
        <v>84</v>
      </c>
      <c r="B90" s="111" t="str">
        <f>+'[5]blerjet 2010'!H341</f>
        <v>kompjuter +……..</v>
      </c>
      <c r="C90" s="123" t="s">
        <v>265</v>
      </c>
      <c r="D90" s="111" t="s">
        <v>191</v>
      </c>
      <c r="E90" s="144">
        <v>1</v>
      </c>
      <c r="F90" s="113">
        <f>+[5]bl.vend!E101</f>
        <v>24025</v>
      </c>
      <c r="G90" s="113">
        <f>+F90</f>
        <v>24025</v>
      </c>
      <c r="H90" s="113">
        <v>11074</v>
      </c>
      <c r="I90" s="113">
        <f t="shared" si="5"/>
        <v>12951</v>
      </c>
      <c r="J90" s="114">
        <v>0.25</v>
      </c>
      <c r="K90" s="113">
        <v>12951</v>
      </c>
    </row>
    <row r="91" spans="1:11">
      <c r="A91" s="111">
        <v>85</v>
      </c>
      <c r="B91" s="111" t="str">
        <f>+[5]bl.vend!D364</f>
        <v>stufa alogenia solaria</v>
      </c>
      <c r="C91" s="112" t="str">
        <f>+[5]bl.vend!B364</f>
        <v>11.12.10</v>
      </c>
      <c r="D91" s="111" t="s">
        <v>191</v>
      </c>
      <c r="E91" s="144">
        <v>1</v>
      </c>
      <c r="F91" s="113">
        <f>+[5]bl.vend!E364</f>
        <v>6733</v>
      </c>
      <c r="G91" s="113">
        <f>+F91</f>
        <v>6733</v>
      </c>
      <c r="H91" s="113">
        <v>2424</v>
      </c>
      <c r="I91" s="113">
        <f t="shared" si="5"/>
        <v>4309</v>
      </c>
      <c r="J91" s="114">
        <v>0.2</v>
      </c>
      <c r="K91" s="113">
        <v>4309</v>
      </c>
    </row>
    <row r="92" spans="1:11">
      <c r="A92" s="111">
        <v>86</v>
      </c>
      <c r="B92" s="112" t="s">
        <v>266</v>
      </c>
      <c r="C92" s="124" t="s">
        <v>267</v>
      </c>
      <c r="D92" s="111" t="s">
        <v>191</v>
      </c>
      <c r="E92" s="144">
        <v>2</v>
      </c>
      <c r="F92" s="113">
        <v>140000</v>
      </c>
      <c r="G92" s="113">
        <f>+F92*E92</f>
        <v>280000</v>
      </c>
      <c r="H92" s="113">
        <v>78400</v>
      </c>
      <c r="I92" s="113">
        <f t="shared" si="5"/>
        <v>201600</v>
      </c>
      <c r="J92" s="114">
        <v>0.2</v>
      </c>
      <c r="K92" s="113">
        <f t="shared" si="6"/>
        <v>40320</v>
      </c>
    </row>
    <row r="93" spans="1:11" ht="15.75">
      <c r="A93" s="111">
        <v>87</v>
      </c>
      <c r="B93" s="112" t="s">
        <v>268</v>
      </c>
      <c r="C93" s="125" t="s">
        <v>269</v>
      </c>
      <c r="D93" s="111" t="s">
        <v>191</v>
      </c>
      <c r="E93" s="144">
        <v>2</v>
      </c>
      <c r="F93" s="113">
        <f>1820*141.8</f>
        <v>258076.00000000003</v>
      </c>
      <c r="G93" s="113">
        <f t="shared" ref="G93:G151" si="7">+F93*E93</f>
        <v>516152.00000000006</v>
      </c>
      <c r="H93" s="113">
        <v>144522</v>
      </c>
      <c r="I93" s="113">
        <f t="shared" si="5"/>
        <v>371630.00000000006</v>
      </c>
      <c r="J93" s="114">
        <v>0.2</v>
      </c>
      <c r="K93" s="113">
        <f t="shared" si="6"/>
        <v>74326.000000000015</v>
      </c>
    </row>
    <row r="94" spans="1:11">
      <c r="A94" s="111">
        <v>88</v>
      </c>
      <c r="B94" s="112" t="s">
        <v>270</v>
      </c>
      <c r="C94" s="126" t="s">
        <v>271</v>
      </c>
      <c r="D94" s="111" t="s">
        <v>191</v>
      </c>
      <c r="E94" s="144">
        <v>1</v>
      </c>
      <c r="F94" s="113">
        <f>18250*140.19</f>
        <v>2558467.5</v>
      </c>
      <c r="G94" s="113">
        <f t="shared" si="7"/>
        <v>2558467.5</v>
      </c>
      <c r="H94" s="113">
        <v>716371</v>
      </c>
      <c r="I94" s="113">
        <f t="shared" si="5"/>
        <v>1842096.5</v>
      </c>
      <c r="J94" s="114">
        <v>0.2</v>
      </c>
      <c r="K94" s="113">
        <f t="shared" si="6"/>
        <v>368419.30000000005</v>
      </c>
    </row>
    <row r="95" spans="1:11">
      <c r="A95" s="111">
        <v>89</v>
      </c>
      <c r="B95" s="112" t="s">
        <v>272</v>
      </c>
      <c r="C95" s="126" t="s">
        <v>271</v>
      </c>
      <c r="D95" s="111" t="s">
        <v>191</v>
      </c>
      <c r="E95" s="144">
        <v>1</v>
      </c>
      <c r="F95" s="113">
        <f>11768*140.19</f>
        <v>1649755.92</v>
      </c>
      <c r="G95" s="113">
        <f t="shared" si="7"/>
        <v>1649755.92</v>
      </c>
      <c r="H95" s="113">
        <v>461932</v>
      </c>
      <c r="I95" s="113">
        <f t="shared" si="5"/>
        <v>1187823.92</v>
      </c>
      <c r="J95" s="114">
        <v>0.2</v>
      </c>
      <c r="K95" s="113">
        <f t="shared" si="6"/>
        <v>237564.78399999999</v>
      </c>
    </row>
    <row r="96" spans="1:11">
      <c r="A96" s="111">
        <v>90</v>
      </c>
      <c r="B96" s="112" t="s">
        <v>273</v>
      </c>
      <c r="C96" s="124" t="s">
        <v>274</v>
      </c>
      <c r="D96" s="111" t="s">
        <v>191</v>
      </c>
      <c r="E96" s="144">
        <v>1</v>
      </c>
      <c r="F96" s="113">
        <v>36000</v>
      </c>
      <c r="G96" s="113">
        <f t="shared" si="7"/>
        <v>36000</v>
      </c>
      <c r="H96" s="113">
        <v>9120</v>
      </c>
      <c r="I96" s="113">
        <f t="shared" si="5"/>
        <v>26880</v>
      </c>
      <c r="J96" s="114">
        <v>0.2</v>
      </c>
      <c r="K96" s="113">
        <v>26880</v>
      </c>
    </row>
    <row r="97" spans="1:11">
      <c r="A97" s="111">
        <v>91</v>
      </c>
      <c r="B97" s="112" t="s">
        <v>275</v>
      </c>
      <c r="C97" s="124" t="s">
        <v>276</v>
      </c>
      <c r="D97" s="111" t="s">
        <v>191</v>
      </c>
      <c r="E97" s="144">
        <v>1</v>
      </c>
      <c r="F97" s="113">
        <v>140000</v>
      </c>
      <c r="G97" s="113">
        <f t="shared" si="7"/>
        <v>140000</v>
      </c>
      <c r="H97" s="113">
        <v>35466</v>
      </c>
      <c r="I97" s="113">
        <f t="shared" si="5"/>
        <v>104534</v>
      </c>
      <c r="J97" s="114">
        <v>0.2</v>
      </c>
      <c r="K97" s="113">
        <f t="shared" si="6"/>
        <v>20906.800000000003</v>
      </c>
    </row>
    <row r="98" spans="1:11">
      <c r="A98" s="111">
        <v>92</v>
      </c>
      <c r="B98" s="112" t="s">
        <v>277</v>
      </c>
      <c r="C98" s="126" t="s">
        <v>278</v>
      </c>
      <c r="D98" s="111" t="s">
        <v>191</v>
      </c>
      <c r="E98" s="144">
        <v>1</v>
      </c>
      <c r="F98" s="113">
        <v>25242</v>
      </c>
      <c r="G98" s="113">
        <f t="shared" si="7"/>
        <v>25242</v>
      </c>
      <c r="H98" s="113">
        <v>6395</v>
      </c>
      <c r="I98" s="113">
        <f t="shared" si="5"/>
        <v>18847</v>
      </c>
      <c r="J98" s="114">
        <v>0.2</v>
      </c>
      <c r="K98" s="113">
        <v>18847</v>
      </c>
    </row>
    <row r="99" spans="1:11">
      <c r="A99" s="111">
        <v>93</v>
      </c>
      <c r="B99" s="112" t="s">
        <v>279</v>
      </c>
      <c r="C99" s="126" t="s">
        <v>280</v>
      </c>
      <c r="D99" s="111" t="s">
        <v>191</v>
      </c>
      <c r="E99" s="144">
        <v>1</v>
      </c>
      <c r="F99" s="113">
        <v>17500</v>
      </c>
      <c r="G99" s="113">
        <f t="shared" si="7"/>
        <v>17500</v>
      </c>
      <c r="H99" s="113">
        <v>4434</v>
      </c>
      <c r="I99" s="113">
        <f t="shared" si="5"/>
        <v>13066</v>
      </c>
      <c r="J99" s="114">
        <v>0.2</v>
      </c>
      <c r="K99" s="113">
        <v>13066</v>
      </c>
    </row>
    <row r="100" spans="1:11">
      <c r="A100" s="111">
        <v>94</v>
      </c>
      <c r="B100" s="112" t="s">
        <v>281</v>
      </c>
      <c r="C100" s="124" t="s">
        <v>282</v>
      </c>
      <c r="D100" s="111" t="s">
        <v>191</v>
      </c>
      <c r="E100" s="144">
        <v>1</v>
      </c>
      <c r="F100" s="113">
        <v>34200</v>
      </c>
      <c r="G100" s="113">
        <f t="shared" si="7"/>
        <v>34200</v>
      </c>
      <c r="H100" s="113">
        <v>8208</v>
      </c>
      <c r="I100" s="113">
        <f t="shared" si="5"/>
        <v>25992</v>
      </c>
      <c r="J100" s="114">
        <v>0.2</v>
      </c>
      <c r="K100" s="113">
        <v>25992</v>
      </c>
    </row>
    <row r="101" spans="1:11">
      <c r="A101" s="111">
        <v>95</v>
      </c>
      <c r="B101" s="112" t="s">
        <v>283</v>
      </c>
      <c r="C101" s="124" t="s">
        <v>284</v>
      </c>
      <c r="D101" s="111" t="s">
        <v>191</v>
      </c>
      <c r="E101" s="144">
        <v>3</v>
      </c>
      <c r="F101" s="113">
        <v>21017</v>
      </c>
      <c r="G101" s="113">
        <f>+F101*E101</f>
        <v>63051</v>
      </c>
      <c r="H101" s="113">
        <v>15973</v>
      </c>
      <c r="I101" s="113">
        <f>G101-H101</f>
        <v>47078</v>
      </c>
      <c r="J101" s="114">
        <v>0.2</v>
      </c>
      <c r="K101" s="113">
        <f t="shared" si="6"/>
        <v>9415.6</v>
      </c>
    </row>
    <row r="102" spans="1:11">
      <c r="A102" s="111">
        <v>96</v>
      </c>
      <c r="B102" s="112" t="s">
        <v>285</v>
      </c>
      <c r="C102" s="124" t="s">
        <v>286</v>
      </c>
      <c r="D102" s="111" t="s">
        <v>191</v>
      </c>
      <c r="E102" s="144">
        <v>1</v>
      </c>
      <c r="F102" s="113">
        <v>21058</v>
      </c>
      <c r="G102" s="113">
        <f t="shared" si="7"/>
        <v>21058</v>
      </c>
      <c r="H102" s="113">
        <v>5335</v>
      </c>
      <c r="I102" s="113">
        <f t="shared" si="5"/>
        <v>15723</v>
      </c>
      <c r="J102" s="114">
        <v>0.2</v>
      </c>
      <c r="K102" s="113">
        <f t="shared" si="6"/>
        <v>3144.6000000000004</v>
      </c>
    </row>
    <row r="103" spans="1:11">
      <c r="A103" s="111">
        <v>97</v>
      </c>
      <c r="B103" s="112" t="s">
        <v>287</v>
      </c>
      <c r="C103" s="124" t="s">
        <v>286</v>
      </c>
      <c r="D103" s="111" t="s">
        <v>191</v>
      </c>
      <c r="E103" s="144">
        <v>1</v>
      </c>
      <c r="F103" s="113">
        <v>15042</v>
      </c>
      <c r="G103" s="113">
        <f t="shared" si="7"/>
        <v>15042</v>
      </c>
      <c r="H103" s="113">
        <v>3610</v>
      </c>
      <c r="I103" s="113">
        <f t="shared" si="5"/>
        <v>11432</v>
      </c>
      <c r="J103" s="114">
        <v>0.2</v>
      </c>
      <c r="K103" s="113">
        <f t="shared" si="6"/>
        <v>2286.4</v>
      </c>
    </row>
    <row r="104" spans="1:11">
      <c r="A104" s="111">
        <v>98</v>
      </c>
      <c r="B104" s="112" t="s">
        <v>288</v>
      </c>
      <c r="C104" s="124" t="s">
        <v>286</v>
      </c>
      <c r="D104" s="111" t="s">
        <v>191</v>
      </c>
      <c r="E104" s="144">
        <v>1</v>
      </c>
      <c r="F104" s="113">
        <v>3760</v>
      </c>
      <c r="G104" s="113">
        <f t="shared" si="7"/>
        <v>3760</v>
      </c>
      <c r="H104" s="113">
        <v>902</v>
      </c>
      <c r="I104" s="113">
        <f t="shared" si="5"/>
        <v>2858</v>
      </c>
      <c r="J104" s="114">
        <v>0.2</v>
      </c>
      <c r="K104" s="113">
        <v>2858</v>
      </c>
    </row>
    <row r="105" spans="1:11">
      <c r="A105" s="111">
        <v>99</v>
      </c>
      <c r="B105" s="112" t="s">
        <v>289</v>
      </c>
      <c r="C105" s="124" t="s">
        <v>286</v>
      </c>
      <c r="D105" s="111" t="s">
        <v>191</v>
      </c>
      <c r="E105" s="144">
        <v>10</v>
      </c>
      <c r="F105" s="113">
        <v>3384</v>
      </c>
      <c r="G105" s="113">
        <f t="shared" si="7"/>
        <v>33840</v>
      </c>
      <c r="H105" s="113">
        <v>8122</v>
      </c>
      <c r="I105" s="113">
        <f t="shared" si="5"/>
        <v>25718</v>
      </c>
      <c r="J105" s="114">
        <v>0.2</v>
      </c>
      <c r="K105" s="113">
        <f t="shared" si="6"/>
        <v>5143.6000000000004</v>
      </c>
    </row>
    <row r="106" spans="1:11">
      <c r="A106" s="111">
        <v>100</v>
      </c>
      <c r="B106" s="112" t="s">
        <v>290</v>
      </c>
      <c r="C106" s="124" t="s">
        <v>286</v>
      </c>
      <c r="D106" s="111" t="s">
        <v>191</v>
      </c>
      <c r="E106" s="144">
        <v>1</v>
      </c>
      <c r="F106" s="113">
        <v>24067</v>
      </c>
      <c r="G106" s="113">
        <f t="shared" si="7"/>
        <v>24067</v>
      </c>
      <c r="H106" s="113">
        <v>5776</v>
      </c>
      <c r="I106" s="113">
        <f t="shared" si="5"/>
        <v>18291</v>
      </c>
      <c r="J106" s="114">
        <v>0.2</v>
      </c>
      <c r="K106" s="113">
        <f t="shared" si="6"/>
        <v>3658.2000000000003</v>
      </c>
    </row>
    <row r="107" spans="1:11">
      <c r="A107" s="111">
        <v>101</v>
      </c>
      <c r="B107" s="112" t="s">
        <v>290</v>
      </c>
      <c r="C107" s="124" t="s">
        <v>286</v>
      </c>
      <c r="D107" s="111" t="s">
        <v>191</v>
      </c>
      <c r="E107" s="144">
        <v>1</v>
      </c>
      <c r="F107" s="113">
        <v>12785</v>
      </c>
      <c r="G107" s="113">
        <f t="shared" si="7"/>
        <v>12785</v>
      </c>
      <c r="H107" s="113">
        <v>3068</v>
      </c>
      <c r="I107" s="113">
        <f t="shared" si="5"/>
        <v>9717</v>
      </c>
      <c r="J107" s="114">
        <v>0.2</v>
      </c>
      <c r="K107" s="113">
        <f t="shared" si="6"/>
        <v>1943.4</v>
      </c>
    </row>
    <row r="108" spans="1:11">
      <c r="A108" s="111">
        <v>102</v>
      </c>
      <c r="B108" s="112" t="s">
        <v>285</v>
      </c>
      <c r="C108" s="124" t="s">
        <v>286</v>
      </c>
      <c r="D108" s="111" t="s">
        <v>191</v>
      </c>
      <c r="E108" s="144">
        <v>1</v>
      </c>
      <c r="F108" s="113">
        <v>21058</v>
      </c>
      <c r="G108" s="113">
        <f t="shared" si="7"/>
        <v>21058</v>
      </c>
      <c r="H108" s="113">
        <v>5054</v>
      </c>
      <c r="I108" s="113">
        <f t="shared" si="5"/>
        <v>16004</v>
      </c>
      <c r="J108" s="114">
        <v>0.2</v>
      </c>
      <c r="K108" s="113">
        <f t="shared" si="6"/>
        <v>3200.8</v>
      </c>
    </row>
    <row r="109" spans="1:11">
      <c r="A109" s="111">
        <v>103</v>
      </c>
      <c r="B109" s="112" t="s">
        <v>291</v>
      </c>
      <c r="C109" s="124" t="s">
        <v>286</v>
      </c>
      <c r="D109" s="111" t="s">
        <v>191</v>
      </c>
      <c r="E109" s="144">
        <v>1</v>
      </c>
      <c r="F109" s="113">
        <v>15042</v>
      </c>
      <c r="G109" s="113">
        <f t="shared" si="7"/>
        <v>15042</v>
      </c>
      <c r="H109" s="113">
        <v>3610</v>
      </c>
      <c r="I109" s="113">
        <f t="shared" si="5"/>
        <v>11432</v>
      </c>
      <c r="J109" s="114">
        <v>0.2</v>
      </c>
      <c r="K109" s="113">
        <f t="shared" si="6"/>
        <v>2286.4</v>
      </c>
    </row>
    <row r="110" spans="1:11">
      <c r="A110" s="111">
        <v>104</v>
      </c>
      <c r="B110" s="112" t="s">
        <v>288</v>
      </c>
      <c r="C110" s="124" t="s">
        <v>286</v>
      </c>
      <c r="D110" s="111" t="s">
        <v>191</v>
      </c>
      <c r="E110" s="144">
        <v>1</v>
      </c>
      <c r="F110" s="113">
        <v>3760</v>
      </c>
      <c r="G110" s="113">
        <f t="shared" si="7"/>
        <v>3760</v>
      </c>
      <c r="H110" s="113">
        <v>902</v>
      </c>
      <c r="I110" s="113">
        <f t="shared" si="5"/>
        <v>2858</v>
      </c>
      <c r="J110" s="114">
        <v>0.2</v>
      </c>
      <c r="K110" s="113">
        <v>2858</v>
      </c>
    </row>
    <row r="111" spans="1:11">
      <c r="A111" s="111">
        <v>105</v>
      </c>
      <c r="B111" s="112" t="s">
        <v>292</v>
      </c>
      <c r="C111" s="124" t="s">
        <v>286</v>
      </c>
      <c r="D111" s="111" t="s">
        <v>191</v>
      </c>
      <c r="E111" s="144">
        <v>1</v>
      </c>
      <c r="F111" s="113">
        <v>13537</v>
      </c>
      <c r="G111" s="113">
        <f t="shared" si="7"/>
        <v>13537</v>
      </c>
      <c r="H111" s="113">
        <v>3249</v>
      </c>
      <c r="I111" s="113">
        <f t="shared" si="5"/>
        <v>10288</v>
      </c>
      <c r="J111" s="114">
        <v>0.2</v>
      </c>
      <c r="K111" s="113">
        <f t="shared" si="6"/>
        <v>2057.6</v>
      </c>
    </row>
    <row r="112" spans="1:11">
      <c r="A112" s="111">
        <v>106</v>
      </c>
      <c r="B112" s="112" t="s">
        <v>293</v>
      </c>
      <c r="C112" s="124" t="s">
        <v>286</v>
      </c>
      <c r="D112" s="111" t="s">
        <v>191</v>
      </c>
      <c r="E112" s="144">
        <v>5</v>
      </c>
      <c r="F112" s="113">
        <v>12785.4</v>
      </c>
      <c r="G112" s="113">
        <f t="shared" si="7"/>
        <v>63927</v>
      </c>
      <c r="H112" s="113">
        <v>15342</v>
      </c>
      <c r="I112" s="113">
        <f t="shared" si="5"/>
        <v>48585</v>
      </c>
      <c r="J112" s="114">
        <v>0.2</v>
      </c>
      <c r="K112" s="113">
        <f t="shared" si="6"/>
        <v>9717</v>
      </c>
    </row>
    <row r="113" spans="1:11">
      <c r="A113" s="111">
        <v>107</v>
      </c>
      <c r="B113" s="112" t="s">
        <v>292</v>
      </c>
      <c r="C113" s="124" t="s">
        <v>294</v>
      </c>
      <c r="D113" s="111" t="s">
        <v>191</v>
      </c>
      <c r="E113" s="144">
        <v>1</v>
      </c>
      <c r="F113" s="113">
        <v>13537</v>
      </c>
      <c r="G113" s="113">
        <f t="shared" si="7"/>
        <v>13537</v>
      </c>
      <c r="H113" s="113">
        <v>3068</v>
      </c>
      <c r="I113" s="113">
        <f t="shared" si="5"/>
        <v>10469</v>
      </c>
      <c r="J113" s="114">
        <v>0.2</v>
      </c>
      <c r="K113" s="113">
        <v>10469</v>
      </c>
    </row>
    <row r="114" spans="1:11">
      <c r="A114" s="111">
        <v>108</v>
      </c>
      <c r="B114" s="112" t="s">
        <v>295</v>
      </c>
      <c r="C114" s="124" t="s">
        <v>294</v>
      </c>
      <c r="D114" s="111" t="s">
        <v>191</v>
      </c>
      <c r="E114" s="144">
        <v>1</v>
      </c>
      <c r="F114" s="113">
        <v>36100</v>
      </c>
      <c r="G114" s="113">
        <f t="shared" si="7"/>
        <v>36100</v>
      </c>
      <c r="H114" s="113">
        <v>8182</v>
      </c>
      <c r="I114" s="113">
        <f t="shared" si="5"/>
        <v>27918</v>
      </c>
      <c r="J114" s="114">
        <v>0.2</v>
      </c>
      <c r="K114" s="113">
        <f t="shared" si="6"/>
        <v>5583.6</v>
      </c>
    </row>
    <row r="115" spans="1:11">
      <c r="A115" s="111">
        <v>109</v>
      </c>
      <c r="B115" s="112" t="s">
        <v>296</v>
      </c>
      <c r="C115" s="124" t="s">
        <v>294</v>
      </c>
      <c r="D115" s="111" t="s">
        <v>191</v>
      </c>
      <c r="E115" s="144">
        <v>2</v>
      </c>
      <c r="F115" s="113">
        <v>12785</v>
      </c>
      <c r="G115" s="113">
        <f t="shared" si="7"/>
        <v>25570</v>
      </c>
      <c r="H115" s="113">
        <v>5796</v>
      </c>
      <c r="I115" s="113">
        <f t="shared" si="5"/>
        <v>19774</v>
      </c>
      <c r="J115" s="114">
        <v>0.2</v>
      </c>
      <c r="K115" s="113">
        <f t="shared" si="6"/>
        <v>3954.8</v>
      </c>
    </row>
    <row r="116" spans="1:11">
      <c r="A116" s="111">
        <v>110</v>
      </c>
      <c r="B116" s="112" t="s">
        <v>297</v>
      </c>
      <c r="C116" s="124" t="s">
        <v>294</v>
      </c>
      <c r="D116" s="111" t="s">
        <v>191</v>
      </c>
      <c r="E116" s="144">
        <v>2</v>
      </c>
      <c r="F116" s="113">
        <v>36100</v>
      </c>
      <c r="G116" s="113">
        <f t="shared" si="7"/>
        <v>72200</v>
      </c>
      <c r="H116" s="113">
        <v>16366</v>
      </c>
      <c r="I116" s="113">
        <f t="shared" si="5"/>
        <v>55834</v>
      </c>
      <c r="J116" s="114">
        <v>0.2</v>
      </c>
      <c r="K116" s="113">
        <f t="shared" si="6"/>
        <v>11166.800000000001</v>
      </c>
    </row>
    <row r="117" spans="1:11">
      <c r="A117" s="111">
        <v>111</v>
      </c>
      <c r="B117" s="112" t="s">
        <v>197</v>
      </c>
      <c r="C117" s="126" t="s">
        <v>298</v>
      </c>
      <c r="D117" s="111" t="s">
        <v>191</v>
      </c>
      <c r="E117" s="144">
        <v>1</v>
      </c>
      <c r="F117" s="113">
        <f>10753*141.12</f>
        <v>1517463.36</v>
      </c>
      <c r="G117" s="113">
        <f>+F117*E117</f>
        <v>1517463.36</v>
      </c>
      <c r="H117" s="113">
        <v>364191</v>
      </c>
      <c r="I117" s="113">
        <f>G117-H117</f>
        <v>1153272.3600000001</v>
      </c>
      <c r="J117" s="114">
        <v>0.2</v>
      </c>
      <c r="K117" s="113">
        <f t="shared" si="6"/>
        <v>230654.47200000004</v>
      </c>
    </row>
    <row r="118" spans="1:11">
      <c r="A118" s="111">
        <v>112</v>
      </c>
      <c r="B118" s="112" t="s">
        <v>299</v>
      </c>
      <c r="C118" s="124" t="s">
        <v>300</v>
      </c>
      <c r="D118" s="111" t="s">
        <v>191</v>
      </c>
      <c r="E118" s="144">
        <v>1</v>
      </c>
      <c r="F118" s="113">
        <v>79000</v>
      </c>
      <c r="G118" s="113">
        <f t="shared" si="7"/>
        <v>79000</v>
      </c>
      <c r="H118" s="113">
        <v>16854</v>
      </c>
      <c r="I118" s="113">
        <f t="shared" si="5"/>
        <v>62146</v>
      </c>
      <c r="J118" s="114">
        <v>0.2</v>
      </c>
      <c r="K118" s="113">
        <v>62146</v>
      </c>
    </row>
    <row r="119" spans="1:11">
      <c r="A119" s="111">
        <v>113</v>
      </c>
      <c r="B119" s="112" t="s">
        <v>301</v>
      </c>
      <c r="C119" s="124" t="s">
        <v>302</v>
      </c>
      <c r="D119" s="111" t="s">
        <v>191</v>
      </c>
      <c r="E119" s="144">
        <v>1</v>
      </c>
      <c r="F119" s="113">
        <v>1406795</v>
      </c>
      <c r="G119" s="113">
        <f t="shared" si="7"/>
        <v>1406795</v>
      </c>
      <c r="H119" s="113">
        <v>300117</v>
      </c>
      <c r="I119" s="113">
        <f t="shared" si="5"/>
        <v>1106678</v>
      </c>
      <c r="J119" s="114">
        <v>0.2</v>
      </c>
      <c r="K119" s="113">
        <f t="shared" si="6"/>
        <v>221335.6</v>
      </c>
    </row>
    <row r="120" spans="1:11">
      <c r="A120" s="111">
        <v>114</v>
      </c>
      <c r="B120" s="112" t="s">
        <v>303</v>
      </c>
      <c r="C120" s="124" t="s">
        <v>302</v>
      </c>
      <c r="D120" s="111" t="s">
        <v>191</v>
      </c>
      <c r="E120" s="144">
        <v>1</v>
      </c>
      <c r="F120" s="113">
        <v>700000</v>
      </c>
      <c r="G120" s="113">
        <f t="shared" si="7"/>
        <v>700000</v>
      </c>
      <c r="H120" s="113">
        <v>149334</v>
      </c>
      <c r="I120" s="113">
        <f t="shared" si="5"/>
        <v>550666</v>
      </c>
      <c r="J120" s="114">
        <v>0.2</v>
      </c>
      <c r="K120" s="113">
        <f t="shared" si="6"/>
        <v>110133.20000000001</v>
      </c>
    </row>
    <row r="121" spans="1:11">
      <c r="A121" s="111">
        <v>115</v>
      </c>
      <c r="B121" s="112" t="s">
        <v>304</v>
      </c>
      <c r="C121" s="124" t="s">
        <v>305</v>
      </c>
      <c r="D121" s="111" t="s">
        <v>191</v>
      </c>
      <c r="E121" s="144">
        <v>1</v>
      </c>
      <c r="F121" s="113">
        <v>561960</v>
      </c>
      <c r="G121" s="113">
        <f t="shared" si="7"/>
        <v>561960</v>
      </c>
      <c r="H121" s="113">
        <v>119885</v>
      </c>
      <c r="I121" s="113">
        <f t="shared" si="5"/>
        <v>442075</v>
      </c>
      <c r="J121" s="114">
        <v>0.2</v>
      </c>
      <c r="K121" s="113">
        <f t="shared" si="6"/>
        <v>88415</v>
      </c>
    </row>
    <row r="122" spans="1:11">
      <c r="A122" s="111">
        <v>116</v>
      </c>
      <c r="B122" s="112" t="s">
        <v>306</v>
      </c>
      <c r="C122" s="124" t="s">
        <v>305</v>
      </c>
      <c r="D122" s="111" t="s">
        <v>191</v>
      </c>
      <c r="E122" s="144">
        <v>1</v>
      </c>
      <c r="F122" s="113">
        <v>561960</v>
      </c>
      <c r="G122" s="113">
        <f t="shared" si="7"/>
        <v>561960</v>
      </c>
      <c r="H122" s="113">
        <v>119885</v>
      </c>
      <c r="I122" s="113">
        <f t="shared" si="5"/>
        <v>442075</v>
      </c>
      <c r="J122" s="114">
        <v>0.2</v>
      </c>
      <c r="K122" s="113">
        <f t="shared" si="6"/>
        <v>88415</v>
      </c>
    </row>
    <row r="123" spans="1:11">
      <c r="A123" s="111">
        <v>117</v>
      </c>
      <c r="B123" s="112" t="s">
        <v>307</v>
      </c>
      <c r="C123" s="124" t="s">
        <v>308</v>
      </c>
      <c r="D123" s="111" t="s">
        <v>191</v>
      </c>
      <c r="E123" s="144">
        <v>1</v>
      </c>
      <c r="F123" s="113">
        <f>5833.33*137</f>
        <v>799166.21</v>
      </c>
      <c r="G123" s="113">
        <f t="shared" si="7"/>
        <v>799166.21</v>
      </c>
      <c r="H123" s="113">
        <v>159833</v>
      </c>
      <c r="I123" s="113">
        <f t="shared" si="5"/>
        <v>639333.21</v>
      </c>
      <c r="J123" s="114">
        <v>0.2</v>
      </c>
      <c r="K123" s="113">
        <f t="shared" si="6"/>
        <v>127866.64199999999</v>
      </c>
    </row>
    <row r="124" spans="1:11">
      <c r="A124" s="111">
        <v>118</v>
      </c>
      <c r="B124" s="112" t="s">
        <v>270</v>
      </c>
      <c r="C124" s="124" t="s">
        <v>309</v>
      </c>
      <c r="D124" s="111" t="s">
        <v>191</v>
      </c>
      <c r="E124" s="144">
        <v>1</v>
      </c>
      <c r="F124" s="113">
        <f>9450*140.9</f>
        <v>1331505</v>
      </c>
      <c r="G124" s="113">
        <f t="shared" si="7"/>
        <v>1331505</v>
      </c>
      <c r="H124" s="113">
        <v>266301</v>
      </c>
      <c r="I124" s="113">
        <f t="shared" si="5"/>
        <v>1065204</v>
      </c>
      <c r="J124" s="114">
        <v>0.2</v>
      </c>
      <c r="K124" s="113">
        <f t="shared" si="6"/>
        <v>213040.80000000002</v>
      </c>
    </row>
    <row r="125" spans="1:11">
      <c r="A125" s="111">
        <v>119</v>
      </c>
      <c r="B125" s="112" t="s">
        <v>310</v>
      </c>
      <c r="C125" s="124" t="s">
        <v>311</v>
      </c>
      <c r="D125" s="111" t="s">
        <v>191</v>
      </c>
      <c r="E125" s="144">
        <v>1</v>
      </c>
      <c r="F125" s="113">
        <v>99050</v>
      </c>
      <c r="G125" s="113">
        <f t="shared" si="7"/>
        <v>99050</v>
      </c>
      <c r="H125" s="113">
        <v>19810</v>
      </c>
      <c r="I125" s="113">
        <f t="shared" si="5"/>
        <v>79240</v>
      </c>
      <c r="J125" s="114">
        <v>0.2</v>
      </c>
      <c r="K125" s="113">
        <f t="shared" si="6"/>
        <v>15848</v>
      </c>
    </row>
    <row r="126" spans="1:11">
      <c r="A126" s="111">
        <v>120</v>
      </c>
      <c r="B126" s="112" t="s">
        <v>310</v>
      </c>
      <c r="C126" s="124" t="s">
        <v>311</v>
      </c>
      <c r="D126" s="111" t="s">
        <v>191</v>
      </c>
      <c r="E126" s="144">
        <v>1</v>
      </c>
      <c r="F126" s="113">
        <v>74550</v>
      </c>
      <c r="G126" s="113">
        <f t="shared" si="7"/>
        <v>74550</v>
      </c>
      <c r="H126" s="113">
        <v>14910</v>
      </c>
      <c r="I126" s="113">
        <f t="shared" si="5"/>
        <v>59640</v>
      </c>
      <c r="J126" s="114">
        <v>0.2</v>
      </c>
      <c r="K126" s="113">
        <f t="shared" si="6"/>
        <v>11928</v>
      </c>
    </row>
    <row r="127" spans="1:11">
      <c r="A127" s="111">
        <v>121</v>
      </c>
      <c r="B127" s="112" t="s">
        <v>310</v>
      </c>
      <c r="C127" s="124" t="s">
        <v>311</v>
      </c>
      <c r="D127" s="111" t="s">
        <v>191</v>
      </c>
      <c r="E127" s="144">
        <v>2</v>
      </c>
      <c r="F127" s="113">
        <v>62888.3</v>
      </c>
      <c r="G127" s="113">
        <f t="shared" si="7"/>
        <v>125776.6</v>
      </c>
      <c r="H127" s="113">
        <v>25155</v>
      </c>
      <c r="I127" s="113">
        <f t="shared" si="5"/>
        <v>100621.6</v>
      </c>
      <c r="J127" s="114">
        <v>0.2</v>
      </c>
      <c r="K127" s="113">
        <f t="shared" si="6"/>
        <v>20124.320000000003</v>
      </c>
    </row>
    <row r="128" spans="1:11">
      <c r="A128" s="111">
        <v>122</v>
      </c>
      <c r="B128" s="112" t="s">
        <v>312</v>
      </c>
      <c r="C128" s="124" t="s">
        <v>311</v>
      </c>
      <c r="D128" s="111" t="s">
        <v>191</v>
      </c>
      <c r="E128" s="144">
        <v>1</v>
      </c>
      <c r="F128" s="113">
        <v>255383</v>
      </c>
      <c r="G128" s="113">
        <f t="shared" si="7"/>
        <v>255383</v>
      </c>
      <c r="H128" s="113">
        <v>51077</v>
      </c>
      <c r="I128" s="113">
        <f t="shared" si="5"/>
        <v>204306</v>
      </c>
      <c r="J128" s="114">
        <v>0.2</v>
      </c>
      <c r="K128" s="113">
        <f t="shared" si="6"/>
        <v>40861.200000000004</v>
      </c>
    </row>
    <row r="129" spans="1:11">
      <c r="A129" s="111">
        <v>123</v>
      </c>
      <c r="B129" s="112" t="s">
        <v>313</v>
      </c>
      <c r="C129" s="124" t="s">
        <v>314</v>
      </c>
      <c r="D129" s="111" t="s">
        <v>191</v>
      </c>
      <c r="E129" s="144">
        <v>1</v>
      </c>
      <c r="F129" s="113">
        <v>59508</v>
      </c>
      <c r="G129" s="113">
        <f t="shared" si="7"/>
        <v>59508</v>
      </c>
      <c r="H129" s="113">
        <v>11902</v>
      </c>
      <c r="I129" s="113">
        <f t="shared" si="5"/>
        <v>47606</v>
      </c>
      <c r="J129" s="114">
        <v>0.2</v>
      </c>
      <c r="K129" s="113">
        <f t="shared" si="6"/>
        <v>9521.2000000000007</v>
      </c>
    </row>
    <row r="130" spans="1:11">
      <c r="A130" s="111">
        <v>124</v>
      </c>
      <c r="B130" s="112" t="s">
        <v>315</v>
      </c>
      <c r="C130" s="127" t="s">
        <v>316</v>
      </c>
      <c r="D130" s="111" t="s">
        <v>191</v>
      </c>
      <c r="E130" s="144">
        <v>1</v>
      </c>
      <c r="F130" s="113">
        <v>248084</v>
      </c>
      <c r="G130" s="113">
        <f t="shared" si="7"/>
        <v>248084</v>
      </c>
      <c r="H130" s="113">
        <v>49617</v>
      </c>
      <c r="I130" s="113">
        <f t="shared" si="5"/>
        <v>198467</v>
      </c>
      <c r="J130" s="114">
        <v>0.2</v>
      </c>
      <c r="K130" s="113">
        <f t="shared" si="6"/>
        <v>39693.4</v>
      </c>
    </row>
    <row r="131" spans="1:11">
      <c r="A131" s="111">
        <v>125</v>
      </c>
      <c r="B131" s="112" t="s">
        <v>268</v>
      </c>
      <c r="C131" s="126" t="s">
        <v>298</v>
      </c>
      <c r="D131" s="111" t="s">
        <v>191</v>
      </c>
      <c r="E131" s="144">
        <v>1</v>
      </c>
      <c r="F131" s="113">
        <f>1820*141.12</f>
        <v>256838.39999999999</v>
      </c>
      <c r="G131" s="113">
        <f>+F131*E131</f>
        <v>256838.39999999999</v>
      </c>
      <c r="H131" s="113">
        <v>61641</v>
      </c>
      <c r="I131" s="113">
        <f>G131-H131</f>
        <v>195197.4</v>
      </c>
      <c r="J131" s="114">
        <v>0.2</v>
      </c>
      <c r="K131" s="113">
        <f t="shared" si="6"/>
        <v>39039.480000000003</v>
      </c>
    </row>
    <row r="132" spans="1:11">
      <c r="A132" s="111">
        <v>126</v>
      </c>
      <c r="B132" s="112" t="s">
        <v>317</v>
      </c>
      <c r="C132" s="127" t="s">
        <v>318</v>
      </c>
      <c r="D132" s="111" t="s">
        <v>191</v>
      </c>
      <c r="E132" s="144">
        <v>2</v>
      </c>
      <c r="F132" s="113">
        <v>321849</v>
      </c>
      <c r="G132" s="113">
        <f t="shared" si="7"/>
        <v>643698</v>
      </c>
      <c r="H132" s="113">
        <v>128740</v>
      </c>
      <c r="I132" s="113">
        <f t="shared" si="5"/>
        <v>514958</v>
      </c>
      <c r="J132" s="114">
        <v>0.2</v>
      </c>
      <c r="K132" s="113">
        <f t="shared" si="6"/>
        <v>102991.6</v>
      </c>
    </row>
    <row r="133" spans="1:11">
      <c r="A133" s="111">
        <v>127</v>
      </c>
      <c r="B133" s="137" t="s">
        <v>319</v>
      </c>
      <c r="C133" s="128" t="s">
        <v>320</v>
      </c>
      <c r="D133" s="111" t="s">
        <v>191</v>
      </c>
      <c r="E133" s="144">
        <v>2</v>
      </c>
      <c r="F133" s="113">
        <v>24503</v>
      </c>
      <c r="G133" s="113">
        <f t="shared" si="7"/>
        <v>49006</v>
      </c>
      <c r="H133" s="113">
        <v>16336</v>
      </c>
      <c r="I133" s="113">
        <f t="shared" si="5"/>
        <v>32670</v>
      </c>
      <c r="J133" s="114">
        <v>0.2</v>
      </c>
      <c r="K133" s="113">
        <f t="shared" si="6"/>
        <v>6534</v>
      </c>
    </row>
    <row r="134" spans="1:11">
      <c r="A134" s="111">
        <v>128</v>
      </c>
      <c r="B134" s="137" t="s">
        <v>319</v>
      </c>
      <c r="C134" s="128" t="s">
        <v>321</v>
      </c>
      <c r="D134" s="111" t="s">
        <v>191</v>
      </c>
      <c r="E134" s="144">
        <v>1</v>
      </c>
      <c r="F134" s="113">
        <v>69651</v>
      </c>
      <c r="G134" s="113">
        <f t="shared" si="7"/>
        <v>69651</v>
      </c>
      <c r="H134" s="113">
        <v>19502</v>
      </c>
      <c r="I134" s="113">
        <f t="shared" si="5"/>
        <v>50149</v>
      </c>
      <c r="J134" s="114">
        <v>0.2</v>
      </c>
      <c r="K134" s="113">
        <f t="shared" si="6"/>
        <v>10029.800000000001</v>
      </c>
    </row>
    <row r="135" spans="1:11">
      <c r="A135" s="111">
        <v>129</v>
      </c>
      <c r="B135" s="137" t="s">
        <v>322</v>
      </c>
      <c r="C135" s="128" t="s">
        <v>323</v>
      </c>
      <c r="D135" s="111" t="s">
        <v>191</v>
      </c>
      <c r="E135" s="144">
        <v>1</v>
      </c>
      <c r="F135" s="113">
        <v>4165076</v>
      </c>
      <c r="G135" s="113">
        <f t="shared" si="7"/>
        <v>4165076</v>
      </c>
      <c r="H135" s="113">
        <v>1055153</v>
      </c>
      <c r="I135" s="113">
        <f t="shared" si="5"/>
        <v>3109923</v>
      </c>
      <c r="J135" s="114">
        <v>0.2</v>
      </c>
      <c r="K135" s="113">
        <f t="shared" si="6"/>
        <v>621984.6</v>
      </c>
    </row>
    <row r="136" spans="1:11">
      <c r="A136" s="111">
        <v>130</v>
      </c>
      <c r="B136" s="137" t="s">
        <v>322</v>
      </c>
      <c r="C136" s="128" t="s">
        <v>324</v>
      </c>
      <c r="D136" s="111" t="s">
        <v>191</v>
      </c>
      <c r="E136" s="144">
        <v>1</v>
      </c>
      <c r="F136" s="113">
        <v>3103724</v>
      </c>
      <c r="G136" s="113">
        <f t="shared" si="7"/>
        <v>3103724</v>
      </c>
      <c r="H136" s="113">
        <v>744894</v>
      </c>
      <c r="I136" s="113">
        <f t="shared" si="5"/>
        <v>2358830</v>
      </c>
      <c r="J136" s="114">
        <v>0.2</v>
      </c>
      <c r="K136" s="113">
        <f t="shared" si="6"/>
        <v>471766</v>
      </c>
    </row>
    <row r="137" spans="1:11">
      <c r="A137" s="111">
        <v>131</v>
      </c>
      <c r="B137" s="137" t="s">
        <v>325</v>
      </c>
      <c r="C137" s="128" t="s">
        <v>326</v>
      </c>
      <c r="D137" s="111" t="s">
        <v>191</v>
      </c>
      <c r="E137" s="144">
        <v>1</v>
      </c>
      <c r="F137" s="113">
        <v>445719</v>
      </c>
      <c r="G137" s="113">
        <f t="shared" si="7"/>
        <v>445719</v>
      </c>
      <c r="H137" s="113">
        <v>101029</v>
      </c>
      <c r="I137" s="113">
        <f t="shared" ref="I137:I200" si="8">G137-H137</f>
        <v>344690</v>
      </c>
      <c r="J137" s="114">
        <v>0.2</v>
      </c>
      <c r="K137" s="113">
        <f t="shared" si="6"/>
        <v>68938</v>
      </c>
    </row>
    <row r="138" spans="1:11">
      <c r="A138" s="111">
        <v>132</v>
      </c>
      <c r="B138" s="137" t="s">
        <v>327</v>
      </c>
      <c r="C138" s="128" t="s">
        <v>328</v>
      </c>
      <c r="D138" s="111" t="s">
        <v>191</v>
      </c>
      <c r="E138" s="144">
        <v>1</v>
      </c>
      <c r="F138" s="113">
        <v>8091474</v>
      </c>
      <c r="G138" s="113">
        <f t="shared" si="7"/>
        <v>8091474</v>
      </c>
      <c r="H138" s="113">
        <v>1834068</v>
      </c>
      <c r="I138" s="113">
        <f t="shared" si="8"/>
        <v>6257406</v>
      </c>
      <c r="J138" s="114">
        <v>0.2</v>
      </c>
      <c r="K138" s="113">
        <f t="shared" ref="K138:K172" si="9">+I138*J138</f>
        <v>1251481.2</v>
      </c>
    </row>
    <row r="139" spans="1:11">
      <c r="A139" s="111">
        <v>133</v>
      </c>
      <c r="B139" s="137" t="s">
        <v>329</v>
      </c>
      <c r="C139" s="128" t="s">
        <v>330</v>
      </c>
      <c r="D139" s="111" t="s">
        <v>191</v>
      </c>
      <c r="E139" s="144">
        <v>1</v>
      </c>
      <c r="F139" s="113">
        <v>617505</v>
      </c>
      <c r="G139" s="113">
        <f t="shared" si="7"/>
        <v>617505</v>
      </c>
      <c r="H139" s="113">
        <v>131735</v>
      </c>
      <c r="I139" s="113">
        <f t="shared" si="8"/>
        <v>485770</v>
      </c>
      <c r="J139" s="114">
        <v>0.2</v>
      </c>
      <c r="K139" s="113">
        <f t="shared" si="9"/>
        <v>97154</v>
      </c>
    </row>
    <row r="140" spans="1:11">
      <c r="A140" s="111">
        <v>134</v>
      </c>
      <c r="B140" s="137" t="s">
        <v>329</v>
      </c>
      <c r="C140" s="128" t="s">
        <v>330</v>
      </c>
      <c r="D140" s="111" t="s">
        <v>191</v>
      </c>
      <c r="E140" s="144">
        <v>1</v>
      </c>
      <c r="F140" s="113">
        <v>279765</v>
      </c>
      <c r="G140" s="113">
        <f t="shared" si="7"/>
        <v>279765</v>
      </c>
      <c r="H140" s="113">
        <v>59683</v>
      </c>
      <c r="I140" s="113">
        <f t="shared" si="8"/>
        <v>220082</v>
      </c>
      <c r="J140" s="114">
        <v>0.2</v>
      </c>
      <c r="K140" s="113">
        <f t="shared" si="9"/>
        <v>44016.4</v>
      </c>
    </row>
    <row r="141" spans="1:11">
      <c r="A141" s="111">
        <v>135</v>
      </c>
      <c r="B141" s="137" t="s">
        <v>331</v>
      </c>
      <c r="C141" s="128" t="s">
        <v>332</v>
      </c>
      <c r="D141" s="111" t="s">
        <v>191</v>
      </c>
      <c r="E141" s="144">
        <v>1</v>
      </c>
      <c r="F141" s="113">
        <v>755522</v>
      </c>
      <c r="G141" s="113">
        <f t="shared" si="7"/>
        <v>755522</v>
      </c>
      <c r="H141" s="113">
        <v>161178</v>
      </c>
      <c r="I141" s="113">
        <f t="shared" si="8"/>
        <v>594344</v>
      </c>
      <c r="J141" s="114">
        <v>0.2</v>
      </c>
      <c r="K141" s="113">
        <f t="shared" si="9"/>
        <v>118868.8</v>
      </c>
    </row>
    <row r="142" spans="1:11">
      <c r="A142" s="111">
        <v>136</v>
      </c>
      <c r="B142" s="137" t="s">
        <v>333</v>
      </c>
      <c r="C142" s="128" t="s">
        <v>332</v>
      </c>
      <c r="D142" s="111" t="s">
        <v>191</v>
      </c>
      <c r="E142" s="144">
        <v>3</v>
      </c>
      <c r="F142" s="113">
        <v>188762</v>
      </c>
      <c r="G142" s="113">
        <f t="shared" si="7"/>
        <v>566286</v>
      </c>
      <c r="H142" s="113">
        <v>120808</v>
      </c>
      <c r="I142" s="113">
        <f t="shared" si="8"/>
        <v>445478</v>
      </c>
      <c r="J142" s="114">
        <v>0.2</v>
      </c>
      <c r="K142" s="113">
        <f t="shared" si="9"/>
        <v>89095.6</v>
      </c>
    </row>
    <row r="143" spans="1:11" ht="15.75" thickBot="1">
      <c r="A143" s="111">
        <v>137</v>
      </c>
      <c r="B143" s="140" t="s">
        <v>334</v>
      </c>
      <c r="C143" s="129" t="s">
        <v>335</v>
      </c>
      <c r="D143" s="159" t="s">
        <v>191</v>
      </c>
      <c r="E143" s="160">
        <v>1</v>
      </c>
      <c r="F143" s="130">
        <v>659730</v>
      </c>
      <c r="G143" s="130">
        <v>659730</v>
      </c>
      <c r="H143" s="130">
        <v>32987</v>
      </c>
      <c r="I143" s="130">
        <f t="shared" si="8"/>
        <v>626743</v>
      </c>
      <c r="J143" s="161">
        <v>0.05</v>
      </c>
      <c r="K143" s="113">
        <f t="shared" si="9"/>
        <v>31337.15</v>
      </c>
    </row>
    <row r="144" spans="1:11">
      <c r="A144" s="111">
        <v>138</v>
      </c>
      <c r="B144" s="141" t="s">
        <v>306</v>
      </c>
      <c r="C144" s="131" t="s">
        <v>336</v>
      </c>
      <c r="D144" s="162" t="s">
        <v>191</v>
      </c>
      <c r="E144" s="163">
        <v>1</v>
      </c>
      <c r="F144" s="132">
        <v>13339200</v>
      </c>
      <c r="G144" s="132">
        <f t="shared" si="7"/>
        <v>13339200</v>
      </c>
      <c r="H144" s="132">
        <v>1333920</v>
      </c>
      <c r="I144" s="132">
        <f t="shared" si="8"/>
        <v>12005280</v>
      </c>
      <c r="J144" s="164">
        <v>0.2</v>
      </c>
      <c r="K144" s="113">
        <f t="shared" si="9"/>
        <v>2401056</v>
      </c>
    </row>
    <row r="145" spans="1:11">
      <c r="A145" s="111">
        <v>139</v>
      </c>
      <c r="B145" s="112" t="s">
        <v>337</v>
      </c>
      <c r="C145" s="133" t="s">
        <v>336</v>
      </c>
      <c r="D145" s="111" t="s">
        <v>191</v>
      </c>
      <c r="E145" s="144">
        <v>1</v>
      </c>
      <c r="F145" s="113">
        <v>694750</v>
      </c>
      <c r="G145" s="113">
        <f t="shared" si="7"/>
        <v>694750</v>
      </c>
      <c r="H145" s="113">
        <v>69475</v>
      </c>
      <c r="I145" s="113">
        <f t="shared" si="8"/>
        <v>625275</v>
      </c>
      <c r="J145" s="114">
        <v>0.2</v>
      </c>
      <c r="K145" s="113">
        <f t="shared" si="9"/>
        <v>125055</v>
      </c>
    </row>
    <row r="146" spans="1:11">
      <c r="A146" s="111">
        <v>140</v>
      </c>
      <c r="B146" s="112" t="s">
        <v>337</v>
      </c>
      <c r="C146" s="133" t="s">
        <v>336</v>
      </c>
      <c r="D146" s="111" t="s">
        <v>191</v>
      </c>
      <c r="E146" s="144">
        <v>1</v>
      </c>
      <c r="F146" s="113">
        <v>1157917</v>
      </c>
      <c r="G146" s="113">
        <f t="shared" si="7"/>
        <v>1157917</v>
      </c>
      <c r="H146" s="113">
        <v>115792</v>
      </c>
      <c r="I146" s="113">
        <f t="shared" si="8"/>
        <v>1042125</v>
      </c>
      <c r="J146" s="114">
        <v>0.2</v>
      </c>
      <c r="K146" s="113">
        <f t="shared" si="9"/>
        <v>208425</v>
      </c>
    </row>
    <row r="147" spans="1:11">
      <c r="A147" s="111">
        <v>141</v>
      </c>
      <c r="B147" s="137" t="s">
        <v>338</v>
      </c>
      <c r="C147" s="128" t="s">
        <v>339</v>
      </c>
      <c r="D147" s="111" t="s">
        <v>191</v>
      </c>
      <c r="E147" s="144">
        <v>1</v>
      </c>
      <c r="F147" s="113">
        <f>+[6]amort.!$F$150</f>
        <v>27833</v>
      </c>
      <c r="G147" s="113">
        <f t="shared" si="7"/>
        <v>27833</v>
      </c>
      <c r="H147" s="113">
        <v>5103</v>
      </c>
      <c r="I147" s="113">
        <f t="shared" si="8"/>
        <v>22730</v>
      </c>
      <c r="J147" s="114">
        <v>0.2</v>
      </c>
      <c r="K147" s="113">
        <f t="shared" si="9"/>
        <v>4546</v>
      </c>
    </row>
    <row r="148" spans="1:11">
      <c r="A148" s="111">
        <v>142</v>
      </c>
      <c r="B148" s="137" t="s">
        <v>340</v>
      </c>
      <c r="C148" s="128" t="s">
        <v>341</v>
      </c>
      <c r="D148" s="111" t="s">
        <v>191</v>
      </c>
      <c r="E148" s="144">
        <v>1</v>
      </c>
      <c r="F148" s="113">
        <f>+[6]amort.!$F$151</f>
        <v>36908</v>
      </c>
      <c r="G148" s="113">
        <f t="shared" si="7"/>
        <v>36908</v>
      </c>
      <c r="H148" s="113">
        <v>8458</v>
      </c>
      <c r="I148" s="113">
        <f t="shared" si="8"/>
        <v>28450</v>
      </c>
      <c r="J148" s="114">
        <v>0.25</v>
      </c>
      <c r="K148" s="113">
        <f t="shared" si="9"/>
        <v>7112.5</v>
      </c>
    </row>
    <row r="149" spans="1:11">
      <c r="A149" s="111">
        <v>143</v>
      </c>
      <c r="B149" s="137" t="s">
        <v>279</v>
      </c>
      <c r="C149" s="128" t="s">
        <v>342</v>
      </c>
      <c r="D149" s="111" t="s">
        <v>191</v>
      </c>
      <c r="E149" s="144">
        <v>1</v>
      </c>
      <c r="F149" s="113">
        <f>+[6]amort.!$F$152</f>
        <v>17375</v>
      </c>
      <c r="G149" s="113">
        <f t="shared" si="7"/>
        <v>17375</v>
      </c>
      <c r="H149" s="113">
        <v>3620</v>
      </c>
      <c r="I149" s="113">
        <f t="shared" si="8"/>
        <v>13755</v>
      </c>
      <c r="J149" s="114">
        <v>0.25</v>
      </c>
      <c r="K149" s="113">
        <f t="shared" si="9"/>
        <v>3438.75</v>
      </c>
    </row>
    <row r="150" spans="1:11">
      <c r="A150" s="111">
        <v>144</v>
      </c>
      <c r="B150" s="137" t="s">
        <v>343</v>
      </c>
      <c r="C150" s="128" t="s">
        <v>344</v>
      </c>
      <c r="D150" s="111" t="s">
        <v>191</v>
      </c>
      <c r="E150" s="144">
        <v>1</v>
      </c>
      <c r="F150" s="113">
        <f>+[6]amort.!$F$153</f>
        <v>259737.1</v>
      </c>
      <c r="G150" s="113">
        <f t="shared" si="7"/>
        <v>259737.1</v>
      </c>
      <c r="H150" s="113">
        <v>43290</v>
      </c>
      <c r="I150" s="113">
        <f t="shared" si="8"/>
        <v>216447.1</v>
      </c>
      <c r="J150" s="114">
        <v>0.2</v>
      </c>
      <c r="K150" s="113">
        <f t="shared" si="9"/>
        <v>43289.420000000006</v>
      </c>
    </row>
    <row r="151" spans="1:11">
      <c r="A151" s="111">
        <v>145</v>
      </c>
      <c r="B151" s="142" t="s">
        <v>345</v>
      </c>
      <c r="C151" s="128" t="s">
        <v>344</v>
      </c>
      <c r="D151" s="111" t="s">
        <v>191</v>
      </c>
      <c r="E151" s="144">
        <v>1</v>
      </c>
      <c r="F151" s="151">
        <f>13480*140.02</f>
        <v>1887469.6</v>
      </c>
      <c r="G151" s="113">
        <f t="shared" si="7"/>
        <v>1887469.6</v>
      </c>
      <c r="H151" s="113">
        <v>314578</v>
      </c>
      <c r="I151" s="113">
        <f t="shared" si="8"/>
        <v>1572891.6</v>
      </c>
      <c r="J151" s="114">
        <v>0.2</v>
      </c>
      <c r="K151" s="113">
        <f t="shared" si="9"/>
        <v>314578.32000000007</v>
      </c>
    </row>
    <row r="152" spans="1:11">
      <c r="A152" s="111">
        <v>146</v>
      </c>
      <c r="B152" s="137" t="s">
        <v>346</v>
      </c>
      <c r="C152" s="128" t="s">
        <v>347</v>
      </c>
      <c r="D152" s="111" t="s">
        <v>191</v>
      </c>
      <c r="E152" s="144">
        <v>5</v>
      </c>
      <c r="F152" s="113">
        <v>87240</v>
      </c>
      <c r="G152" s="113">
        <v>87240</v>
      </c>
      <c r="H152" s="113">
        <v>14540</v>
      </c>
      <c r="I152" s="113">
        <f t="shared" si="8"/>
        <v>72700</v>
      </c>
      <c r="J152" s="114">
        <v>0.2</v>
      </c>
      <c r="K152" s="113">
        <f t="shared" si="9"/>
        <v>14540</v>
      </c>
    </row>
    <row r="153" spans="1:11">
      <c r="A153" s="111">
        <v>147</v>
      </c>
      <c r="B153" s="137" t="s">
        <v>346</v>
      </c>
      <c r="C153" s="128" t="s">
        <v>348</v>
      </c>
      <c r="D153" s="111" t="s">
        <v>191</v>
      </c>
      <c r="E153" s="144"/>
      <c r="F153" s="113">
        <f>496801+46270</f>
        <v>543071</v>
      </c>
      <c r="G153" s="113">
        <f>496801+46270</f>
        <v>543071</v>
      </c>
      <c r="H153" s="113">
        <v>54307</v>
      </c>
      <c r="I153" s="113">
        <f t="shared" si="8"/>
        <v>488764</v>
      </c>
      <c r="J153" s="114">
        <v>0.2</v>
      </c>
      <c r="K153" s="113">
        <f t="shared" si="9"/>
        <v>97752.8</v>
      </c>
    </row>
    <row r="154" spans="1:11">
      <c r="A154" s="111">
        <v>148</v>
      </c>
      <c r="B154" s="112" t="s">
        <v>349</v>
      </c>
      <c r="C154" s="128" t="s">
        <v>350</v>
      </c>
      <c r="D154" s="111" t="s">
        <v>191</v>
      </c>
      <c r="E154" s="144">
        <v>1</v>
      </c>
      <c r="F154" s="134">
        <v>1181330</v>
      </c>
      <c r="G154" s="134">
        <v>1181330</v>
      </c>
      <c r="H154" s="113">
        <v>118133</v>
      </c>
      <c r="I154" s="113">
        <f t="shared" si="8"/>
        <v>1063197</v>
      </c>
      <c r="J154" s="114">
        <v>0.2</v>
      </c>
      <c r="K154" s="113">
        <f t="shared" si="9"/>
        <v>212639.40000000002</v>
      </c>
    </row>
    <row r="155" spans="1:11">
      <c r="A155" s="111">
        <v>149</v>
      </c>
      <c r="B155" s="112" t="s">
        <v>349</v>
      </c>
      <c r="C155" s="128" t="s">
        <v>350</v>
      </c>
      <c r="D155" s="111" t="s">
        <v>191</v>
      </c>
      <c r="E155" s="144">
        <v>1</v>
      </c>
      <c r="F155" s="134">
        <v>1216075</v>
      </c>
      <c r="G155" s="134">
        <v>1216075</v>
      </c>
      <c r="H155" s="113">
        <v>121608</v>
      </c>
      <c r="I155" s="113">
        <f t="shared" si="8"/>
        <v>1094467</v>
      </c>
      <c r="J155" s="114">
        <v>0.2</v>
      </c>
      <c r="K155" s="113">
        <f t="shared" si="9"/>
        <v>218893.40000000002</v>
      </c>
    </row>
    <row r="156" spans="1:11">
      <c r="A156" s="111">
        <v>150</v>
      </c>
      <c r="B156" s="142" t="s">
        <v>351</v>
      </c>
      <c r="C156" s="128" t="s">
        <v>352</v>
      </c>
      <c r="D156" s="111" t="s">
        <v>191</v>
      </c>
      <c r="E156" s="144">
        <v>1</v>
      </c>
      <c r="F156" s="113">
        <v>44160</v>
      </c>
      <c r="G156" s="113">
        <f t="shared" ref="G156:G172" si="10">+F156</f>
        <v>44160</v>
      </c>
      <c r="H156" s="113">
        <v>3680</v>
      </c>
      <c r="I156" s="113">
        <f t="shared" si="8"/>
        <v>40480</v>
      </c>
      <c r="J156" s="114">
        <v>0.25</v>
      </c>
      <c r="K156" s="113">
        <f t="shared" si="9"/>
        <v>10120</v>
      </c>
    </row>
    <row r="157" spans="1:11">
      <c r="A157" s="111">
        <v>151</v>
      </c>
      <c r="B157" s="137" t="s">
        <v>283</v>
      </c>
      <c r="C157" s="128" t="s">
        <v>353</v>
      </c>
      <c r="D157" s="111" t="s">
        <v>191</v>
      </c>
      <c r="E157" s="144">
        <v>5</v>
      </c>
      <c r="F157" s="113">
        <f>+[6]amort.!$F$160</f>
        <v>289475</v>
      </c>
      <c r="G157" s="113">
        <f t="shared" si="10"/>
        <v>289475</v>
      </c>
      <c r="H157" s="113">
        <v>19298</v>
      </c>
      <c r="I157" s="113">
        <f t="shared" si="8"/>
        <v>270177</v>
      </c>
      <c r="J157" s="114">
        <v>0.2</v>
      </c>
      <c r="K157" s="113">
        <f t="shared" si="9"/>
        <v>54035.4</v>
      </c>
    </row>
    <row r="158" spans="1:11">
      <c r="A158" s="111">
        <v>152</v>
      </c>
      <c r="B158" s="142" t="s">
        <v>354</v>
      </c>
      <c r="C158" s="128" t="s">
        <v>355</v>
      </c>
      <c r="D158" s="111" t="s">
        <v>191</v>
      </c>
      <c r="E158" s="144">
        <v>1</v>
      </c>
      <c r="F158" s="151">
        <v>398228</v>
      </c>
      <c r="G158" s="113">
        <f t="shared" si="10"/>
        <v>398228</v>
      </c>
      <c r="H158" s="113">
        <v>26549</v>
      </c>
      <c r="I158" s="113">
        <f t="shared" si="8"/>
        <v>371679</v>
      </c>
      <c r="J158" s="114">
        <v>0.2</v>
      </c>
      <c r="K158" s="113">
        <f t="shared" si="9"/>
        <v>74335.8</v>
      </c>
    </row>
    <row r="159" spans="1:11">
      <c r="A159" s="111">
        <v>153</v>
      </c>
      <c r="B159" s="137" t="s">
        <v>356</v>
      </c>
      <c r="C159" s="128" t="s">
        <v>357</v>
      </c>
      <c r="D159" s="111" t="s">
        <v>191</v>
      </c>
      <c r="E159" s="144">
        <v>1</v>
      </c>
      <c r="F159" s="113">
        <v>47500</v>
      </c>
      <c r="G159" s="113">
        <f t="shared" si="10"/>
        <v>47500</v>
      </c>
      <c r="H159" s="113">
        <v>2969</v>
      </c>
      <c r="I159" s="113">
        <f t="shared" si="8"/>
        <v>44531</v>
      </c>
      <c r="J159" s="114">
        <v>0.25</v>
      </c>
      <c r="K159" s="113">
        <f t="shared" si="9"/>
        <v>11132.75</v>
      </c>
    </row>
    <row r="160" spans="1:11">
      <c r="A160" s="111">
        <v>154</v>
      </c>
      <c r="B160" s="137" t="s">
        <v>358</v>
      </c>
      <c r="C160" s="128" t="s">
        <v>357</v>
      </c>
      <c r="D160" s="111" t="s">
        <v>191</v>
      </c>
      <c r="E160" s="144">
        <v>1</v>
      </c>
      <c r="F160" s="113">
        <v>54000</v>
      </c>
      <c r="G160" s="113">
        <f t="shared" si="10"/>
        <v>54000</v>
      </c>
      <c r="H160" s="113">
        <v>3375</v>
      </c>
      <c r="I160" s="113">
        <f t="shared" si="8"/>
        <v>50625</v>
      </c>
      <c r="J160" s="114">
        <v>0.25</v>
      </c>
      <c r="K160" s="113">
        <f t="shared" si="9"/>
        <v>12656.25</v>
      </c>
    </row>
    <row r="161" spans="1:11">
      <c r="A161" s="111">
        <v>155</v>
      </c>
      <c r="B161" s="137" t="s">
        <v>346</v>
      </c>
      <c r="C161" s="128" t="s">
        <v>359</v>
      </c>
      <c r="D161" s="111" t="s">
        <v>191</v>
      </c>
      <c r="E161" s="144">
        <v>18</v>
      </c>
      <c r="F161" s="113">
        <f>970286+539</f>
        <v>970825</v>
      </c>
      <c r="G161" s="113">
        <f t="shared" si="10"/>
        <v>970825</v>
      </c>
      <c r="H161" s="113">
        <v>48541</v>
      </c>
      <c r="I161" s="113">
        <f t="shared" si="8"/>
        <v>922284</v>
      </c>
      <c r="J161" s="114">
        <v>0.2</v>
      </c>
      <c r="K161" s="113">
        <f t="shared" si="9"/>
        <v>184456.80000000002</v>
      </c>
    </row>
    <row r="162" spans="1:11">
      <c r="A162" s="111">
        <v>156</v>
      </c>
      <c r="B162" s="137" t="s">
        <v>340</v>
      </c>
      <c r="C162" s="128" t="s">
        <v>360</v>
      </c>
      <c r="D162" s="111" t="s">
        <v>191</v>
      </c>
      <c r="E162" s="144"/>
      <c r="F162" s="113">
        <v>17500</v>
      </c>
      <c r="G162" s="113">
        <f t="shared" si="10"/>
        <v>17500</v>
      </c>
      <c r="H162" s="113">
        <v>729</v>
      </c>
      <c r="I162" s="113">
        <f t="shared" si="8"/>
        <v>16771</v>
      </c>
      <c r="J162" s="114">
        <v>0.25</v>
      </c>
      <c r="K162" s="113">
        <f t="shared" si="9"/>
        <v>4192.75</v>
      </c>
    </row>
    <row r="163" spans="1:11">
      <c r="A163" s="111">
        <v>157</v>
      </c>
      <c r="B163" s="137" t="s">
        <v>346</v>
      </c>
      <c r="C163" s="128" t="s">
        <v>361</v>
      </c>
      <c r="D163" s="111" t="s">
        <v>191</v>
      </c>
      <c r="E163" s="144"/>
      <c r="F163" s="113">
        <v>21972</v>
      </c>
      <c r="G163" s="113">
        <f t="shared" si="10"/>
        <v>21972</v>
      </c>
      <c r="H163" s="113">
        <v>732</v>
      </c>
      <c r="I163" s="113">
        <f t="shared" si="8"/>
        <v>21240</v>
      </c>
      <c r="J163" s="114">
        <v>0.2</v>
      </c>
      <c r="K163" s="113">
        <f t="shared" si="9"/>
        <v>4248</v>
      </c>
    </row>
    <row r="164" spans="1:11">
      <c r="A164" s="111">
        <v>158</v>
      </c>
      <c r="B164" s="137" t="s">
        <v>356</v>
      </c>
      <c r="C164" s="128" t="s">
        <v>362</v>
      </c>
      <c r="D164" s="111" t="s">
        <v>191</v>
      </c>
      <c r="E164" s="144">
        <v>1</v>
      </c>
      <c r="F164" s="113">
        <v>102435</v>
      </c>
      <c r="G164" s="113">
        <f t="shared" si="10"/>
        <v>102435</v>
      </c>
      <c r="H164" s="113">
        <v>4268</v>
      </c>
      <c r="I164" s="113">
        <f t="shared" si="8"/>
        <v>98167</v>
      </c>
      <c r="J164" s="114">
        <v>0.25</v>
      </c>
      <c r="K164" s="113">
        <f t="shared" si="9"/>
        <v>24541.75</v>
      </c>
    </row>
    <row r="165" spans="1:11" ht="15.75">
      <c r="A165" s="111">
        <v>159</v>
      </c>
      <c r="B165" s="137" t="s">
        <v>363</v>
      </c>
      <c r="C165" s="128" t="s">
        <v>364</v>
      </c>
      <c r="D165" s="111" t="s">
        <v>191</v>
      </c>
      <c r="E165" s="144">
        <v>1</v>
      </c>
      <c r="F165" s="113">
        <v>350000</v>
      </c>
      <c r="G165" s="135">
        <f t="shared" si="10"/>
        <v>350000</v>
      </c>
      <c r="H165" s="113">
        <v>11667</v>
      </c>
      <c r="I165" s="113">
        <f t="shared" si="8"/>
        <v>338333</v>
      </c>
      <c r="J165" s="114">
        <v>0.2</v>
      </c>
      <c r="K165" s="113">
        <f t="shared" si="9"/>
        <v>67666.600000000006</v>
      </c>
    </row>
    <row r="166" spans="1:11" ht="15.75">
      <c r="A166" s="111">
        <v>160</v>
      </c>
      <c r="B166" s="137" t="s">
        <v>365</v>
      </c>
      <c r="C166" s="128" t="s">
        <v>366</v>
      </c>
      <c r="D166" s="111" t="s">
        <v>191</v>
      </c>
      <c r="E166" s="144">
        <v>1</v>
      </c>
      <c r="F166" s="113">
        <v>40000</v>
      </c>
      <c r="G166" s="135">
        <f t="shared" si="10"/>
        <v>40000</v>
      </c>
      <c r="H166" s="113">
        <v>0</v>
      </c>
      <c r="I166" s="113">
        <f t="shared" si="8"/>
        <v>40000</v>
      </c>
      <c r="J166" s="114">
        <v>0.2</v>
      </c>
      <c r="K166" s="113">
        <f t="shared" si="9"/>
        <v>8000</v>
      </c>
    </row>
    <row r="167" spans="1:11" ht="15.75">
      <c r="A167" s="111">
        <v>161</v>
      </c>
      <c r="B167" s="137" t="s">
        <v>363</v>
      </c>
      <c r="C167" s="128" t="s">
        <v>367</v>
      </c>
      <c r="D167" s="111" t="s">
        <v>191</v>
      </c>
      <c r="E167" s="144">
        <v>1</v>
      </c>
      <c r="F167" s="113">
        <v>723058</v>
      </c>
      <c r="G167" s="135">
        <f t="shared" si="10"/>
        <v>723058</v>
      </c>
      <c r="H167" s="113">
        <v>0</v>
      </c>
      <c r="I167" s="113">
        <f t="shared" si="8"/>
        <v>723058</v>
      </c>
      <c r="J167" s="114">
        <v>0.2</v>
      </c>
      <c r="K167" s="113">
        <f t="shared" si="9"/>
        <v>144611.6</v>
      </c>
    </row>
    <row r="168" spans="1:11">
      <c r="A168" s="111">
        <v>162</v>
      </c>
      <c r="B168" s="165" t="s">
        <v>368</v>
      </c>
      <c r="C168" s="128" t="s">
        <v>369</v>
      </c>
      <c r="D168" s="111" t="s">
        <v>191</v>
      </c>
      <c r="E168" s="144">
        <v>1</v>
      </c>
      <c r="F168" s="113">
        <v>7117181</v>
      </c>
      <c r="G168" s="113">
        <f t="shared" si="10"/>
        <v>7117181</v>
      </c>
      <c r="H168" s="113">
        <v>830338</v>
      </c>
      <c r="I168" s="113">
        <f t="shared" si="8"/>
        <v>6286843</v>
      </c>
      <c r="J168" s="114">
        <v>0.2</v>
      </c>
      <c r="K168" s="113">
        <f t="shared" si="9"/>
        <v>1257368.6000000001</v>
      </c>
    </row>
    <row r="169" spans="1:11">
      <c r="A169" s="111">
        <v>163</v>
      </c>
      <c r="B169" s="136" t="s">
        <v>370</v>
      </c>
      <c r="C169" s="128" t="s">
        <v>369</v>
      </c>
      <c r="D169" s="111" t="s">
        <v>191</v>
      </c>
      <c r="E169" s="144">
        <v>1</v>
      </c>
      <c r="F169" s="113">
        <v>1679042</v>
      </c>
      <c r="G169" s="113">
        <f t="shared" si="10"/>
        <v>1679042</v>
      </c>
      <c r="H169" s="113">
        <v>195888</v>
      </c>
      <c r="I169" s="113">
        <f t="shared" si="8"/>
        <v>1483154</v>
      </c>
      <c r="J169" s="114">
        <v>0.2</v>
      </c>
      <c r="K169" s="113">
        <f t="shared" si="9"/>
        <v>296630.8</v>
      </c>
    </row>
    <row r="170" spans="1:11">
      <c r="A170" s="111">
        <v>164</v>
      </c>
      <c r="B170" s="136" t="s">
        <v>371</v>
      </c>
      <c r="C170" s="128" t="s">
        <v>372</v>
      </c>
      <c r="D170" s="111" t="s">
        <v>191</v>
      </c>
      <c r="E170" s="144">
        <v>1</v>
      </c>
      <c r="F170" s="113">
        <v>1599529</v>
      </c>
      <c r="G170" s="113">
        <f t="shared" si="10"/>
        <v>1599529</v>
      </c>
      <c r="H170" s="113">
        <v>159953</v>
      </c>
      <c r="I170" s="113">
        <f t="shared" si="8"/>
        <v>1439576</v>
      </c>
      <c r="J170" s="114">
        <v>0.2</v>
      </c>
      <c r="K170" s="113">
        <f t="shared" si="9"/>
        <v>287915.2</v>
      </c>
    </row>
    <row r="171" spans="1:11">
      <c r="A171" s="111">
        <v>165</v>
      </c>
      <c r="B171" s="136" t="s">
        <v>373</v>
      </c>
      <c r="C171" s="128" t="s">
        <v>374</v>
      </c>
      <c r="D171" s="111" t="s">
        <v>191</v>
      </c>
      <c r="E171" s="144">
        <v>1</v>
      </c>
      <c r="F171" s="113">
        <v>3887788</v>
      </c>
      <c r="G171" s="113">
        <f t="shared" si="10"/>
        <v>3887788</v>
      </c>
      <c r="H171" s="113">
        <v>323982</v>
      </c>
      <c r="I171" s="113">
        <f t="shared" si="8"/>
        <v>3563806</v>
      </c>
      <c r="J171" s="114">
        <v>0.2</v>
      </c>
      <c r="K171" s="113">
        <f t="shared" si="9"/>
        <v>712761.20000000007</v>
      </c>
    </row>
    <row r="172" spans="1:11">
      <c r="A172" s="111">
        <v>166</v>
      </c>
      <c r="B172" s="136" t="s">
        <v>375</v>
      </c>
      <c r="C172" s="128" t="s">
        <v>376</v>
      </c>
      <c r="D172" s="111" t="s">
        <v>191</v>
      </c>
      <c r="E172" s="144">
        <v>1</v>
      </c>
      <c r="F172" s="113">
        <v>1456568</v>
      </c>
      <c r="G172" s="113">
        <f t="shared" si="10"/>
        <v>1456568</v>
      </c>
      <c r="H172" s="113">
        <v>24276</v>
      </c>
      <c r="I172" s="113">
        <f t="shared" si="8"/>
        <v>1432292</v>
      </c>
      <c r="J172" s="114">
        <v>0.2</v>
      </c>
      <c r="K172" s="113">
        <f t="shared" si="9"/>
        <v>286458.40000000002</v>
      </c>
    </row>
    <row r="173" spans="1:11">
      <c r="A173" s="111">
        <v>167</v>
      </c>
      <c r="B173" s="137" t="s">
        <v>377</v>
      </c>
      <c r="C173" s="128" t="s">
        <v>344</v>
      </c>
      <c r="D173" s="111" t="s">
        <v>191</v>
      </c>
      <c r="E173" s="144">
        <v>1</v>
      </c>
      <c r="F173" s="113">
        <v>1225000</v>
      </c>
      <c r="G173" s="113">
        <f>+F173</f>
        <v>1225000</v>
      </c>
      <c r="H173" s="113">
        <v>204164</v>
      </c>
      <c r="I173" s="113">
        <f t="shared" si="8"/>
        <v>1020836</v>
      </c>
      <c r="J173" s="114">
        <v>0.2</v>
      </c>
      <c r="K173" s="113">
        <f>+I173*J173</f>
        <v>204167.2</v>
      </c>
    </row>
    <row r="174" spans="1:11" ht="15.75">
      <c r="A174" s="111">
        <v>168</v>
      </c>
      <c r="B174" s="138" t="s">
        <v>378</v>
      </c>
      <c r="C174" s="128" t="s">
        <v>379</v>
      </c>
      <c r="D174" s="111" t="s">
        <v>191</v>
      </c>
      <c r="E174" s="144">
        <v>1</v>
      </c>
      <c r="F174" s="113">
        <f>+[1]imp.13!O10</f>
        <v>3985558</v>
      </c>
      <c r="G174" s="113">
        <f>+F174</f>
        <v>3985558</v>
      </c>
      <c r="H174" s="113">
        <v>0</v>
      </c>
      <c r="I174" s="113">
        <f t="shared" si="8"/>
        <v>3985558</v>
      </c>
      <c r="J174" s="114">
        <v>0.2</v>
      </c>
      <c r="K174" s="113">
        <f>(+G174*J174)/12*11</f>
        <v>730685.63333333342</v>
      </c>
    </row>
    <row r="175" spans="1:11" ht="15.75">
      <c r="A175" s="111">
        <v>169</v>
      </c>
      <c r="B175" s="138" t="s">
        <v>380</v>
      </c>
      <c r="C175" s="128" t="s">
        <v>381</v>
      </c>
      <c r="D175" s="111" t="s">
        <v>191</v>
      </c>
      <c r="E175" s="144">
        <v>1</v>
      </c>
      <c r="F175" s="113">
        <f>+[1]imp.13!O67</f>
        <v>3512648.4999999995</v>
      </c>
      <c r="G175" s="113">
        <f>+F175</f>
        <v>3512648.4999999995</v>
      </c>
      <c r="H175" s="113">
        <v>0</v>
      </c>
      <c r="I175" s="113">
        <f t="shared" si="8"/>
        <v>3512648.4999999995</v>
      </c>
      <c r="J175" s="114">
        <v>0.2</v>
      </c>
      <c r="K175" s="113">
        <f>(+G175*J175)/12*6</f>
        <v>351264.85</v>
      </c>
    </row>
    <row r="176" spans="1:11" ht="15.75">
      <c r="A176" s="111">
        <v>170</v>
      </c>
      <c r="B176" s="138" t="s">
        <v>382</v>
      </c>
      <c r="C176" s="128" t="s">
        <v>383</v>
      </c>
      <c r="D176" s="111" t="s">
        <v>191</v>
      </c>
      <c r="E176" s="144">
        <v>1</v>
      </c>
      <c r="F176" s="113">
        <f>+[1]imp.13!O77</f>
        <v>566237.33799999999</v>
      </c>
      <c r="G176" s="113">
        <f>+F176</f>
        <v>566237.33799999999</v>
      </c>
      <c r="H176" s="113">
        <v>0</v>
      </c>
      <c r="I176" s="113">
        <f t="shared" si="8"/>
        <v>566237.33799999999</v>
      </c>
      <c r="J176" s="114">
        <v>0.2</v>
      </c>
      <c r="K176" s="113">
        <f>(+G176*J176)/12*4</f>
        <v>37749.155866666668</v>
      </c>
    </row>
    <row r="177" spans="1:11" ht="15.75">
      <c r="A177" s="111">
        <v>171</v>
      </c>
      <c r="B177" s="138" t="s">
        <v>384</v>
      </c>
      <c r="C177" s="128" t="s">
        <v>385</v>
      </c>
      <c r="D177" s="111" t="s">
        <v>191</v>
      </c>
      <c r="E177" s="144">
        <v>1</v>
      </c>
      <c r="F177" s="113">
        <f>+[1]imp.13!O86</f>
        <v>849983</v>
      </c>
      <c r="G177" s="113">
        <f t="shared" ref="G177:G202" si="11">+F177</f>
        <v>849983</v>
      </c>
      <c r="H177" s="113">
        <v>0</v>
      </c>
      <c r="I177" s="113">
        <f t="shared" si="8"/>
        <v>849983</v>
      </c>
      <c r="J177" s="114">
        <v>0.2</v>
      </c>
      <c r="K177" s="113">
        <f>(+G177*J177)/12*6</f>
        <v>84998.3</v>
      </c>
    </row>
    <row r="178" spans="1:11" ht="15.75">
      <c r="A178" s="111">
        <v>172</v>
      </c>
      <c r="B178" s="138" t="s">
        <v>386</v>
      </c>
      <c r="C178" s="128" t="s">
        <v>387</v>
      </c>
      <c r="D178" s="111" t="s">
        <v>191</v>
      </c>
      <c r="E178" s="144">
        <v>1</v>
      </c>
      <c r="F178" s="113">
        <f>+[1]imp.13!O87</f>
        <v>2924914</v>
      </c>
      <c r="G178" s="113">
        <f t="shared" si="11"/>
        <v>2924914</v>
      </c>
      <c r="H178" s="113">
        <v>0</v>
      </c>
      <c r="I178" s="113">
        <f t="shared" si="8"/>
        <v>2924914</v>
      </c>
      <c r="J178" s="114">
        <v>0.2</v>
      </c>
      <c r="K178" s="113">
        <f>(+G178*J178)/12*6</f>
        <v>292491.40000000002</v>
      </c>
    </row>
    <row r="179" spans="1:11" ht="15.75">
      <c r="A179" s="111">
        <v>173</v>
      </c>
      <c r="B179" s="138" t="s">
        <v>388</v>
      </c>
      <c r="C179" s="128" t="s">
        <v>389</v>
      </c>
      <c r="D179" s="111" t="s">
        <v>191</v>
      </c>
      <c r="E179" s="144">
        <v>1</v>
      </c>
      <c r="F179" s="113">
        <f>+[1]imp.13!O114</f>
        <v>3702464.9999999995</v>
      </c>
      <c r="G179" s="113">
        <f t="shared" si="11"/>
        <v>3702464.9999999995</v>
      </c>
      <c r="H179" s="113">
        <v>0</v>
      </c>
      <c r="I179" s="113">
        <f t="shared" si="8"/>
        <v>3702464.9999999995</v>
      </c>
      <c r="J179" s="114">
        <v>0.2</v>
      </c>
      <c r="K179" s="113">
        <f>(+G179*J179)/12*4</f>
        <v>246831</v>
      </c>
    </row>
    <row r="180" spans="1:11" ht="15.75">
      <c r="A180" s="111">
        <v>174</v>
      </c>
      <c r="B180" s="138" t="s">
        <v>390</v>
      </c>
      <c r="C180" s="128" t="s">
        <v>391</v>
      </c>
      <c r="D180" s="111" t="s">
        <v>191</v>
      </c>
      <c r="E180" s="144">
        <v>1</v>
      </c>
      <c r="F180" s="113">
        <f>+[1]imp.13!O118</f>
        <v>3405286.9999999995</v>
      </c>
      <c r="G180" s="113">
        <f t="shared" si="11"/>
        <v>3405286.9999999995</v>
      </c>
      <c r="H180" s="113">
        <v>0</v>
      </c>
      <c r="I180" s="113">
        <f t="shared" si="8"/>
        <v>3405286.9999999995</v>
      </c>
      <c r="J180" s="114">
        <v>0.2</v>
      </c>
      <c r="K180" s="113">
        <f>(+G180*J180)/12*2</f>
        <v>113509.56666666665</v>
      </c>
    </row>
    <row r="181" spans="1:11" ht="15.75">
      <c r="A181" s="111">
        <v>175</v>
      </c>
      <c r="B181" s="138" t="s">
        <v>392</v>
      </c>
      <c r="C181" s="128" t="s">
        <v>391</v>
      </c>
      <c r="D181" s="111" t="s">
        <v>191</v>
      </c>
      <c r="E181" s="144">
        <v>1</v>
      </c>
      <c r="F181" s="113">
        <f>+[1]imp.13!O119</f>
        <v>13235102.999999998</v>
      </c>
      <c r="G181" s="113">
        <f t="shared" si="11"/>
        <v>13235102.999999998</v>
      </c>
      <c r="H181" s="113">
        <v>0</v>
      </c>
      <c r="I181" s="113">
        <f t="shared" si="8"/>
        <v>13235102.999999998</v>
      </c>
      <c r="J181" s="114">
        <v>0.2</v>
      </c>
      <c r="K181" s="113">
        <f>+(G181*J181)/12*2</f>
        <v>441170.09999999992</v>
      </c>
    </row>
    <row r="182" spans="1:11" ht="15.75">
      <c r="A182" s="111">
        <v>176</v>
      </c>
      <c r="B182" s="138" t="s">
        <v>393</v>
      </c>
      <c r="C182" s="128" t="s">
        <v>394</v>
      </c>
      <c r="D182" s="111" t="s">
        <v>191</v>
      </c>
      <c r="E182" s="144">
        <v>1</v>
      </c>
      <c r="F182" s="113">
        <f>+[1]imp.13!O126</f>
        <v>3797206.2369999997</v>
      </c>
      <c r="G182" s="113">
        <f t="shared" si="11"/>
        <v>3797206.2369999997</v>
      </c>
      <c r="H182" s="113">
        <v>0</v>
      </c>
      <c r="I182" s="113">
        <f t="shared" si="8"/>
        <v>3797206.2369999997</v>
      </c>
      <c r="J182" s="114">
        <v>0.2</v>
      </c>
      <c r="K182" s="113">
        <f>+(G182*J182)/12*2</f>
        <v>126573.54123333334</v>
      </c>
    </row>
    <row r="183" spans="1:11" ht="15.75">
      <c r="A183" s="111">
        <v>177</v>
      </c>
      <c r="B183" s="138" t="s">
        <v>395</v>
      </c>
      <c r="C183" s="128" t="s">
        <v>396</v>
      </c>
      <c r="D183" s="111" t="s">
        <v>191</v>
      </c>
      <c r="E183" s="144">
        <v>1</v>
      </c>
      <c r="F183" s="113">
        <f>+[1]imp.13!O140</f>
        <v>2004984.2</v>
      </c>
      <c r="G183" s="113">
        <f t="shared" si="11"/>
        <v>2004984.2</v>
      </c>
      <c r="H183" s="113">
        <v>0</v>
      </c>
      <c r="I183" s="113">
        <f t="shared" si="8"/>
        <v>2004984.2</v>
      </c>
      <c r="J183" s="114">
        <v>0.2</v>
      </c>
      <c r="K183" s="113">
        <f>(+G183*J183)/12*1</f>
        <v>33416.403333333335</v>
      </c>
    </row>
    <row r="184" spans="1:11" ht="15.75">
      <c r="A184" s="111">
        <v>178</v>
      </c>
      <c r="B184" s="138" t="s">
        <v>397</v>
      </c>
      <c r="C184" s="128" t="s">
        <v>398</v>
      </c>
      <c r="D184" s="111" t="s">
        <v>191</v>
      </c>
      <c r="E184" s="144">
        <v>1</v>
      </c>
      <c r="F184" s="113">
        <f>+[1]imp.13!O143</f>
        <v>1334613.1000000001</v>
      </c>
      <c r="G184" s="113">
        <f t="shared" si="11"/>
        <v>1334613.1000000001</v>
      </c>
      <c r="H184" s="113">
        <v>0</v>
      </c>
      <c r="I184" s="113">
        <f t="shared" si="8"/>
        <v>1334613.1000000001</v>
      </c>
      <c r="J184" s="114">
        <v>0.2</v>
      </c>
      <c r="K184" s="113">
        <f>(+G184*J184)/12*1</f>
        <v>22243.55166666667</v>
      </c>
    </row>
    <row r="185" spans="1:11" ht="15.75">
      <c r="A185" s="111">
        <v>179</v>
      </c>
      <c r="B185" s="138" t="s">
        <v>399</v>
      </c>
      <c r="C185" s="128" t="s">
        <v>400</v>
      </c>
      <c r="D185" s="111" t="s">
        <v>191</v>
      </c>
      <c r="E185" s="144">
        <v>1</v>
      </c>
      <c r="F185" s="113">
        <f>+[1]imp.13!O152</f>
        <v>2673272.2834999999</v>
      </c>
      <c r="G185" s="113">
        <f t="shared" si="11"/>
        <v>2673272.2834999999</v>
      </c>
      <c r="H185" s="113"/>
      <c r="I185" s="113">
        <f t="shared" si="8"/>
        <v>2673272.2834999999</v>
      </c>
      <c r="J185" s="114">
        <v>0.2</v>
      </c>
      <c r="K185" s="113">
        <f>(+G185*J185)/12*1</f>
        <v>44554.538058333332</v>
      </c>
    </row>
    <row r="186" spans="1:11" ht="15.75">
      <c r="A186" s="111">
        <v>180</v>
      </c>
      <c r="B186" s="138" t="s">
        <v>401</v>
      </c>
      <c r="C186" s="128" t="s">
        <v>402</v>
      </c>
      <c r="D186" s="111" t="s">
        <v>191</v>
      </c>
      <c r="E186" s="144">
        <v>1</v>
      </c>
      <c r="F186" s="113">
        <f>+[1]imp.13!O162</f>
        <v>799419</v>
      </c>
      <c r="G186" s="113">
        <f t="shared" si="11"/>
        <v>799419</v>
      </c>
      <c r="H186" s="113"/>
      <c r="I186" s="113">
        <f t="shared" si="8"/>
        <v>799419</v>
      </c>
      <c r="J186" s="114">
        <v>0.2</v>
      </c>
      <c r="K186" s="113">
        <f>(+G186*J186)/12*0</f>
        <v>0</v>
      </c>
    </row>
    <row r="187" spans="1:11" ht="15.75">
      <c r="A187" s="111">
        <v>181</v>
      </c>
      <c r="B187" s="138" t="s">
        <v>403</v>
      </c>
      <c r="C187" s="128" t="s">
        <v>391</v>
      </c>
      <c r="D187" s="111" t="s">
        <v>191</v>
      </c>
      <c r="E187" s="144">
        <v>1</v>
      </c>
      <c r="F187" s="113">
        <v>294406</v>
      </c>
      <c r="G187" s="113">
        <f t="shared" si="11"/>
        <v>294406</v>
      </c>
      <c r="H187" s="113"/>
      <c r="I187" s="113">
        <f t="shared" si="8"/>
        <v>294406</v>
      </c>
      <c r="J187" s="114">
        <v>0.2</v>
      </c>
      <c r="K187" s="113">
        <f>(+G187*J187)/12*2</f>
        <v>9813.5333333333347</v>
      </c>
    </row>
    <row r="188" spans="1:11" ht="15.75">
      <c r="A188" s="111">
        <v>182</v>
      </c>
      <c r="B188" s="138" t="s">
        <v>404</v>
      </c>
      <c r="C188" s="128" t="s">
        <v>391</v>
      </c>
      <c r="D188" s="111" t="s">
        <v>191</v>
      </c>
      <c r="E188" s="144">
        <v>1</v>
      </c>
      <c r="F188" s="113">
        <v>292692</v>
      </c>
      <c r="G188" s="113">
        <f t="shared" si="11"/>
        <v>292692</v>
      </c>
      <c r="H188" s="113"/>
      <c r="I188" s="113">
        <f t="shared" si="8"/>
        <v>292692</v>
      </c>
      <c r="J188" s="114">
        <v>0.2</v>
      </c>
      <c r="K188" s="113">
        <f>(+G188*J188)/12*2</f>
        <v>9756.4</v>
      </c>
    </row>
    <row r="189" spans="1:11" ht="15.75">
      <c r="A189" s="111">
        <v>183</v>
      </c>
      <c r="B189" s="138" t="s">
        <v>356</v>
      </c>
      <c r="C189" s="128" t="s">
        <v>405</v>
      </c>
      <c r="D189" s="111" t="s">
        <v>191</v>
      </c>
      <c r="E189" s="144">
        <v>1</v>
      </c>
      <c r="F189" s="113">
        <v>49917</v>
      </c>
      <c r="G189" s="113">
        <f t="shared" si="11"/>
        <v>49917</v>
      </c>
      <c r="H189" s="113"/>
      <c r="I189" s="113">
        <f t="shared" si="8"/>
        <v>49917</v>
      </c>
      <c r="J189" s="114">
        <v>0.25</v>
      </c>
      <c r="K189" s="113">
        <f>(+G189*J189)/12*11</f>
        <v>11439.3125</v>
      </c>
    </row>
    <row r="190" spans="1:11" ht="15.75">
      <c r="A190" s="111">
        <v>184</v>
      </c>
      <c r="B190" s="138" t="s">
        <v>406</v>
      </c>
      <c r="C190" s="128" t="s">
        <v>407</v>
      </c>
      <c r="D190" s="111" t="s">
        <v>191</v>
      </c>
      <c r="E190" s="144">
        <v>1</v>
      </c>
      <c r="F190" s="113">
        <v>83200</v>
      </c>
      <c r="G190" s="113">
        <f t="shared" si="11"/>
        <v>83200</v>
      </c>
      <c r="H190" s="113"/>
      <c r="I190" s="113">
        <f t="shared" si="8"/>
        <v>83200</v>
      </c>
      <c r="J190" s="114">
        <v>0.2</v>
      </c>
      <c r="K190" s="113">
        <f>(+G190*J190)/12*11</f>
        <v>15253.333333333334</v>
      </c>
    </row>
    <row r="191" spans="1:11" ht="15.75">
      <c r="A191" s="111">
        <v>185</v>
      </c>
      <c r="B191" s="138" t="s">
        <v>408</v>
      </c>
      <c r="C191" s="128" t="s">
        <v>407</v>
      </c>
      <c r="D191" s="111" t="s">
        <v>191</v>
      </c>
      <c r="E191" s="144">
        <v>1</v>
      </c>
      <c r="F191" s="113">
        <v>38000</v>
      </c>
      <c r="G191" s="113">
        <f t="shared" si="11"/>
        <v>38000</v>
      </c>
      <c r="H191" s="113"/>
      <c r="I191" s="113">
        <f t="shared" si="8"/>
        <v>38000</v>
      </c>
      <c r="J191" s="114">
        <v>0.2</v>
      </c>
      <c r="K191" s="113">
        <f>(+G191*J191)/12*11</f>
        <v>6966.666666666667</v>
      </c>
    </row>
    <row r="192" spans="1:11" ht="15.75">
      <c r="A192" s="111">
        <v>186</v>
      </c>
      <c r="B192" s="138" t="s">
        <v>409</v>
      </c>
      <c r="C192" s="128" t="s">
        <v>410</v>
      </c>
      <c r="D192" s="111" t="s">
        <v>191</v>
      </c>
      <c r="E192" s="144">
        <v>1</v>
      </c>
      <c r="F192" s="113">
        <v>46450</v>
      </c>
      <c r="G192" s="113">
        <f t="shared" si="11"/>
        <v>46450</v>
      </c>
      <c r="H192" s="113"/>
      <c r="I192" s="113">
        <f t="shared" si="8"/>
        <v>46450</v>
      </c>
      <c r="J192" s="114">
        <v>0.2</v>
      </c>
      <c r="K192" s="113">
        <f>(+G192*J192)/12*7</f>
        <v>5419.1666666666661</v>
      </c>
    </row>
    <row r="193" spans="1:11" ht="15.75">
      <c r="A193" s="111">
        <v>187</v>
      </c>
      <c r="B193" s="138" t="s">
        <v>409</v>
      </c>
      <c r="C193" s="128" t="s">
        <v>411</v>
      </c>
      <c r="D193" s="111" t="s">
        <v>191</v>
      </c>
      <c r="E193" s="144">
        <v>1</v>
      </c>
      <c r="F193" s="113">
        <v>20210</v>
      </c>
      <c r="G193" s="113">
        <f t="shared" si="11"/>
        <v>20210</v>
      </c>
      <c r="H193" s="113"/>
      <c r="I193" s="113">
        <f t="shared" si="8"/>
        <v>20210</v>
      </c>
      <c r="J193" s="114">
        <v>0.2</v>
      </c>
      <c r="K193" s="113">
        <f>(+G193*J193)/12*6</f>
        <v>2021</v>
      </c>
    </row>
    <row r="194" spans="1:11" ht="15.75">
      <c r="A194" s="111">
        <v>188</v>
      </c>
      <c r="B194" s="138" t="s">
        <v>412</v>
      </c>
      <c r="C194" s="128" t="s">
        <v>413</v>
      </c>
      <c r="D194" s="111" t="s">
        <v>191</v>
      </c>
      <c r="E194" s="144">
        <v>1</v>
      </c>
      <c r="F194" s="113">
        <v>97767</v>
      </c>
      <c r="G194" s="113">
        <f t="shared" si="11"/>
        <v>97767</v>
      </c>
      <c r="H194" s="113"/>
      <c r="I194" s="113">
        <f t="shared" si="8"/>
        <v>97767</v>
      </c>
      <c r="J194" s="114">
        <v>0.25</v>
      </c>
      <c r="K194" s="113">
        <f>(+G194*J194)/12*6</f>
        <v>12220.875</v>
      </c>
    </row>
    <row r="195" spans="1:11" ht="15.75">
      <c r="A195" s="111">
        <v>189</v>
      </c>
      <c r="B195" s="138" t="s">
        <v>351</v>
      </c>
      <c r="C195" s="128" t="s">
        <v>413</v>
      </c>
      <c r="D195" s="111" t="s">
        <v>191</v>
      </c>
      <c r="E195" s="144">
        <v>1</v>
      </c>
      <c r="F195" s="113">
        <v>42000</v>
      </c>
      <c r="G195" s="113">
        <f t="shared" si="11"/>
        <v>42000</v>
      </c>
      <c r="H195" s="113"/>
      <c r="I195" s="113">
        <f t="shared" si="8"/>
        <v>42000</v>
      </c>
      <c r="J195" s="114">
        <v>0.25</v>
      </c>
      <c r="K195" s="113">
        <f>(+G195*J195)/12*6</f>
        <v>5250</v>
      </c>
    </row>
    <row r="196" spans="1:11" ht="15.75">
      <c r="A196" s="111">
        <v>190</v>
      </c>
      <c r="B196" s="138" t="s">
        <v>414</v>
      </c>
      <c r="C196" s="128" t="s">
        <v>415</v>
      </c>
      <c r="D196" s="111" t="s">
        <v>191</v>
      </c>
      <c r="E196" s="144">
        <v>1</v>
      </c>
      <c r="F196" s="113">
        <v>1766250</v>
      </c>
      <c r="G196" s="113">
        <f t="shared" si="11"/>
        <v>1766250</v>
      </c>
      <c r="H196" s="113"/>
      <c r="I196" s="113">
        <f t="shared" si="8"/>
        <v>1766250</v>
      </c>
      <c r="J196" s="114">
        <v>0.2</v>
      </c>
      <c r="K196" s="113">
        <f>(+G196*J196)/12*2</f>
        <v>58875</v>
      </c>
    </row>
    <row r="197" spans="1:11" ht="15.75">
      <c r="A197" s="111">
        <v>191</v>
      </c>
      <c r="B197" s="138" t="s">
        <v>416</v>
      </c>
      <c r="C197" s="128" t="s">
        <v>417</v>
      </c>
      <c r="D197" s="111" t="s">
        <v>191</v>
      </c>
      <c r="E197" s="144">
        <v>1</v>
      </c>
      <c r="F197" s="113">
        <v>1170417</v>
      </c>
      <c r="G197" s="113">
        <f t="shared" si="11"/>
        <v>1170417</v>
      </c>
      <c r="H197" s="113"/>
      <c r="I197" s="113">
        <f t="shared" si="8"/>
        <v>1170417</v>
      </c>
      <c r="J197" s="114">
        <v>0.2</v>
      </c>
      <c r="K197" s="113">
        <f>(+G197*J197)/12*6</f>
        <v>117041.70000000001</v>
      </c>
    </row>
    <row r="198" spans="1:11" ht="15.75">
      <c r="A198" s="111">
        <v>192</v>
      </c>
      <c r="B198" s="138" t="s">
        <v>418</v>
      </c>
      <c r="C198" s="128" t="s">
        <v>419</v>
      </c>
      <c r="D198" s="111" t="s">
        <v>191</v>
      </c>
      <c r="E198" s="144">
        <v>1</v>
      </c>
      <c r="F198" s="113">
        <v>952952</v>
      </c>
      <c r="G198" s="113">
        <f t="shared" si="11"/>
        <v>952952</v>
      </c>
      <c r="H198" s="113"/>
      <c r="I198" s="113">
        <f t="shared" si="8"/>
        <v>952952</v>
      </c>
      <c r="J198" s="114">
        <v>0.2</v>
      </c>
      <c r="K198" s="113">
        <f>(+G198*J198)/12*2</f>
        <v>31765.066666666669</v>
      </c>
    </row>
    <row r="199" spans="1:11" ht="15.75">
      <c r="A199" s="111">
        <v>193</v>
      </c>
      <c r="B199" s="138" t="s">
        <v>418</v>
      </c>
      <c r="C199" s="128" t="s">
        <v>419</v>
      </c>
      <c r="D199" s="111" t="s">
        <v>191</v>
      </c>
      <c r="E199" s="144">
        <v>1</v>
      </c>
      <c r="F199" s="113">
        <v>1121120</v>
      </c>
      <c r="G199" s="113">
        <f t="shared" si="11"/>
        <v>1121120</v>
      </c>
      <c r="H199" s="113"/>
      <c r="I199" s="113">
        <f t="shared" si="8"/>
        <v>1121120</v>
      </c>
      <c r="J199" s="114">
        <v>0.2</v>
      </c>
      <c r="K199" s="113">
        <f>(+G199*J199)/12*2</f>
        <v>37370.666666666664</v>
      </c>
    </row>
    <row r="200" spans="1:11" ht="15.75">
      <c r="A200" s="111">
        <v>194</v>
      </c>
      <c r="B200" s="143" t="s">
        <v>420</v>
      </c>
      <c r="C200" s="128" t="s">
        <v>421</v>
      </c>
      <c r="D200" s="111" t="s">
        <v>191</v>
      </c>
      <c r="E200" s="144">
        <v>1</v>
      </c>
      <c r="F200" s="113">
        <f>+[1]imp.13!O157</f>
        <v>7125134</v>
      </c>
      <c r="G200" s="113">
        <f t="shared" si="11"/>
        <v>7125134</v>
      </c>
      <c r="H200" s="113"/>
      <c r="I200" s="113">
        <f t="shared" si="8"/>
        <v>7125134</v>
      </c>
      <c r="J200" s="114">
        <v>0.2</v>
      </c>
      <c r="K200" s="113">
        <f>(+G200*J200)/12*1</f>
        <v>118752.23333333334</v>
      </c>
    </row>
    <row r="201" spans="1:11" ht="15.75">
      <c r="A201" s="111">
        <v>195</v>
      </c>
      <c r="B201" s="143" t="s">
        <v>422</v>
      </c>
      <c r="C201" s="128" t="s">
        <v>423</v>
      </c>
      <c r="D201" s="111" t="s">
        <v>191</v>
      </c>
      <c r="E201" s="144">
        <v>1</v>
      </c>
      <c r="F201" s="113">
        <f>+[1]imp.13!O15</f>
        <v>2992669</v>
      </c>
      <c r="G201" s="113">
        <f t="shared" si="11"/>
        <v>2992669</v>
      </c>
      <c r="H201" s="113"/>
      <c r="I201" s="113">
        <f t="shared" ref="I201:I202" si="12">G201-H201</f>
        <v>2992669</v>
      </c>
      <c r="J201" s="114">
        <v>0.2</v>
      </c>
      <c r="K201" s="113">
        <f>(+G201*J201)/12*10</f>
        <v>498778.16666666674</v>
      </c>
    </row>
    <row r="202" spans="1:11" ht="16.5" thickBot="1">
      <c r="A202" s="111">
        <v>196</v>
      </c>
      <c r="B202" s="143" t="s">
        <v>422</v>
      </c>
      <c r="C202" s="128" t="s">
        <v>424</v>
      </c>
      <c r="D202" s="111" t="s">
        <v>191</v>
      </c>
      <c r="E202" s="144">
        <v>1</v>
      </c>
      <c r="F202" s="113">
        <f>+[1]Foglio1!AA250</f>
        <v>2798200</v>
      </c>
      <c r="G202" s="113">
        <f t="shared" si="11"/>
        <v>2798200</v>
      </c>
      <c r="H202" s="113"/>
      <c r="I202" s="113">
        <f t="shared" si="12"/>
        <v>2798200</v>
      </c>
      <c r="J202" s="114">
        <v>0.2</v>
      </c>
      <c r="K202" s="113">
        <f>(+G202*J202)/12*9</f>
        <v>419730</v>
      </c>
    </row>
    <row r="203" spans="1:11" s="172" customFormat="1" ht="15.75" thickBot="1">
      <c r="A203" s="166"/>
      <c r="B203" s="167"/>
      <c r="C203" s="168"/>
      <c r="D203" s="167"/>
      <c r="E203" s="169"/>
      <c r="F203" s="170" t="s">
        <v>425</v>
      </c>
      <c r="G203" s="170">
        <f>SUM(G6:G202)</f>
        <v>250338542.04863331</v>
      </c>
      <c r="H203" s="170">
        <f>SUM(H6:H202)</f>
        <v>43823008</v>
      </c>
      <c r="I203" s="171">
        <f>SUM(I6:I202)</f>
        <v>206515534.04863334</v>
      </c>
      <c r="J203" s="171"/>
      <c r="K203" s="171">
        <f>SUM(K6:K202)</f>
        <v>24062591.577018347</v>
      </c>
    </row>
  </sheetData>
  <pageMargins left="0.51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9"/>
  <sheetViews>
    <sheetView topLeftCell="A22" workbookViewId="0">
      <selection activeCell="K23" sqref="K23"/>
    </sheetView>
  </sheetViews>
  <sheetFormatPr defaultRowHeight="13.5"/>
  <cols>
    <col min="1" max="1" width="5.85546875" style="142" customWidth="1"/>
    <col min="2" max="2" width="19.85546875" style="142" customWidth="1"/>
    <col min="3" max="3" width="11.140625" style="142" customWidth="1"/>
    <col min="4" max="4" width="12" style="142" customWidth="1"/>
    <col min="5" max="5" width="11" style="142" customWidth="1"/>
    <col min="6" max="6" width="10.85546875" style="142" customWidth="1"/>
    <col min="7" max="7" width="12.5703125" style="142" customWidth="1"/>
    <col min="8" max="8" width="9.140625" style="142"/>
    <col min="9" max="9" width="13.7109375" style="142" bestFit="1" customWidth="1"/>
    <col min="10" max="10" width="9.7109375" style="142" customWidth="1"/>
    <col min="11" max="256" width="9.140625" style="142"/>
    <col min="257" max="257" width="5.85546875" style="142" customWidth="1"/>
    <col min="258" max="258" width="19.85546875" style="142" customWidth="1"/>
    <col min="259" max="259" width="11.140625" style="142" customWidth="1"/>
    <col min="260" max="260" width="12" style="142" customWidth="1"/>
    <col min="261" max="261" width="11" style="142" customWidth="1"/>
    <col min="262" max="262" width="10.85546875" style="142" customWidth="1"/>
    <col min="263" max="263" width="12.5703125" style="142" customWidth="1"/>
    <col min="264" max="264" width="9.140625" style="142"/>
    <col min="265" max="265" width="13.7109375" style="142" bestFit="1" customWidth="1"/>
    <col min="266" max="266" width="9.7109375" style="142" customWidth="1"/>
    <col min="267" max="512" width="9.140625" style="142"/>
    <col min="513" max="513" width="5.85546875" style="142" customWidth="1"/>
    <col min="514" max="514" width="19.85546875" style="142" customWidth="1"/>
    <col min="515" max="515" width="11.140625" style="142" customWidth="1"/>
    <col min="516" max="516" width="12" style="142" customWidth="1"/>
    <col min="517" max="517" width="11" style="142" customWidth="1"/>
    <col min="518" max="518" width="10.85546875" style="142" customWidth="1"/>
    <col min="519" max="519" width="12.5703125" style="142" customWidth="1"/>
    <col min="520" max="520" width="9.140625" style="142"/>
    <col min="521" max="521" width="13.7109375" style="142" bestFit="1" customWidth="1"/>
    <col min="522" max="522" width="9.7109375" style="142" customWidth="1"/>
    <col min="523" max="768" width="9.140625" style="142"/>
    <col min="769" max="769" width="5.85546875" style="142" customWidth="1"/>
    <col min="770" max="770" width="19.85546875" style="142" customWidth="1"/>
    <col min="771" max="771" width="11.140625" style="142" customWidth="1"/>
    <col min="772" max="772" width="12" style="142" customWidth="1"/>
    <col min="773" max="773" width="11" style="142" customWidth="1"/>
    <col min="774" max="774" width="10.85546875" style="142" customWidth="1"/>
    <col min="775" max="775" width="12.5703125" style="142" customWidth="1"/>
    <col min="776" max="776" width="9.140625" style="142"/>
    <col min="777" max="777" width="13.7109375" style="142" bestFit="1" customWidth="1"/>
    <col min="778" max="778" width="9.7109375" style="142" customWidth="1"/>
    <col min="779" max="1024" width="9.140625" style="142"/>
    <col min="1025" max="1025" width="5.85546875" style="142" customWidth="1"/>
    <col min="1026" max="1026" width="19.85546875" style="142" customWidth="1"/>
    <col min="1027" max="1027" width="11.140625" style="142" customWidth="1"/>
    <col min="1028" max="1028" width="12" style="142" customWidth="1"/>
    <col min="1029" max="1029" width="11" style="142" customWidth="1"/>
    <col min="1030" max="1030" width="10.85546875" style="142" customWidth="1"/>
    <col min="1031" max="1031" width="12.5703125" style="142" customWidth="1"/>
    <col min="1032" max="1032" width="9.140625" style="142"/>
    <col min="1033" max="1033" width="13.7109375" style="142" bestFit="1" customWidth="1"/>
    <col min="1034" max="1034" width="9.7109375" style="142" customWidth="1"/>
    <col min="1035" max="1280" width="9.140625" style="142"/>
    <col min="1281" max="1281" width="5.85546875" style="142" customWidth="1"/>
    <col min="1282" max="1282" width="19.85546875" style="142" customWidth="1"/>
    <col min="1283" max="1283" width="11.140625" style="142" customWidth="1"/>
    <col min="1284" max="1284" width="12" style="142" customWidth="1"/>
    <col min="1285" max="1285" width="11" style="142" customWidth="1"/>
    <col min="1286" max="1286" width="10.85546875" style="142" customWidth="1"/>
    <col min="1287" max="1287" width="12.5703125" style="142" customWidth="1"/>
    <col min="1288" max="1288" width="9.140625" style="142"/>
    <col min="1289" max="1289" width="13.7109375" style="142" bestFit="1" customWidth="1"/>
    <col min="1290" max="1290" width="9.7109375" style="142" customWidth="1"/>
    <col min="1291" max="1536" width="9.140625" style="142"/>
    <col min="1537" max="1537" width="5.85546875" style="142" customWidth="1"/>
    <col min="1538" max="1538" width="19.85546875" style="142" customWidth="1"/>
    <col min="1539" max="1539" width="11.140625" style="142" customWidth="1"/>
    <col min="1540" max="1540" width="12" style="142" customWidth="1"/>
    <col min="1541" max="1541" width="11" style="142" customWidth="1"/>
    <col min="1542" max="1542" width="10.85546875" style="142" customWidth="1"/>
    <col min="1543" max="1543" width="12.5703125" style="142" customWidth="1"/>
    <col min="1544" max="1544" width="9.140625" style="142"/>
    <col min="1545" max="1545" width="13.7109375" style="142" bestFit="1" customWidth="1"/>
    <col min="1546" max="1546" width="9.7109375" style="142" customWidth="1"/>
    <col min="1547" max="1792" width="9.140625" style="142"/>
    <col min="1793" max="1793" width="5.85546875" style="142" customWidth="1"/>
    <col min="1794" max="1794" width="19.85546875" style="142" customWidth="1"/>
    <col min="1795" max="1795" width="11.140625" style="142" customWidth="1"/>
    <col min="1796" max="1796" width="12" style="142" customWidth="1"/>
    <col min="1797" max="1797" width="11" style="142" customWidth="1"/>
    <col min="1798" max="1798" width="10.85546875" style="142" customWidth="1"/>
    <col min="1799" max="1799" width="12.5703125" style="142" customWidth="1"/>
    <col min="1800" max="1800" width="9.140625" style="142"/>
    <col min="1801" max="1801" width="13.7109375" style="142" bestFit="1" customWidth="1"/>
    <col min="1802" max="1802" width="9.7109375" style="142" customWidth="1"/>
    <col min="1803" max="2048" width="9.140625" style="142"/>
    <col min="2049" max="2049" width="5.85546875" style="142" customWidth="1"/>
    <col min="2050" max="2050" width="19.85546875" style="142" customWidth="1"/>
    <col min="2051" max="2051" width="11.140625" style="142" customWidth="1"/>
    <col min="2052" max="2052" width="12" style="142" customWidth="1"/>
    <col min="2053" max="2053" width="11" style="142" customWidth="1"/>
    <col min="2054" max="2054" width="10.85546875" style="142" customWidth="1"/>
    <col min="2055" max="2055" width="12.5703125" style="142" customWidth="1"/>
    <col min="2056" max="2056" width="9.140625" style="142"/>
    <col min="2057" max="2057" width="13.7109375" style="142" bestFit="1" customWidth="1"/>
    <col min="2058" max="2058" width="9.7109375" style="142" customWidth="1"/>
    <col min="2059" max="2304" width="9.140625" style="142"/>
    <col min="2305" max="2305" width="5.85546875" style="142" customWidth="1"/>
    <col min="2306" max="2306" width="19.85546875" style="142" customWidth="1"/>
    <col min="2307" max="2307" width="11.140625" style="142" customWidth="1"/>
    <col min="2308" max="2308" width="12" style="142" customWidth="1"/>
    <col min="2309" max="2309" width="11" style="142" customWidth="1"/>
    <col min="2310" max="2310" width="10.85546875" style="142" customWidth="1"/>
    <col min="2311" max="2311" width="12.5703125" style="142" customWidth="1"/>
    <col min="2312" max="2312" width="9.140625" style="142"/>
    <col min="2313" max="2313" width="13.7109375" style="142" bestFit="1" customWidth="1"/>
    <col min="2314" max="2314" width="9.7109375" style="142" customWidth="1"/>
    <col min="2315" max="2560" width="9.140625" style="142"/>
    <col min="2561" max="2561" width="5.85546875" style="142" customWidth="1"/>
    <col min="2562" max="2562" width="19.85546875" style="142" customWidth="1"/>
    <col min="2563" max="2563" width="11.140625" style="142" customWidth="1"/>
    <col min="2564" max="2564" width="12" style="142" customWidth="1"/>
    <col min="2565" max="2565" width="11" style="142" customWidth="1"/>
    <col min="2566" max="2566" width="10.85546875" style="142" customWidth="1"/>
    <col min="2567" max="2567" width="12.5703125" style="142" customWidth="1"/>
    <col min="2568" max="2568" width="9.140625" style="142"/>
    <col min="2569" max="2569" width="13.7109375" style="142" bestFit="1" customWidth="1"/>
    <col min="2570" max="2570" width="9.7109375" style="142" customWidth="1"/>
    <col min="2571" max="2816" width="9.140625" style="142"/>
    <col min="2817" max="2817" width="5.85546875" style="142" customWidth="1"/>
    <col min="2818" max="2818" width="19.85546875" style="142" customWidth="1"/>
    <col min="2819" max="2819" width="11.140625" style="142" customWidth="1"/>
    <col min="2820" max="2820" width="12" style="142" customWidth="1"/>
    <col min="2821" max="2821" width="11" style="142" customWidth="1"/>
    <col min="2822" max="2822" width="10.85546875" style="142" customWidth="1"/>
    <col min="2823" max="2823" width="12.5703125" style="142" customWidth="1"/>
    <col min="2824" max="2824" width="9.140625" style="142"/>
    <col min="2825" max="2825" width="13.7109375" style="142" bestFit="1" customWidth="1"/>
    <col min="2826" max="2826" width="9.7109375" style="142" customWidth="1"/>
    <col min="2827" max="3072" width="9.140625" style="142"/>
    <col min="3073" max="3073" width="5.85546875" style="142" customWidth="1"/>
    <col min="3074" max="3074" width="19.85546875" style="142" customWidth="1"/>
    <col min="3075" max="3075" width="11.140625" style="142" customWidth="1"/>
    <col min="3076" max="3076" width="12" style="142" customWidth="1"/>
    <col min="3077" max="3077" width="11" style="142" customWidth="1"/>
    <col min="3078" max="3078" width="10.85546875" style="142" customWidth="1"/>
    <col min="3079" max="3079" width="12.5703125" style="142" customWidth="1"/>
    <col min="3080" max="3080" width="9.140625" style="142"/>
    <col min="3081" max="3081" width="13.7109375" style="142" bestFit="1" customWidth="1"/>
    <col min="3082" max="3082" width="9.7109375" style="142" customWidth="1"/>
    <col min="3083" max="3328" width="9.140625" style="142"/>
    <col min="3329" max="3329" width="5.85546875" style="142" customWidth="1"/>
    <col min="3330" max="3330" width="19.85546875" style="142" customWidth="1"/>
    <col min="3331" max="3331" width="11.140625" style="142" customWidth="1"/>
    <col min="3332" max="3332" width="12" style="142" customWidth="1"/>
    <col min="3333" max="3333" width="11" style="142" customWidth="1"/>
    <col min="3334" max="3334" width="10.85546875" style="142" customWidth="1"/>
    <col min="3335" max="3335" width="12.5703125" style="142" customWidth="1"/>
    <col min="3336" max="3336" width="9.140625" style="142"/>
    <col min="3337" max="3337" width="13.7109375" style="142" bestFit="1" customWidth="1"/>
    <col min="3338" max="3338" width="9.7109375" style="142" customWidth="1"/>
    <col min="3339" max="3584" width="9.140625" style="142"/>
    <col min="3585" max="3585" width="5.85546875" style="142" customWidth="1"/>
    <col min="3586" max="3586" width="19.85546875" style="142" customWidth="1"/>
    <col min="3587" max="3587" width="11.140625" style="142" customWidth="1"/>
    <col min="3588" max="3588" width="12" style="142" customWidth="1"/>
    <col min="3589" max="3589" width="11" style="142" customWidth="1"/>
    <col min="3590" max="3590" width="10.85546875" style="142" customWidth="1"/>
    <col min="3591" max="3591" width="12.5703125" style="142" customWidth="1"/>
    <col min="3592" max="3592" width="9.140625" style="142"/>
    <col min="3593" max="3593" width="13.7109375" style="142" bestFit="1" customWidth="1"/>
    <col min="3594" max="3594" width="9.7109375" style="142" customWidth="1"/>
    <col min="3595" max="3840" width="9.140625" style="142"/>
    <col min="3841" max="3841" width="5.85546875" style="142" customWidth="1"/>
    <col min="3842" max="3842" width="19.85546875" style="142" customWidth="1"/>
    <col min="3843" max="3843" width="11.140625" style="142" customWidth="1"/>
    <col min="3844" max="3844" width="12" style="142" customWidth="1"/>
    <col min="3845" max="3845" width="11" style="142" customWidth="1"/>
    <col min="3846" max="3846" width="10.85546875" style="142" customWidth="1"/>
    <col min="3847" max="3847" width="12.5703125" style="142" customWidth="1"/>
    <col min="3848" max="3848" width="9.140625" style="142"/>
    <col min="3849" max="3849" width="13.7109375" style="142" bestFit="1" customWidth="1"/>
    <col min="3850" max="3850" width="9.7109375" style="142" customWidth="1"/>
    <col min="3851" max="4096" width="9.140625" style="142"/>
    <col min="4097" max="4097" width="5.85546875" style="142" customWidth="1"/>
    <col min="4098" max="4098" width="19.85546875" style="142" customWidth="1"/>
    <col min="4099" max="4099" width="11.140625" style="142" customWidth="1"/>
    <col min="4100" max="4100" width="12" style="142" customWidth="1"/>
    <col min="4101" max="4101" width="11" style="142" customWidth="1"/>
    <col min="4102" max="4102" width="10.85546875" style="142" customWidth="1"/>
    <col min="4103" max="4103" width="12.5703125" style="142" customWidth="1"/>
    <col min="4104" max="4104" width="9.140625" style="142"/>
    <col min="4105" max="4105" width="13.7109375" style="142" bestFit="1" customWidth="1"/>
    <col min="4106" max="4106" width="9.7109375" style="142" customWidth="1"/>
    <col min="4107" max="4352" width="9.140625" style="142"/>
    <col min="4353" max="4353" width="5.85546875" style="142" customWidth="1"/>
    <col min="4354" max="4354" width="19.85546875" style="142" customWidth="1"/>
    <col min="4355" max="4355" width="11.140625" style="142" customWidth="1"/>
    <col min="4356" max="4356" width="12" style="142" customWidth="1"/>
    <col min="4357" max="4357" width="11" style="142" customWidth="1"/>
    <col min="4358" max="4358" width="10.85546875" style="142" customWidth="1"/>
    <col min="4359" max="4359" width="12.5703125" style="142" customWidth="1"/>
    <col min="4360" max="4360" width="9.140625" style="142"/>
    <col min="4361" max="4361" width="13.7109375" style="142" bestFit="1" customWidth="1"/>
    <col min="4362" max="4362" width="9.7109375" style="142" customWidth="1"/>
    <col min="4363" max="4608" width="9.140625" style="142"/>
    <col min="4609" max="4609" width="5.85546875" style="142" customWidth="1"/>
    <col min="4610" max="4610" width="19.85546875" style="142" customWidth="1"/>
    <col min="4611" max="4611" width="11.140625" style="142" customWidth="1"/>
    <col min="4612" max="4612" width="12" style="142" customWidth="1"/>
    <col min="4613" max="4613" width="11" style="142" customWidth="1"/>
    <col min="4614" max="4614" width="10.85546875" style="142" customWidth="1"/>
    <col min="4615" max="4615" width="12.5703125" style="142" customWidth="1"/>
    <col min="4616" max="4616" width="9.140625" style="142"/>
    <col min="4617" max="4617" width="13.7109375" style="142" bestFit="1" customWidth="1"/>
    <col min="4618" max="4618" width="9.7109375" style="142" customWidth="1"/>
    <col min="4619" max="4864" width="9.140625" style="142"/>
    <col min="4865" max="4865" width="5.85546875" style="142" customWidth="1"/>
    <col min="4866" max="4866" width="19.85546875" style="142" customWidth="1"/>
    <col min="4867" max="4867" width="11.140625" style="142" customWidth="1"/>
    <col min="4868" max="4868" width="12" style="142" customWidth="1"/>
    <col min="4869" max="4869" width="11" style="142" customWidth="1"/>
    <col min="4870" max="4870" width="10.85546875" style="142" customWidth="1"/>
    <col min="4871" max="4871" width="12.5703125" style="142" customWidth="1"/>
    <col min="4872" max="4872" width="9.140625" style="142"/>
    <col min="4873" max="4873" width="13.7109375" style="142" bestFit="1" customWidth="1"/>
    <col min="4874" max="4874" width="9.7109375" style="142" customWidth="1"/>
    <col min="4875" max="5120" width="9.140625" style="142"/>
    <col min="5121" max="5121" width="5.85546875" style="142" customWidth="1"/>
    <col min="5122" max="5122" width="19.85546875" style="142" customWidth="1"/>
    <col min="5123" max="5123" width="11.140625" style="142" customWidth="1"/>
    <col min="5124" max="5124" width="12" style="142" customWidth="1"/>
    <col min="5125" max="5125" width="11" style="142" customWidth="1"/>
    <col min="5126" max="5126" width="10.85546875" style="142" customWidth="1"/>
    <col min="5127" max="5127" width="12.5703125" style="142" customWidth="1"/>
    <col min="5128" max="5128" width="9.140625" style="142"/>
    <col min="5129" max="5129" width="13.7109375" style="142" bestFit="1" customWidth="1"/>
    <col min="5130" max="5130" width="9.7109375" style="142" customWidth="1"/>
    <col min="5131" max="5376" width="9.140625" style="142"/>
    <col min="5377" max="5377" width="5.85546875" style="142" customWidth="1"/>
    <col min="5378" max="5378" width="19.85546875" style="142" customWidth="1"/>
    <col min="5379" max="5379" width="11.140625" style="142" customWidth="1"/>
    <col min="5380" max="5380" width="12" style="142" customWidth="1"/>
    <col min="5381" max="5381" width="11" style="142" customWidth="1"/>
    <col min="5382" max="5382" width="10.85546875" style="142" customWidth="1"/>
    <col min="5383" max="5383" width="12.5703125" style="142" customWidth="1"/>
    <col min="5384" max="5384" width="9.140625" style="142"/>
    <col min="5385" max="5385" width="13.7109375" style="142" bestFit="1" customWidth="1"/>
    <col min="5386" max="5386" width="9.7109375" style="142" customWidth="1"/>
    <col min="5387" max="5632" width="9.140625" style="142"/>
    <col min="5633" max="5633" width="5.85546875" style="142" customWidth="1"/>
    <col min="5634" max="5634" width="19.85546875" style="142" customWidth="1"/>
    <col min="5635" max="5635" width="11.140625" style="142" customWidth="1"/>
    <col min="5636" max="5636" width="12" style="142" customWidth="1"/>
    <col min="5637" max="5637" width="11" style="142" customWidth="1"/>
    <col min="5638" max="5638" width="10.85546875" style="142" customWidth="1"/>
    <col min="5639" max="5639" width="12.5703125" style="142" customWidth="1"/>
    <col min="5640" max="5640" width="9.140625" style="142"/>
    <col min="5641" max="5641" width="13.7109375" style="142" bestFit="1" customWidth="1"/>
    <col min="5642" max="5642" width="9.7109375" style="142" customWidth="1"/>
    <col min="5643" max="5888" width="9.140625" style="142"/>
    <col min="5889" max="5889" width="5.85546875" style="142" customWidth="1"/>
    <col min="5890" max="5890" width="19.85546875" style="142" customWidth="1"/>
    <col min="5891" max="5891" width="11.140625" style="142" customWidth="1"/>
    <col min="5892" max="5892" width="12" style="142" customWidth="1"/>
    <col min="5893" max="5893" width="11" style="142" customWidth="1"/>
    <col min="5894" max="5894" width="10.85546875" style="142" customWidth="1"/>
    <col min="5895" max="5895" width="12.5703125" style="142" customWidth="1"/>
    <col min="5896" max="5896" width="9.140625" style="142"/>
    <col min="5897" max="5897" width="13.7109375" style="142" bestFit="1" customWidth="1"/>
    <col min="5898" max="5898" width="9.7109375" style="142" customWidth="1"/>
    <col min="5899" max="6144" width="9.140625" style="142"/>
    <col min="6145" max="6145" width="5.85546875" style="142" customWidth="1"/>
    <col min="6146" max="6146" width="19.85546875" style="142" customWidth="1"/>
    <col min="6147" max="6147" width="11.140625" style="142" customWidth="1"/>
    <col min="6148" max="6148" width="12" style="142" customWidth="1"/>
    <col min="6149" max="6149" width="11" style="142" customWidth="1"/>
    <col min="6150" max="6150" width="10.85546875" style="142" customWidth="1"/>
    <col min="6151" max="6151" width="12.5703125" style="142" customWidth="1"/>
    <col min="6152" max="6152" width="9.140625" style="142"/>
    <col min="6153" max="6153" width="13.7109375" style="142" bestFit="1" customWidth="1"/>
    <col min="6154" max="6154" width="9.7109375" style="142" customWidth="1"/>
    <col min="6155" max="6400" width="9.140625" style="142"/>
    <col min="6401" max="6401" width="5.85546875" style="142" customWidth="1"/>
    <col min="6402" max="6402" width="19.85546875" style="142" customWidth="1"/>
    <col min="6403" max="6403" width="11.140625" style="142" customWidth="1"/>
    <col min="6404" max="6404" width="12" style="142" customWidth="1"/>
    <col min="6405" max="6405" width="11" style="142" customWidth="1"/>
    <col min="6406" max="6406" width="10.85546875" style="142" customWidth="1"/>
    <col min="6407" max="6407" width="12.5703125" style="142" customWidth="1"/>
    <col min="6408" max="6408" width="9.140625" style="142"/>
    <col min="6409" max="6409" width="13.7109375" style="142" bestFit="1" customWidth="1"/>
    <col min="6410" max="6410" width="9.7109375" style="142" customWidth="1"/>
    <col min="6411" max="6656" width="9.140625" style="142"/>
    <col min="6657" max="6657" width="5.85546875" style="142" customWidth="1"/>
    <col min="6658" max="6658" width="19.85546875" style="142" customWidth="1"/>
    <col min="6659" max="6659" width="11.140625" style="142" customWidth="1"/>
    <col min="6660" max="6660" width="12" style="142" customWidth="1"/>
    <col min="6661" max="6661" width="11" style="142" customWidth="1"/>
    <col min="6662" max="6662" width="10.85546875" style="142" customWidth="1"/>
    <col min="6663" max="6663" width="12.5703125" style="142" customWidth="1"/>
    <col min="6664" max="6664" width="9.140625" style="142"/>
    <col min="6665" max="6665" width="13.7109375" style="142" bestFit="1" customWidth="1"/>
    <col min="6666" max="6666" width="9.7109375" style="142" customWidth="1"/>
    <col min="6667" max="6912" width="9.140625" style="142"/>
    <col min="6913" max="6913" width="5.85546875" style="142" customWidth="1"/>
    <col min="6914" max="6914" width="19.85546875" style="142" customWidth="1"/>
    <col min="6915" max="6915" width="11.140625" style="142" customWidth="1"/>
    <col min="6916" max="6916" width="12" style="142" customWidth="1"/>
    <col min="6917" max="6917" width="11" style="142" customWidth="1"/>
    <col min="6918" max="6918" width="10.85546875" style="142" customWidth="1"/>
    <col min="6919" max="6919" width="12.5703125" style="142" customWidth="1"/>
    <col min="6920" max="6920" width="9.140625" style="142"/>
    <col min="6921" max="6921" width="13.7109375" style="142" bestFit="1" customWidth="1"/>
    <col min="6922" max="6922" width="9.7109375" style="142" customWidth="1"/>
    <col min="6923" max="7168" width="9.140625" style="142"/>
    <col min="7169" max="7169" width="5.85546875" style="142" customWidth="1"/>
    <col min="7170" max="7170" width="19.85546875" style="142" customWidth="1"/>
    <col min="7171" max="7171" width="11.140625" style="142" customWidth="1"/>
    <col min="7172" max="7172" width="12" style="142" customWidth="1"/>
    <col min="7173" max="7173" width="11" style="142" customWidth="1"/>
    <col min="7174" max="7174" width="10.85546875" style="142" customWidth="1"/>
    <col min="7175" max="7175" width="12.5703125" style="142" customWidth="1"/>
    <col min="7176" max="7176" width="9.140625" style="142"/>
    <col min="7177" max="7177" width="13.7109375" style="142" bestFit="1" customWidth="1"/>
    <col min="7178" max="7178" width="9.7109375" style="142" customWidth="1"/>
    <col min="7179" max="7424" width="9.140625" style="142"/>
    <col min="7425" max="7425" width="5.85546875" style="142" customWidth="1"/>
    <col min="7426" max="7426" width="19.85546875" style="142" customWidth="1"/>
    <col min="7427" max="7427" width="11.140625" style="142" customWidth="1"/>
    <col min="7428" max="7428" width="12" style="142" customWidth="1"/>
    <col min="7429" max="7429" width="11" style="142" customWidth="1"/>
    <col min="7430" max="7430" width="10.85546875" style="142" customWidth="1"/>
    <col min="7431" max="7431" width="12.5703125" style="142" customWidth="1"/>
    <col min="7432" max="7432" width="9.140625" style="142"/>
    <col min="7433" max="7433" width="13.7109375" style="142" bestFit="1" customWidth="1"/>
    <col min="7434" max="7434" width="9.7109375" style="142" customWidth="1"/>
    <col min="7435" max="7680" width="9.140625" style="142"/>
    <col min="7681" max="7681" width="5.85546875" style="142" customWidth="1"/>
    <col min="7682" max="7682" width="19.85546875" style="142" customWidth="1"/>
    <col min="7683" max="7683" width="11.140625" style="142" customWidth="1"/>
    <col min="7684" max="7684" width="12" style="142" customWidth="1"/>
    <col min="7685" max="7685" width="11" style="142" customWidth="1"/>
    <col min="7686" max="7686" width="10.85546875" style="142" customWidth="1"/>
    <col min="7687" max="7687" width="12.5703125" style="142" customWidth="1"/>
    <col min="7688" max="7688" width="9.140625" style="142"/>
    <col min="7689" max="7689" width="13.7109375" style="142" bestFit="1" customWidth="1"/>
    <col min="7690" max="7690" width="9.7109375" style="142" customWidth="1"/>
    <col min="7691" max="7936" width="9.140625" style="142"/>
    <col min="7937" max="7937" width="5.85546875" style="142" customWidth="1"/>
    <col min="7938" max="7938" width="19.85546875" style="142" customWidth="1"/>
    <col min="7939" max="7939" width="11.140625" style="142" customWidth="1"/>
    <col min="7940" max="7940" width="12" style="142" customWidth="1"/>
    <col min="7941" max="7941" width="11" style="142" customWidth="1"/>
    <col min="7942" max="7942" width="10.85546875" style="142" customWidth="1"/>
    <col min="7943" max="7943" width="12.5703125" style="142" customWidth="1"/>
    <col min="7944" max="7944" width="9.140625" style="142"/>
    <col min="7945" max="7945" width="13.7109375" style="142" bestFit="1" customWidth="1"/>
    <col min="7946" max="7946" width="9.7109375" style="142" customWidth="1"/>
    <col min="7947" max="8192" width="9.140625" style="142"/>
    <col min="8193" max="8193" width="5.85546875" style="142" customWidth="1"/>
    <col min="8194" max="8194" width="19.85546875" style="142" customWidth="1"/>
    <col min="8195" max="8195" width="11.140625" style="142" customWidth="1"/>
    <col min="8196" max="8196" width="12" style="142" customWidth="1"/>
    <col min="8197" max="8197" width="11" style="142" customWidth="1"/>
    <col min="8198" max="8198" width="10.85546875" style="142" customWidth="1"/>
    <col min="8199" max="8199" width="12.5703125" style="142" customWidth="1"/>
    <col min="8200" max="8200" width="9.140625" style="142"/>
    <col min="8201" max="8201" width="13.7109375" style="142" bestFit="1" customWidth="1"/>
    <col min="8202" max="8202" width="9.7109375" style="142" customWidth="1"/>
    <col min="8203" max="8448" width="9.140625" style="142"/>
    <col min="8449" max="8449" width="5.85546875" style="142" customWidth="1"/>
    <col min="8450" max="8450" width="19.85546875" style="142" customWidth="1"/>
    <col min="8451" max="8451" width="11.140625" style="142" customWidth="1"/>
    <col min="8452" max="8452" width="12" style="142" customWidth="1"/>
    <col min="8453" max="8453" width="11" style="142" customWidth="1"/>
    <col min="8454" max="8454" width="10.85546875" style="142" customWidth="1"/>
    <col min="8455" max="8455" width="12.5703125" style="142" customWidth="1"/>
    <col min="8456" max="8456" width="9.140625" style="142"/>
    <col min="8457" max="8457" width="13.7109375" style="142" bestFit="1" customWidth="1"/>
    <col min="8458" max="8458" width="9.7109375" style="142" customWidth="1"/>
    <col min="8459" max="8704" width="9.140625" style="142"/>
    <col min="8705" max="8705" width="5.85546875" style="142" customWidth="1"/>
    <col min="8706" max="8706" width="19.85546875" style="142" customWidth="1"/>
    <col min="8707" max="8707" width="11.140625" style="142" customWidth="1"/>
    <col min="8708" max="8708" width="12" style="142" customWidth="1"/>
    <col min="8709" max="8709" width="11" style="142" customWidth="1"/>
    <col min="8710" max="8710" width="10.85546875" style="142" customWidth="1"/>
    <col min="8711" max="8711" width="12.5703125" style="142" customWidth="1"/>
    <col min="8712" max="8712" width="9.140625" style="142"/>
    <col min="8713" max="8713" width="13.7109375" style="142" bestFit="1" customWidth="1"/>
    <col min="8714" max="8714" width="9.7109375" style="142" customWidth="1"/>
    <col min="8715" max="8960" width="9.140625" style="142"/>
    <col min="8961" max="8961" width="5.85546875" style="142" customWidth="1"/>
    <col min="8962" max="8962" width="19.85546875" style="142" customWidth="1"/>
    <col min="8963" max="8963" width="11.140625" style="142" customWidth="1"/>
    <col min="8964" max="8964" width="12" style="142" customWidth="1"/>
    <col min="8965" max="8965" width="11" style="142" customWidth="1"/>
    <col min="8966" max="8966" width="10.85546875" style="142" customWidth="1"/>
    <col min="8967" max="8967" width="12.5703125" style="142" customWidth="1"/>
    <col min="8968" max="8968" width="9.140625" style="142"/>
    <col min="8969" max="8969" width="13.7109375" style="142" bestFit="1" customWidth="1"/>
    <col min="8970" max="8970" width="9.7109375" style="142" customWidth="1"/>
    <col min="8971" max="9216" width="9.140625" style="142"/>
    <col min="9217" max="9217" width="5.85546875" style="142" customWidth="1"/>
    <col min="9218" max="9218" width="19.85546875" style="142" customWidth="1"/>
    <col min="9219" max="9219" width="11.140625" style="142" customWidth="1"/>
    <col min="9220" max="9220" width="12" style="142" customWidth="1"/>
    <col min="9221" max="9221" width="11" style="142" customWidth="1"/>
    <col min="9222" max="9222" width="10.85546875" style="142" customWidth="1"/>
    <col min="9223" max="9223" width="12.5703125" style="142" customWidth="1"/>
    <col min="9224" max="9224" width="9.140625" style="142"/>
    <col min="9225" max="9225" width="13.7109375" style="142" bestFit="1" customWidth="1"/>
    <col min="9226" max="9226" width="9.7109375" style="142" customWidth="1"/>
    <col min="9227" max="9472" width="9.140625" style="142"/>
    <col min="9473" max="9473" width="5.85546875" style="142" customWidth="1"/>
    <col min="9474" max="9474" width="19.85546875" style="142" customWidth="1"/>
    <col min="9475" max="9475" width="11.140625" style="142" customWidth="1"/>
    <col min="9476" max="9476" width="12" style="142" customWidth="1"/>
    <col min="9477" max="9477" width="11" style="142" customWidth="1"/>
    <col min="9478" max="9478" width="10.85546875" style="142" customWidth="1"/>
    <col min="9479" max="9479" width="12.5703125" style="142" customWidth="1"/>
    <col min="9480" max="9480" width="9.140625" style="142"/>
    <col min="9481" max="9481" width="13.7109375" style="142" bestFit="1" customWidth="1"/>
    <col min="9482" max="9482" width="9.7109375" style="142" customWidth="1"/>
    <col min="9483" max="9728" width="9.140625" style="142"/>
    <col min="9729" max="9729" width="5.85546875" style="142" customWidth="1"/>
    <col min="9730" max="9730" width="19.85546875" style="142" customWidth="1"/>
    <col min="9731" max="9731" width="11.140625" style="142" customWidth="1"/>
    <col min="9732" max="9732" width="12" style="142" customWidth="1"/>
    <col min="9733" max="9733" width="11" style="142" customWidth="1"/>
    <col min="9734" max="9734" width="10.85546875" style="142" customWidth="1"/>
    <col min="9735" max="9735" width="12.5703125" style="142" customWidth="1"/>
    <col min="9736" max="9736" width="9.140625" style="142"/>
    <col min="9737" max="9737" width="13.7109375" style="142" bestFit="1" customWidth="1"/>
    <col min="9738" max="9738" width="9.7109375" style="142" customWidth="1"/>
    <col min="9739" max="9984" width="9.140625" style="142"/>
    <col min="9985" max="9985" width="5.85546875" style="142" customWidth="1"/>
    <col min="9986" max="9986" width="19.85546875" style="142" customWidth="1"/>
    <col min="9987" max="9987" width="11.140625" style="142" customWidth="1"/>
    <col min="9988" max="9988" width="12" style="142" customWidth="1"/>
    <col min="9989" max="9989" width="11" style="142" customWidth="1"/>
    <col min="9990" max="9990" width="10.85546875" style="142" customWidth="1"/>
    <col min="9991" max="9991" width="12.5703125" style="142" customWidth="1"/>
    <col min="9992" max="9992" width="9.140625" style="142"/>
    <col min="9993" max="9993" width="13.7109375" style="142" bestFit="1" customWidth="1"/>
    <col min="9994" max="9994" width="9.7109375" style="142" customWidth="1"/>
    <col min="9995" max="10240" width="9.140625" style="142"/>
    <col min="10241" max="10241" width="5.85546875" style="142" customWidth="1"/>
    <col min="10242" max="10242" width="19.85546875" style="142" customWidth="1"/>
    <col min="10243" max="10243" width="11.140625" style="142" customWidth="1"/>
    <col min="10244" max="10244" width="12" style="142" customWidth="1"/>
    <col min="10245" max="10245" width="11" style="142" customWidth="1"/>
    <col min="10246" max="10246" width="10.85546875" style="142" customWidth="1"/>
    <col min="10247" max="10247" width="12.5703125" style="142" customWidth="1"/>
    <col min="10248" max="10248" width="9.140625" style="142"/>
    <col min="10249" max="10249" width="13.7109375" style="142" bestFit="1" customWidth="1"/>
    <col min="10250" max="10250" width="9.7109375" style="142" customWidth="1"/>
    <col min="10251" max="10496" width="9.140625" style="142"/>
    <col min="10497" max="10497" width="5.85546875" style="142" customWidth="1"/>
    <col min="10498" max="10498" width="19.85546875" style="142" customWidth="1"/>
    <col min="10499" max="10499" width="11.140625" style="142" customWidth="1"/>
    <col min="10500" max="10500" width="12" style="142" customWidth="1"/>
    <col min="10501" max="10501" width="11" style="142" customWidth="1"/>
    <col min="10502" max="10502" width="10.85546875" style="142" customWidth="1"/>
    <col min="10503" max="10503" width="12.5703125" style="142" customWidth="1"/>
    <col min="10504" max="10504" width="9.140625" style="142"/>
    <col min="10505" max="10505" width="13.7109375" style="142" bestFit="1" customWidth="1"/>
    <col min="10506" max="10506" width="9.7109375" style="142" customWidth="1"/>
    <col min="10507" max="10752" width="9.140625" style="142"/>
    <col min="10753" max="10753" width="5.85546875" style="142" customWidth="1"/>
    <col min="10754" max="10754" width="19.85546875" style="142" customWidth="1"/>
    <col min="10755" max="10755" width="11.140625" style="142" customWidth="1"/>
    <col min="10756" max="10756" width="12" style="142" customWidth="1"/>
    <col min="10757" max="10757" width="11" style="142" customWidth="1"/>
    <col min="10758" max="10758" width="10.85546875" style="142" customWidth="1"/>
    <col min="10759" max="10759" width="12.5703125" style="142" customWidth="1"/>
    <col min="10760" max="10760" width="9.140625" style="142"/>
    <col min="10761" max="10761" width="13.7109375" style="142" bestFit="1" customWidth="1"/>
    <col min="10762" max="10762" width="9.7109375" style="142" customWidth="1"/>
    <col min="10763" max="11008" width="9.140625" style="142"/>
    <col min="11009" max="11009" width="5.85546875" style="142" customWidth="1"/>
    <col min="11010" max="11010" width="19.85546875" style="142" customWidth="1"/>
    <col min="11011" max="11011" width="11.140625" style="142" customWidth="1"/>
    <col min="11012" max="11012" width="12" style="142" customWidth="1"/>
    <col min="11013" max="11013" width="11" style="142" customWidth="1"/>
    <col min="11014" max="11014" width="10.85546875" style="142" customWidth="1"/>
    <col min="11015" max="11015" width="12.5703125" style="142" customWidth="1"/>
    <col min="11016" max="11016" width="9.140625" style="142"/>
    <col min="11017" max="11017" width="13.7109375" style="142" bestFit="1" customWidth="1"/>
    <col min="11018" max="11018" width="9.7109375" style="142" customWidth="1"/>
    <col min="11019" max="11264" width="9.140625" style="142"/>
    <col min="11265" max="11265" width="5.85546875" style="142" customWidth="1"/>
    <col min="11266" max="11266" width="19.85546875" style="142" customWidth="1"/>
    <col min="11267" max="11267" width="11.140625" style="142" customWidth="1"/>
    <col min="11268" max="11268" width="12" style="142" customWidth="1"/>
    <col min="11269" max="11269" width="11" style="142" customWidth="1"/>
    <col min="11270" max="11270" width="10.85546875" style="142" customWidth="1"/>
    <col min="11271" max="11271" width="12.5703125" style="142" customWidth="1"/>
    <col min="11272" max="11272" width="9.140625" style="142"/>
    <col min="11273" max="11273" width="13.7109375" style="142" bestFit="1" customWidth="1"/>
    <col min="11274" max="11274" width="9.7109375" style="142" customWidth="1"/>
    <col min="11275" max="11520" width="9.140625" style="142"/>
    <col min="11521" max="11521" width="5.85546875" style="142" customWidth="1"/>
    <col min="11522" max="11522" width="19.85546875" style="142" customWidth="1"/>
    <col min="11523" max="11523" width="11.140625" style="142" customWidth="1"/>
    <col min="11524" max="11524" width="12" style="142" customWidth="1"/>
    <col min="11525" max="11525" width="11" style="142" customWidth="1"/>
    <col min="11526" max="11526" width="10.85546875" style="142" customWidth="1"/>
    <col min="11527" max="11527" width="12.5703125" style="142" customWidth="1"/>
    <col min="11528" max="11528" width="9.140625" style="142"/>
    <col min="11529" max="11529" width="13.7109375" style="142" bestFit="1" customWidth="1"/>
    <col min="11530" max="11530" width="9.7109375" style="142" customWidth="1"/>
    <col min="11531" max="11776" width="9.140625" style="142"/>
    <col min="11777" max="11777" width="5.85546875" style="142" customWidth="1"/>
    <col min="11778" max="11778" width="19.85546875" style="142" customWidth="1"/>
    <col min="11779" max="11779" width="11.140625" style="142" customWidth="1"/>
    <col min="11780" max="11780" width="12" style="142" customWidth="1"/>
    <col min="11781" max="11781" width="11" style="142" customWidth="1"/>
    <col min="11782" max="11782" width="10.85546875" style="142" customWidth="1"/>
    <col min="11783" max="11783" width="12.5703125" style="142" customWidth="1"/>
    <col min="11784" max="11784" width="9.140625" style="142"/>
    <col min="11785" max="11785" width="13.7109375" style="142" bestFit="1" customWidth="1"/>
    <col min="11786" max="11786" width="9.7109375" style="142" customWidth="1"/>
    <col min="11787" max="12032" width="9.140625" style="142"/>
    <col min="12033" max="12033" width="5.85546875" style="142" customWidth="1"/>
    <col min="12034" max="12034" width="19.85546875" style="142" customWidth="1"/>
    <col min="12035" max="12035" width="11.140625" style="142" customWidth="1"/>
    <col min="12036" max="12036" width="12" style="142" customWidth="1"/>
    <col min="12037" max="12037" width="11" style="142" customWidth="1"/>
    <col min="12038" max="12038" width="10.85546875" style="142" customWidth="1"/>
    <col min="12039" max="12039" width="12.5703125" style="142" customWidth="1"/>
    <col min="12040" max="12040" width="9.140625" style="142"/>
    <col min="12041" max="12041" width="13.7109375" style="142" bestFit="1" customWidth="1"/>
    <col min="12042" max="12042" width="9.7109375" style="142" customWidth="1"/>
    <col min="12043" max="12288" width="9.140625" style="142"/>
    <col min="12289" max="12289" width="5.85546875" style="142" customWidth="1"/>
    <col min="12290" max="12290" width="19.85546875" style="142" customWidth="1"/>
    <col min="12291" max="12291" width="11.140625" style="142" customWidth="1"/>
    <col min="12292" max="12292" width="12" style="142" customWidth="1"/>
    <col min="12293" max="12293" width="11" style="142" customWidth="1"/>
    <col min="12294" max="12294" width="10.85546875" style="142" customWidth="1"/>
    <col min="12295" max="12295" width="12.5703125" style="142" customWidth="1"/>
    <col min="12296" max="12296" width="9.140625" style="142"/>
    <col min="12297" max="12297" width="13.7109375" style="142" bestFit="1" customWidth="1"/>
    <col min="12298" max="12298" width="9.7109375" style="142" customWidth="1"/>
    <col min="12299" max="12544" width="9.140625" style="142"/>
    <col min="12545" max="12545" width="5.85546875" style="142" customWidth="1"/>
    <col min="12546" max="12546" width="19.85546875" style="142" customWidth="1"/>
    <col min="12547" max="12547" width="11.140625" style="142" customWidth="1"/>
    <col min="12548" max="12548" width="12" style="142" customWidth="1"/>
    <col min="12549" max="12549" width="11" style="142" customWidth="1"/>
    <col min="12550" max="12550" width="10.85546875" style="142" customWidth="1"/>
    <col min="12551" max="12551" width="12.5703125" style="142" customWidth="1"/>
    <col min="12552" max="12552" width="9.140625" style="142"/>
    <col min="12553" max="12553" width="13.7109375" style="142" bestFit="1" customWidth="1"/>
    <col min="12554" max="12554" width="9.7109375" style="142" customWidth="1"/>
    <col min="12555" max="12800" width="9.140625" style="142"/>
    <col min="12801" max="12801" width="5.85546875" style="142" customWidth="1"/>
    <col min="12802" max="12802" width="19.85546875" style="142" customWidth="1"/>
    <col min="12803" max="12803" width="11.140625" style="142" customWidth="1"/>
    <col min="12804" max="12804" width="12" style="142" customWidth="1"/>
    <col min="12805" max="12805" width="11" style="142" customWidth="1"/>
    <col min="12806" max="12806" width="10.85546875" style="142" customWidth="1"/>
    <col min="12807" max="12807" width="12.5703125" style="142" customWidth="1"/>
    <col min="12808" max="12808" width="9.140625" style="142"/>
    <col min="12809" max="12809" width="13.7109375" style="142" bestFit="1" customWidth="1"/>
    <col min="12810" max="12810" width="9.7109375" style="142" customWidth="1"/>
    <col min="12811" max="13056" width="9.140625" style="142"/>
    <col min="13057" max="13057" width="5.85546875" style="142" customWidth="1"/>
    <col min="13058" max="13058" width="19.85546875" style="142" customWidth="1"/>
    <col min="13059" max="13059" width="11.140625" style="142" customWidth="1"/>
    <col min="13060" max="13060" width="12" style="142" customWidth="1"/>
    <col min="13061" max="13061" width="11" style="142" customWidth="1"/>
    <col min="13062" max="13062" width="10.85546875" style="142" customWidth="1"/>
    <col min="13063" max="13063" width="12.5703125" style="142" customWidth="1"/>
    <col min="13064" max="13064" width="9.140625" style="142"/>
    <col min="13065" max="13065" width="13.7109375" style="142" bestFit="1" customWidth="1"/>
    <col min="13066" max="13066" width="9.7109375" style="142" customWidth="1"/>
    <col min="13067" max="13312" width="9.140625" style="142"/>
    <col min="13313" max="13313" width="5.85546875" style="142" customWidth="1"/>
    <col min="13314" max="13314" width="19.85546875" style="142" customWidth="1"/>
    <col min="13315" max="13315" width="11.140625" style="142" customWidth="1"/>
    <col min="13316" max="13316" width="12" style="142" customWidth="1"/>
    <col min="13317" max="13317" width="11" style="142" customWidth="1"/>
    <col min="13318" max="13318" width="10.85546875" style="142" customWidth="1"/>
    <col min="13319" max="13319" width="12.5703125" style="142" customWidth="1"/>
    <col min="13320" max="13320" width="9.140625" style="142"/>
    <col min="13321" max="13321" width="13.7109375" style="142" bestFit="1" customWidth="1"/>
    <col min="13322" max="13322" width="9.7109375" style="142" customWidth="1"/>
    <col min="13323" max="13568" width="9.140625" style="142"/>
    <col min="13569" max="13569" width="5.85546875" style="142" customWidth="1"/>
    <col min="13570" max="13570" width="19.85546875" style="142" customWidth="1"/>
    <col min="13571" max="13571" width="11.140625" style="142" customWidth="1"/>
    <col min="13572" max="13572" width="12" style="142" customWidth="1"/>
    <col min="13573" max="13573" width="11" style="142" customWidth="1"/>
    <col min="13574" max="13574" width="10.85546875" style="142" customWidth="1"/>
    <col min="13575" max="13575" width="12.5703125" style="142" customWidth="1"/>
    <col min="13576" max="13576" width="9.140625" style="142"/>
    <col min="13577" max="13577" width="13.7109375" style="142" bestFit="1" customWidth="1"/>
    <col min="13578" max="13578" width="9.7109375" style="142" customWidth="1"/>
    <col min="13579" max="13824" width="9.140625" style="142"/>
    <col min="13825" max="13825" width="5.85546875" style="142" customWidth="1"/>
    <col min="13826" max="13826" width="19.85546875" style="142" customWidth="1"/>
    <col min="13827" max="13827" width="11.140625" style="142" customWidth="1"/>
    <col min="13828" max="13828" width="12" style="142" customWidth="1"/>
    <col min="13829" max="13829" width="11" style="142" customWidth="1"/>
    <col min="13830" max="13830" width="10.85546875" style="142" customWidth="1"/>
    <col min="13831" max="13831" width="12.5703125" style="142" customWidth="1"/>
    <col min="13832" max="13832" width="9.140625" style="142"/>
    <col min="13833" max="13833" width="13.7109375" style="142" bestFit="1" customWidth="1"/>
    <col min="13834" max="13834" width="9.7109375" style="142" customWidth="1"/>
    <col min="13835" max="14080" width="9.140625" style="142"/>
    <col min="14081" max="14081" width="5.85546875" style="142" customWidth="1"/>
    <col min="14082" max="14082" width="19.85546875" style="142" customWidth="1"/>
    <col min="14083" max="14083" width="11.140625" style="142" customWidth="1"/>
    <col min="14084" max="14084" width="12" style="142" customWidth="1"/>
    <col min="14085" max="14085" width="11" style="142" customWidth="1"/>
    <col min="14086" max="14086" width="10.85546875" style="142" customWidth="1"/>
    <col min="14087" max="14087" width="12.5703125" style="142" customWidth="1"/>
    <col min="14088" max="14088" width="9.140625" style="142"/>
    <col min="14089" max="14089" width="13.7109375" style="142" bestFit="1" customWidth="1"/>
    <col min="14090" max="14090" width="9.7109375" style="142" customWidth="1"/>
    <col min="14091" max="14336" width="9.140625" style="142"/>
    <col min="14337" max="14337" width="5.85546875" style="142" customWidth="1"/>
    <col min="14338" max="14338" width="19.85546875" style="142" customWidth="1"/>
    <col min="14339" max="14339" width="11.140625" style="142" customWidth="1"/>
    <col min="14340" max="14340" width="12" style="142" customWidth="1"/>
    <col min="14341" max="14341" width="11" style="142" customWidth="1"/>
    <col min="14342" max="14342" width="10.85546875" style="142" customWidth="1"/>
    <col min="14343" max="14343" width="12.5703125" style="142" customWidth="1"/>
    <col min="14344" max="14344" width="9.140625" style="142"/>
    <col min="14345" max="14345" width="13.7109375" style="142" bestFit="1" customWidth="1"/>
    <col min="14346" max="14346" width="9.7109375" style="142" customWidth="1"/>
    <col min="14347" max="14592" width="9.140625" style="142"/>
    <col min="14593" max="14593" width="5.85546875" style="142" customWidth="1"/>
    <col min="14594" max="14594" width="19.85546875" style="142" customWidth="1"/>
    <col min="14595" max="14595" width="11.140625" style="142" customWidth="1"/>
    <col min="14596" max="14596" width="12" style="142" customWidth="1"/>
    <col min="14597" max="14597" width="11" style="142" customWidth="1"/>
    <col min="14598" max="14598" width="10.85546875" style="142" customWidth="1"/>
    <col min="14599" max="14599" width="12.5703125" style="142" customWidth="1"/>
    <col min="14600" max="14600" width="9.140625" style="142"/>
    <col min="14601" max="14601" width="13.7109375" style="142" bestFit="1" customWidth="1"/>
    <col min="14602" max="14602" width="9.7109375" style="142" customWidth="1"/>
    <col min="14603" max="14848" width="9.140625" style="142"/>
    <col min="14849" max="14849" width="5.85546875" style="142" customWidth="1"/>
    <col min="14850" max="14850" width="19.85546875" style="142" customWidth="1"/>
    <col min="14851" max="14851" width="11.140625" style="142" customWidth="1"/>
    <col min="14852" max="14852" width="12" style="142" customWidth="1"/>
    <col min="14853" max="14853" width="11" style="142" customWidth="1"/>
    <col min="14854" max="14854" width="10.85546875" style="142" customWidth="1"/>
    <col min="14855" max="14855" width="12.5703125" style="142" customWidth="1"/>
    <col min="14856" max="14856" width="9.140625" style="142"/>
    <col min="14857" max="14857" width="13.7109375" style="142" bestFit="1" customWidth="1"/>
    <col min="14858" max="14858" width="9.7109375" style="142" customWidth="1"/>
    <col min="14859" max="15104" width="9.140625" style="142"/>
    <col min="15105" max="15105" width="5.85546875" style="142" customWidth="1"/>
    <col min="15106" max="15106" width="19.85546875" style="142" customWidth="1"/>
    <col min="15107" max="15107" width="11.140625" style="142" customWidth="1"/>
    <col min="15108" max="15108" width="12" style="142" customWidth="1"/>
    <col min="15109" max="15109" width="11" style="142" customWidth="1"/>
    <col min="15110" max="15110" width="10.85546875" style="142" customWidth="1"/>
    <col min="15111" max="15111" width="12.5703125" style="142" customWidth="1"/>
    <col min="15112" max="15112" width="9.140625" style="142"/>
    <col min="15113" max="15113" width="13.7109375" style="142" bestFit="1" customWidth="1"/>
    <col min="15114" max="15114" width="9.7109375" style="142" customWidth="1"/>
    <col min="15115" max="15360" width="9.140625" style="142"/>
    <col min="15361" max="15361" width="5.85546875" style="142" customWidth="1"/>
    <col min="15362" max="15362" width="19.85546875" style="142" customWidth="1"/>
    <col min="15363" max="15363" width="11.140625" style="142" customWidth="1"/>
    <col min="15364" max="15364" width="12" style="142" customWidth="1"/>
    <col min="15365" max="15365" width="11" style="142" customWidth="1"/>
    <col min="15366" max="15366" width="10.85546875" style="142" customWidth="1"/>
    <col min="15367" max="15367" width="12.5703125" style="142" customWidth="1"/>
    <col min="15368" max="15368" width="9.140625" style="142"/>
    <col min="15369" max="15369" width="13.7109375" style="142" bestFit="1" customWidth="1"/>
    <col min="15370" max="15370" width="9.7109375" style="142" customWidth="1"/>
    <col min="15371" max="15616" width="9.140625" style="142"/>
    <col min="15617" max="15617" width="5.85546875" style="142" customWidth="1"/>
    <col min="15618" max="15618" width="19.85546875" style="142" customWidth="1"/>
    <col min="15619" max="15619" width="11.140625" style="142" customWidth="1"/>
    <col min="15620" max="15620" width="12" style="142" customWidth="1"/>
    <col min="15621" max="15621" width="11" style="142" customWidth="1"/>
    <col min="15622" max="15622" width="10.85546875" style="142" customWidth="1"/>
    <col min="15623" max="15623" width="12.5703125" style="142" customWidth="1"/>
    <col min="15624" max="15624" width="9.140625" style="142"/>
    <col min="15625" max="15625" width="13.7109375" style="142" bestFit="1" customWidth="1"/>
    <col min="15626" max="15626" width="9.7109375" style="142" customWidth="1"/>
    <col min="15627" max="15872" width="9.140625" style="142"/>
    <col min="15873" max="15873" width="5.85546875" style="142" customWidth="1"/>
    <col min="15874" max="15874" width="19.85546875" style="142" customWidth="1"/>
    <col min="15875" max="15875" width="11.140625" style="142" customWidth="1"/>
    <col min="15876" max="15876" width="12" style="142" customWidth="1"/>
    <col min="15877" max="15877" width="11" style="142" customWidth="1"/>
    <col min="15878" max="15878" width="10.85546875" style="142" customWidth="1"/>
    <col min="15879" max="15879" width="12.5703125" style="142" customWidth="1"/>
    <col min="15880" max="15880" width="9.140625" style="142"/>
    <col min="15881" max="15881" width="13.7109375" style="142" bestFit="1" customWidth="1"/>
    <col min="15882" max="15882" width="9.7109375" style="142" customWidth="1"/>
    <col min="15883" max="16128" width="9.140625" style="142"/>
    <col min="16129" max="16129" width="5.85546875" style="142" customWidth="1"/>
    <col min="16130" max="16130" width="19.85546875" style="142" customWidth="1"/>
    <col min="16131" max="16131" width="11.140625" style="142" customWidth="1"/>
    <col min="16132" max="16132" width="12" style="142" customWidth="1"/>
    <col min="16133" max="16133" width="11" style="142" customWidth="1"/>
    <col min="16134" max="16134" width="10.85546875" style="142" customWidth="1"/>
    <col min="16135" max="16135" width="12.5703125" style="142" customWidth="1"/>
    <col min="16136" max="16136" width="9.140625" style="142"/>
    <col min="16137" max="16137" width="13.7109375" style="142" bestFit="1" customWidth="1"/>
    <col min="16138" max="16138" width="9.7109375" style="142" customWidth="1"/>
    <col min="16139" max="16384" width="9.140625" style="142"/>
  </cols>
  <sheetData>
    <row r="1" spans="1:9" s="255" customFormat="1" ht="15">
      <c r="A1" s="255" t="s">
        <v>167</v>
      </c>
    </row>
    <row r="2" spans="1:9" s="255" customFormat="1" ht="15">
      <c r="A2" s="255" t="s">
        <v>168</v>
      </c>
    </row>
    <row r="4" spans="1:9" s="256" customFormat="1" ht="18.75">
      <c r="B4" s="256" t="s">
        <v>426</v>
      </c>
      <c r="I4" s="142"/>
    </row>
    <row r="7" spans="1:9" ht="15">
      <c r="A7" s="153" t="s">
        <v>170</v>
      </c>
      <c r="B7" s="153" t="s">
        <v>145</v>
      </c>
      <c r="C7" s="153" t="s">
        <v>174</v>
      </c>
      <c r="D7" s="153" t="s">
        <v>427</v>
      </c>
      <c r="E7" s="153" t="s">
        <v>428</v>
      </c>
      <c r="F7" s="153" t="s">
        <v>429</v>
      </c>
      <c r="G7" s="153" t="s">
        <v>430</v>
      </c>
    </row>
    <row r="8" spans="1:9" ht="15">
      <c r="A8" s="156"/>
      <c r="B8" s="156"/>
      <c r="C8" s="156"/>
      <c r="D8" s="156" t="s">
        <v>431</v>
      </c>
      <c r="E8" s="156"/>
      <c r="F8" s="156"/>
      <c r="G8" s="156" t="s">
        <v>432</v>
      </c>
    </row>
    <row r="9" spans="1:9">
      <c r="A9" s="142">
        <v>1</v>
      </c>
      <c r="B9" s="142" t="s">
        <v>433</v>
      </c>
      <c r="D9" s="151"/>
      <c r="E9" s="151"/>
      <c r="F9" s="151"/>
      <c r="G9" s="151">
        <f>+D9+E9-F9</f>
        <v>0</v>
      </c>
    </row>
    <row r="10" spans="1:9">
      <c r="A10" s="142">
        <v>2</v>
      </c>
      <c r="B10" s="142" t="s">
        <v>434</v>
      </c>
      <c r="D10" s="151">
        <v>14193694</v>
      </c>
      <c r="E10" s="151"/>
      <c r="F10" s="151"/>
      <c r="G10" s="151">
        <f t="shared" ref="G10:G18" si="0">+D10+E10-F10</f>
        <v>14193694</v>
      </c>
    </row>
    <row r="11" spans="1:9">
      <c r="B11" s="142" t="s">
        <v>435</v>
      </c>
      <c r="D11" s="151">
        <v>56000000</v>
      </c>
      <c r="E11" s="151"/>
      <c r="F11" s="151"/>
      <c r="G11" s="151">
        <f t="shared" si="0"/>
        <v>56000000</v>
      </c>
    </row>
    <row r="12" spans="1:9">
      <c r="A12" s="142">
        <v>3</v>
      </c>
      <c r="B12" s="142" t="s">
        <v>436</v>
      </c>
      <c r="D12" s="151">
        <v>62875121</v>
      </c>
      <c r="E12" s="151">
        <v>39721061</v>
      </c>
      <c r="F12" s="151">
        <v>1517463</v>
      </c>
      <c r="G12" s="151">
        <f t="shared" si="0"/>
        <v>101078719</v>
      </c>
    </row>
    <row r="13" spans="1:9">
      <c r="A13" s="142">
        <v>4</v>
      </c>
      <c r="B13" s="142" t="s">
        <v>437</v>
      </c>
      <c r="D13" s="151">
        <v>50442942</v>
      </c>
      <c r="E13" s="151">
        <v>21651129</v>
      </c>
      <c r="F13" s="151"/>
      <c r="G13" s="151">
        <f t="shared" si="0"/>
        <v>72094071</v>
      </c>
    </row>
    <row r="14" spans="1:9">
      <c r="A14" s="142">
        <v>5</v>
      </c>
      <c r="B14" s="142" t="s">
        <v>438</v>
      </c>
      <c r="D14" s="151">
        <v>2249405</v>
      </c>
      <c r="E14" s="151">
        <v>189684</v>
      </c>
      <c r="F14" s="151"/>
      <c r="G14" s="151">
        <f t="shared" si="0"/>
        <v>2439089</v>
      </c>
    </row>
    <row r="15" spans="1:9">
      <c r="A15" s="142">
        <v>1</v>
      </c>
      <c r="B15" s="142" t="s">
        <v>439</v>
      </c>
      <c r="D15" s="151">
        <v>2894306</v>
      </c>
      <c r="E15" s="151">
        <v>121200</v>
      </c>
      <c r="F15" s="151"/>
      <c r="G15" s="151">
        <f t="shared" si="0"/>
        <v>3015506</v>
      </c>
    </row>
    <row r="16" spans="1:9">
      <c r="A16" s="142">
        <v>2</v>
      </c>
      <c r="D16" s="151"/>
      <c r="E16" s="151"/>
      <c r="F16" s="151"/>
      <c r="G16" s="151">
        <f t="shared" si="0"/>
        <v>0</v>
      </c>
    </row>
    <row r="17" spans="1:9">
      <c r="A17" s="142">
        <v>3</v>
      </c>
      <c r="D17" s="151"/>
      <c r="E17" s="151"/>
      <c r="F17" s="151"/>
      <c r="G17" s="151">
        <f t="shared" si="0"/>
        <v>0</v>
      </c>
    </row>
    <row r="18" spans="1:9">
      <c r="A18" s="142">
        <v>4</v>
      </c>
      <c r="D18" s="151"/>
      <c r="E18" s="151"/>
      <c r="F18" s="151"/>
      <c r="G18" s="151">
        <f t="shared" si="0"/>
        <v>0</v>
      </c>
    </row>
    <row r="19" spans="1:9">
      <c r="D19" s="151"/>
      <c r="E19" s="151"/>
      <c r="F19" s="151"/>
      <c r="G19" s="151"/>
    </row>
    <row r="20" spans="1:9" ht="15">
      <c r="A20" s="257"/>
      <c r="B20" s="258" t="s">
        <v>440</v>
      </c>
      <c r="C20" s="259"/>
      <c r="D20" s="260">
        <f>SUM(D9:D19)</f>
        <v>188655468</v>
      </c>
      <c r="E20" s="260">
        <f>SUM(E9:E19)</f>
        <v>61683074</v>
      </c>
      <c r="F20" s="260">
        <f>SUM(F9:F19)</f>
        <v>1517463</v>
      </c>
      <c r="G20" s="261">
        <f>SUM(G9:G19)</f>
        <v>248821079</v>
      </c>
    </row>
    <row r="23" spans="1:9" s="262" customFormat="1" ht="18.75">
      <c r="B23" s="262" t="s">
        <v>441</v>
      </c>
      <c r="I23" s="142"/>
    </row>
    <row r="25" spans="1:9" ht="15">
      <c r="A25" s="153" t="s">
        <v>170</v>
      </c>
      <c r="B25" s="153" t="s">
        <v>145</v>
      </c>
      <c r="C25" s="153" t="s">
        <v>174</v>
      </c>
      <c r="D25" s="153" t="s">
        <v>427</v>
      </c>
      <c r="E25" s="153" t="s">
        <v>428</v>
      </c>
      <c r="F25" s="153" t="s">
        <v>429</v>
      </c>
      <c r="G25" s="153" t="s">
        <v>430</v>
      </c>
    </row>
    <row r="26" spans="1:9" ht="15">
      <c r="A26" s="156"/>
      <c r="B26" s="156"/>
      <c r="C26" s="156"/>
      <c r="D26" s="156" t="s">
        <v>431</v>
      </c>
      <c r="E26" s="156"/>
      <c r="F26" s="156"/>
      <c r="G26" s="156" t="s">
        <v>432</v>
      </c>
    </row>
    <row r="27" spans="1:9">
      <c r="A27" s="142">
        <v>1</v>
      </c>
      <c r="B27" s="142" t="s">
        <v>433</v>
      </c>
      <c r="D27" s="151"/>
      <c r="E27" s="151"/>
      <c r="F27" s="151"/>
      <c r="G27" s="151">
        <f t="shared" ref="G27:G33" si="1">+D27+E27-F27</f>
        <v>0</v>
      </c>
    </row>
    <row r="28" spans="1:9">
      <c r="A28" s="142">
        <v>2</v>
      </c>
      <c r="B28" s="142" t="s">
        <v>434</v>
      </c>
      <c r="D28" s="151">
        <v>5229841</v>
      </c>
      <c r="E28" s="151">
        <v>1086113</v>
      </c>
      <c r="F28" s="151"/>
      <c r="G28" s="151">
        <f>+D28+E28-F28</f>
        <v>6315954</v>
      </c>
    </row>
    <row r="29" spans="1:9">
      <c r="A29" s="142">
        <v>3</v>
      </c>
      <c r="B29" s="142" t="s">
        <v>436</v>
      </c>
      <c r="D29" s="151">
        <v>20578494</v>
      </c>
      <c r="E29" s="151">
        <v>13871364</v>
      </c>
      <c r="F29" s="151">
        <v>594845</v>
      </c>
      <c r="G29" s="151">
        <f>+D29+E29-F29</f>
        <v>33855013</v>
      </c>
    </row>
    <row r="30" spans="1:9">
      <c r="A30" s="142">
        <v>4</v>
      </c>
      <c r="B30" s="142" t="s">
        <v>437</v>
      </c>
      <c r="D30" s="151">
        <v>17157864</v>
      </c>
      <c r="E30" s="151">
        <v>7997516</v>
      </c>
      <c r="F30" s="151"/>
      <c r="G30" s="151">
        <f t="shared" si="1"/>
        <v>25155380</v>
      </c>
    </row>
    <row r="31" spans="1:9">
      <c r="A31" s="142">
        <v>5</v>
      </c>
      <c r="B31" s="142" t="s">
        <v>438</v>
      </c>
      <c r="D31" s="151">
        <v>422489</v>
      </c>
      <c r="E31" s="151">
        <v>522005</v>
      </c>
      <c r="F31" s="151"/>
      <c r="G31" s="151">
        <f t="shared" si="1"/>
        <v>944494</v>
      </c>
    </row>
    <row r="32" spans="1:9">
      <c r="A32" s="142">
        <v>1</v>
      </c>
      <c r="B32" s="142" t="s">
        <v>439</v>
      </c>
      <c r="D32" s="151">
        <v>434321</v>
      </c>
      <c r="E32" s="151">
        <v>585593</v>
      </c>
      <c r="F32" s="151"/>
      <c r="G32" s="151">
        <f t="shared" si="1"/>
        <v>1019914</v>
      </c>
    </row>
    <row r="33" spans="1:9">
      <c r="A33" s="142">
        <v>2</v>
      </c>
      <c r="D33" s="151"/>
      <c r="E33" s="151"/>
      <c r="F33" s="151"/>
      <c r="G33" s="151">
        <f t="shared" si="1"/>
        <v>0</v>
      </c>
    </row>
    <row r="34" spans="1:9" ht="15">
      <c r="A34" s="257"/>
      <c r="B34" s="258" t="s">
        <v>440</v>
      </c>
      <c r="C34" s="259"/>
      <c r="D34" s="260">
        <f>SUM(D27:D33)</f>
        <v>43823009</v>
      </c>
      <c r="E34" s="260">
        <f>SUM(E27:E33)</f>
        <v>24062591</v>
      </c>
      <c r="F34" s="260">
        <f>SUM(F27:F33)</f>
        <v>594845</v>
      </c>
      <c r="G34" s="261">
        <f>SUM(G27:G33)</f>
        <v>67290755</v>
      </c>
    </row>
    <row r="36" spans="1:9" s="262" customFormat="1" ht="18.75">
      <c r="B36" s="262" t="s">
        <v>442</v>
      </c>
      <c r="I36" s="142"/>
    </row>
    <row r="39" spans="1:9" ht="15">
      <c r="A39" s="153" t="s">
        <v>170</v>
      </c>
      <c r="B39" s="153" t="s">
        <v>145</v>
      </c>
      <c r="C39" s="153" t="s">
        <v>174</v>
      </c>
      <c r="D39" s="153" t="s">
        <v>427</v>
      </c>
      <c r="E39" s="153" t="s">
        <v>428</v>
      </c>
      <c r="F39" s="153" t="s">
        <v>429</v>
      </c>
      <c r="G39" s="153" t="s">
        <v>430</v>
      </c>
    </row>
    <row r="40" spans="1:9" ht="15">
      <c r="A40" s="156"/>
      <c r="B40" s="156"/>
      <c r="C40" s="156"/>
      <c r="D40" s="156" t="s">
        <v>431</v>
      </c>
      <c r="E40" s="156"/>
      <c r="F40" s="156"/>
      <c r="G40" s="156" t="s">
        <v>432</v>
      </c>
    </row>
    <row r="41" spans="1:9">
      <c r="A41" s="142">
        <v>1</v>
      </c>
      <c r="B41" s="142" t="s">
        <v>433</v>
      </c>
      <c r="D41" s="151"/>
      <c r="E41" s="151"/>
      <c r="F41" s="151"/>
      <c r="G41" s="151">
        <f t="shared" ref="G41:G48" si="2">+D41+E41-F41</f>
        <v>0</v>
      </c>
    </row>
    <row r="42" spans="1:9">
      <c r="A42" s="142">
        <v>2</v>
      </c>
      <c r="B42" s="142" t="s">
        <v>434</v>
      </c>
      <c r="D42" s="151">
        <f>+D10</f>
        <v>14193694</v>
      </c>
      <c r="E42" s="151">
        <f>+E10</f>
        <v>0</v>
      </c>
      <c r="F42" s="151">
        <f>+G28</f>
        <v>6315954</v>
      </c>
      <c r="G42" s="151">
        <f>+D42+E42-F42</f>
        <v>7877740</v>
      </c>
    </row>
    <row r="43" spans="1:9">
      <c r="B43" s="142" t="s">
        <v>443</v>
      </c>
      <c r="D43" s="151">
        <f>+D11</f>
        <v>56000000</v>
      </c>
      <c r="E43" s="151"/>
      <c r="F43" s="151"/>
      <c r="G43" s="151">
        <f>+D43</f>
        <v>56000000</v>
      </c>
    </row>
    <row r="44" spans="1:9">
      <c r="A44" s="142">
        <v>3</v>
      </c>
      <c r="B44" s="142" t="s">
        <v>436</v>
      </c>
      <c r="D44" s="151">
        <f>+D12</f>
        <v>62875121</v>
      </c>
      <c r="E44" s="151">
        <f>+E12</f>
        <v>39721061</v>
      </c>
      <c r="F44" s="151">
        <f>+G29+F20</f>
        <v>35372476</v>
      </c>
      <c r="G44" s="151">
        <f>+D44+E44-F44</f>
        <v>67223706</v>
      </c>
    </row>
    <row r="45" spans="1:9">
      <c r="A45" s="142">
        <v>4</v>
      </c>
      <c r="B45" s="142" t="s">
        <v>437</v>
      </c>
      <c r="D45" s="151">
        <f>+D13</f>
        <v>50442942</v>
      </c>
      <c r="E45" s="151">
        <f>+E13</f>
        <v>21651129</v>
      </c>
      <c r="F45" s="151">
        <f>+G30+F13</f>
        <v>25155380</v>
      </c>
      <c r="G45" s="151">
        <f t="shared" si="2"/>
        <v>46938691</v>
      </c>
    </row>
    <row r="46" spans="1:9">
      <c r="A46" s="142">
        <v>5</v>
      </c>
      <c r="B46" s="142" t="s">
        <v>438</v>
      </c>
      <c r="D46" s="151">
        <f>+D14</f>
        <v>2249405</v>
      </c>
      <c r="E46" s="151">
        <f>+E14</f>
        <v>189684</v>
      </c>
      <c r="F46" s="151">
        <f>+G31</f>
        <v>944494</v>
      </c>
      <c r="G46" s="151">
        <f t="shared" si="2"/>
        <v>1494595</v>
      </c>
    </row>
    <row r="47" spans="1:9">
      <c r="A47" s="142">
        <v>1</v>
      </c>
      <c r="B47" s="142" t="s">
        <v>439</v>
      </c>
      <c r="D47" s="151">
        <f>+D15</f>
        <v>2894306</v>
      </c>
      <c r="E47" s="151">
        <f>+E15</f>
        <v>121200</v>
      </c>
      <c r="F47" s="151">
        <f>+G32</f>
        <v>1019914</v>
      </c>
      <c r="G47" s="151">
        <f t="shared" si="2"/>
        <v>1995592</v>
      </c>
    </row>
    <row r="48" spans="1:9">
      <c r="A48" s="142">
        <v>2</v>
      </c>
      <c r="D48" s="151"/>
      <c r="E48" s="151"/>
      <c r="F48" s="151"/>
      <c r="G48" s="151">
        <f t="shared" si="2"/>
        <v>0</v>
      </c>
    </row>
    <row r="49" spans="1:7" ht="15">
      <c r="A49" s="257"/>
      <c r="B49" s="258" t="s">
        <v>440</v>
      </c>
      <c r="C49" s="259"/>
      <c r="D49" s="260">
        <f>SUM(D42:D48)</f>
        <v>188655468</v>
      </c>
      <c r="E49" s="260">
        <f>SUM(E42:E48)</f>
        <v>61683074</v>
      </c>
      <c r="F49" s="260">
        <f>SUM(F42:F48)</f>
        <v>68808218</v>
      </c>
      <c r="G49" s="260">
        <f>SUM(G41:G48)</f>
        <v>181530324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1"/>
  <sheetViews>
    <sheetView topLeftCell="A22" workbookViewId="0">
      <selection activeCell="E12" sqref="E12"/>
    </sheetView>
  </sheetViews>
  <sheetFormatPr defaultRowHeight="14.25" customHeight="1"/>
  <cols>
    <col min="1" max="1" width="5.140625" style="60" customWidth="1"/>
    <col min="2" max="2" width="48.7109375" style="60" customWidth="1"/>
    <col min="3" max="3" width="9.140625" style="60"/>
    <col min="4" max="6" width="14.85546875" style="60" customWidth="1"/>
    <col min="7" max="7" width="16.42578125" style="60" customWidth="1"/>
    <col min="8" max="8" width="4" style="60" customWidth="1"/>
    <col min="9" max="9" width="10.7109375" style="60" bestFit="1" customWidth="1"/>
    <col min="10" max="256" width="9.140625" style="60"/>
    <col min="257" max="257" width="5.140625" style="60" customWidth="1"/>
    <col min="258" max="258" width="48.7109375" style="60" customWidth="1"/>
    <col min="259" max="259" width="9.140625" style="60"/>
    <col min="260" max="262" width="14.85546875" style="60" customWidth="1"/>
    <col min="263" max="263" width="16.42578125" style="60" customWidth="1"/>
    <col min="264" max="264" width="4" style="60" customWidth="1"/>
    <col min="265" max="265" width="10.7109375" style="60" bestFit="1" customWidth="1"/>
    <col min="266" max="512" width="9.140625" style="60"/>
    <col min="513" max="513" width="5.140625" style="60" customWidth="1"/>
    <col min="514" max="514" width="48.7109375" style="60" customWidth="1"/>
    <col min="515" max="515" width="9.140625" style="60"/>
    <col min="516" max="518" width="14.85546875" style="60" customWidth="1"/>
    <col min="519" max="519" width="16.42578125" style="60" customWidth="1"/>
    <col min="520" max="520" width="4" style="60" customWidth="1"/>
    <col min="521" max="521" width="10.7109375" style="60" bestFit="1" customWidth="1"/>
    <col min="522" max="768" width="9.140625" style="60"/>
    <col min="769" max="769" width="5.140625" style="60" customWidth="1"/>
    <col min="770" max="770" width="48.7109375" style="60" customWidth="1"/>
    <col min="771" max="771" width="9.140625" style="60"/>
    <col min="772" max="774" width="14.85546875" style="60" customWidth="1"/>
    <col min="775" max="775" width="16.42578125" style="60" customWidth="1"/>
    <col min="776" max="776" width="4" style="60" customWidth="1"/>
    <col min="777" max="777" width="10.7109375" style="60" bestFit="1" customWidth="1"/>
    <col min="778" max="1024" width="9.140625" style="60"/>
    <col min="1025" max="1025" width="5.140625" style="60" customWidth="1"/>
    <col min="1026" max="1026" width="48.7109375" style="60" customWidth="1"/>
    <col min="1027" max="1027" width="9.140625" style="60"/>
    <col min="1028" max="1030" width="14.85546875" style="60" customWidth="1"/>
    <col min="1031" max="1031" width="16.42578125" style="60" customWidth="1"/>
    <col min="1032" max="1032" width="4" style="60" customWidth="1"/>
    <col min="1033" max="1033" width="10.7109375" style="60" bestFit="1" customWidth="1"/>
    <col min="1034" max="1280" width="9.140625" style="60"/>
    <col min="1281" max="1281" width="5.140625" style="60" customWidth="1"/>
    <col min="1282" max="1282" width="48.7109375" style="60" customWidth="1"/>
    <col min="1283" max="1283" width="9.140625" style="60"/>
    <col min="1284" max="1286" width="14.85546875" style="60" customWidth="1"/>
    <col min="1287" max="1287" width="16.42578125" style="60" customWidth="1"/>
    <col min="1288" max="1288" width="4" style="60" customWidth="1"/>
    <col min="1289" max="1289" width="10.7109375" style="60" bestFit="1" customWidth="1"/>
    <col min="1290" max="1536" width="9.140625" style="60"/>
    <col min="1537" max="1537" width="5.140625" style="60" customWidth="1"/>
    <col min="1538" max="1538" width="48.7109375" style="60" customWidth="1"/>
    <col min="1539" max="1539" width="9.140625" style="60"/>
    <col min="1540" max="1542" width="14.85546875" style="60" customWidth="1"/>
    <col min="1543" max="1543" width="16.42578125" style="60" customWidth="1"/>
    <col min="1544" max="1544" width="4" style="60" customWidth="1"/>
    <col min="1545" max="1545" width="10.7109375" style="60" bestFit="1" customWidth="1"/>
    <col min="1546" max="1792" width="9.140625" style="60"/>
    <col min="1793" max="1793" width="5.140625" style="60" customWidth="1"/>
    <col min="1794" max="1794" width="48.7109375" style="60" customWidth="1"/>
    <col min="1795" max="1795" width="9.140625" style="60"/>
    <col min="1796" max="1798" width="14.85546875" style="60" customWidth="1"/>
    <col min="1799" max="1799" width="16.42578125" style="60" customWidth="1"/>
    <col min="1800" max="1800" width="4" style="60" customWidth="1"/>
    <col min="1801" max="1801" width="10.7109375" style="60" bestFit="1" customWidth="1"/>
    <col min="1802" max="2048" width="9.140625" style="60"/>
    <col min="2049" max="2049" width="5.140625" style="60" customWidth="1"/>
    <col min="2050" max="2050" width="48.7109375" style="60" customWidth="1"/>
    <col min="2051" max="2051" width="9.140625" style="60"/>
    <col min="2052" max="2054" width="14.85546875" style="60" customWidth="1"/>
    <col min="2055" max="2055" width="16.42578125" style="60" customWidth="1"/>
    <col min="2056" max="2056" width="4" style="60" customWidth="1"/>
    <col min="2057" max="2057" width="10.7109375" style="60" bestFit="1" customWidth="1"/>
    <col min="2058" max="2304" width="9.140625" style="60"/>
    <col min="2305" max="2305" width="5.140625" style="60" customWidth="1"/>
    <col min="2306" max="2306" width="48.7109375" style="60" customWidth="1"/>
    <col min="2307" max="2307" width="9.140625" style="60"/>
    <col min="2308" max="2310" width="14.85546875" style="60" customWidth="1"/>
    <col min="2311" max="2311" width="16.42578125" style="60" customWidth="1"/>
    <col min="2312" max="2312" width="4" style="60" customWidth="1"/>
    <col min="2313" max="2313" width="10.7109375" style="60" bestFit="1" customWidth="1"/>
    <col min="2314" max="2560" width="9.140625" style="60"/>
    <col min="2561" max="2561" width="5.140625" style="60" customWidth="1"/>
    <col min="2562" max="2562" width="48.7109375" style="60" customWidth="1"/>
    <col min="2563" max="2563" width="9.140625" style="60"/>
    <col min="2564" max="2566" width="14.85546875" style="60" customWidth="1"/>
    <col min="2567" max="2567" width="16.42578125" style="60" customWidth="1"/>
    <col min="2568" max="2568" width="4" style="60" customWidth="1"/>
    <col min="2569" max="2569" width="10.7109375" style="60" bestFit="1" customWidth="1"/>
    <col min="2570" max="2816" width="9.140625" style="60"/>
    <col min="2817" max="2817" width="5.140625" style="60" customWidth="1"/>
    <col min="2818" max="2818" width="48.7109375" style="60" customWidth="1"/>
    <col min="2819" max="2819" width="9.140625" style="60"/>
    <col min="2820" max="2822" width="14.85546875" style="60" customWidth="1"/>
    <col min="2823" max="2823" width="16.42578125" style="60" customWidth="1"/>
    <col min="2824" max="2824" width="4" style="60" customWidth="1"/>
    <col min="2825" max="2825" width="10.7109375" style="60" bestFit="1" customWidth="1"/>
    <col min="2826" max="3072" width="9.140625" style="60"/>
    <col min="3073" max="3073" width="5.140625" style="60" customWidth="1"/>
    <col min="3074" max="3074" width="48.7109375" style="60" customWidth="1"/>
    <col min="3075" max="3075" width="9.140625" style="60"/>
    <col min="3076" max="3078" width="14.85546875" style="60" customWidth="1"/>
    <col min="3079" max="3079" width="16.42578125" style="60" customWidth="1"/>
    <col min="3080" max="3080" width="4" style="60" customWidth="1"/>
    <col min="3081" max="3081" width="10.7109375" style="60" bestFit="1" customWidth="1"/>
    <col min="3082" max="3328" width="9.140625" style="60"/>
    <col min="3329" max="3329" width="5.140625" style="60" customWidth="1"/>
    <col min="3330" max="3330" width="48.7109375" style="60" customWidth="1"/>
    <col min="3331" max="3331" width="9.140625" style="60"/>
    <col min="3332" max="3334" width="14.85546875" style="60" customWidth="1"/>
    <col min="3335" max="3335" width="16.42578125" style="60" customWidth="1"/>
    <col min="3336" max="3336" width="4" style="60" customWidth="1"/>
    <col min="3337" max="3337" width="10.7109375" style="60" bestFit="1" customWidth="1"/>
    <col min="3338" max="3584" width="9.140625" style="60"/>
    <col min="3585" max="3585" width="5.140625" style="60" customWidth="1"/>
    <col min="3586" max="3586" width="48.7109375" style="60" customWidth="1"/>
    <col min="3587" max="3587" width="9.140625" style="60"/>
    <col min="3588" max="3590" width="14.85546875" style="60" customWidth="1"/>
    <col min="3591" max="3591" width="16.42578125" style="60" customWidth="1"/>
    <col min="3592" max="3592" width="4" style="60" customWidth="1"/>
    <col min="3593" max="3593" width="10.7109375" style="60" bestFit="1" customWidth="1"/>
    <col min="3594" max="3840" width="9.140625" style="60"/>
    <col min="3841" max="3841" width="5.140625" style="60" customWidth="1"/>
    <col min="3842" max="3842" width="48.7109375" style="60" customWidth="1"/>
    <col min="3843" max="3843" width="9.140625" style="60"/>
    <col min="3844" max="3846" width="14.85546875" style="60" customWidth="1"/>
    <col min="3847" max="3847" width="16.42578125" style="60" customWidth="1"/>
    <col min="3848" max="3848" width="4" style="60" customWidth="1"/>
    <col min="3849" max="3849" width="10.7109375" style="60" bestFit="1" customWidth="1"/>
    <col min="3850" max="4096" width="9.140625" style="60"/>
    <col min="4097" max="4097" width="5.140625" style="60" customWidth="1"/>
    <col min="4098" max="4098" width="48.7109375" style="60" customWidth="1"/>
    <col min="4099" max="4099" width="9.140625" style="60"/>
    <col min="4100" max="4102" width="14.85546875" style="60" customWidth="1"/>
    <col min="4103" max="4103" width="16.42578125" style="60" customWidth="1"/>
    <col min="4104" max="4104" width="4" style="60" customWidth="1"/>
    <col min="4105" max="4105" width="10.7109375" style="60" bestFit="1" customWidth="1"/>
    <col min="4106" max="4352" width="9.140625" style="60"/>
    <col min="4353" max="4353" width="5.140625" style="60" customWidth="1"/>
    <col min="4354" max="4354" width="48.7109375" style="60" customWidth="1"/>
    <col min="4355" max="4355" width="9.140625" style="60"/>
    <col min="4356" max="4358" width="14.85546875" style="60" customWidth="1"/>
    <col min="4359" max="4359" width="16.42578125" style="60" customWidth="1"/>
    <col min="4360" max="4360" width="4" style="60" customWidth="1"/>
    <col min="4361" max="4361" width="10.7109375" style="60" bestFit="1" customWidth="1"/>
    <col min="4362" max="4608" width="9.140625" style="60"/>
    <col min="4609" max="4609" width="5.140625" style="60" customWidth="1"/>
    <col min="4610" max="4610" width="48.7109375" style="60" customWidth="1"/>
    <col min="4611" max="4611" width="9.140625" style="60"/>
    <col min="4612" max="4614" width="14.85546875" style="60" customWidth="1"/>
    <col min="4615" max="4615" width="16.42578125" style="60" customWidth="1"/>
    <col min="4616" max="4616" width="4" style="60" customWidth="1"/>
    <col min="4617" max="4617" width="10.7109375" style="60" bestFit="1" customWidth="1"/>
    <col min="4618" max="4864" width="9.140625" style="60"/>
    <col min="4865" max="4865" width="5.140625" style="60" customWidth="1"/>
    <col min="4866" max="4866" width="48.7109375" style="60" customWidth="1"/>
    <col min="4867" max="4867" width="9.140625" style="60"/>
    <col min="4868" max="4870" width="14.85546875" style="60" customWidth="1"/>
    <col min="4871" max="4871" width="16.42578125" style="60" customWidth="1"/>
    <col min="4872" max="4872" width="4" style="60" customWidth="1"/>
    <col min="4873" max="4873" width="10.7109375" style="60" bestFit="1" customWidth="1"/>
    <col min="4874" max="5120" width="9.140625" style="60"/>
    <col min="5121" max="5121" width="5.140625" style="60" customWidth="1"/>
    <col min="5122" max="5122" width="48.7109375" style="60" customWidth="1"/>
    <col min="5123" max="5123" width="9.140625" style="60"/>
    <col min="5124" max="5126" width="14.85546875" style="60" customWidth="1"/>
    <col min="5127" max="5127" width="16.42578125" style="60" customWidth="1"/>
    <col min="5128" max="5128" width="4" style="60" customWidth="1"/>
    <col min="5129" max="5129" width="10.7109375" style="60" bestFit="1" customWidth="1"/>
    <col min="5130" max="5376" width="9.140625" style="60"/>
    <col min="5377" max="5377" width="5.140625" style="60" customWidth="1"/>
    <col min="5378" max="5378" width="48.7109375" style="60" customWidth="1"/>
    <col min="5379" max="5379" width="9.140625" style="60"/>
    <col min="5380" max="5382" width="14.85546875" style="60" customWidth="1"/>
    <col min="5383" max="5383" width="16.42578125" style="60" customWidth="1"/>
    <col min="5384" max="5384" width="4" style="60" customWidth="1"/>
    <col min="5385" max="5385" width="10.7109375" style="60" bestFit="1" customWidth="1"/>
    <col min="5386" max="5632" width="9.140625" style="60"/>
    <col min="5633" max="5633" width="5.140625" style="60" customWidth="1"/>
    <col min="5634" max="5634" width="48.7109375" style="60" customWidth="1"/>
    <col min="5635" max="5635" width="9.140625" style="60"/>
    <col min="5636" max="5638" width="14.85546875" style="60" customWidth="1"/>
    <col min="5639" max="5639" width="16.42578125" style="60" customWidth="1"/>
    <col min="5640" max="5640" width="4" style="60" customWidth="1"/>
    <col min="5641" max="5641" width="10.7109375" style="60" bestFit="1" customWidth="1"/>
    <col min="5642" max="5888" width="9.140625" style="60"/>
    <col min="5889" max="5889" width="5.140625" style="60" customWidth="1"/>
    <col min="5890" max="5890" width="48.7109375" style="60" customWidth="1"/>
    <col min="5891" max="5891" width="9.140625" style="60"/>
    <col min="5892" max="5894" width="14.85546875" style="60" customWidth="1"/>
    <col min="5895" max="5895" width="16.42578125" style="60" customWidth="1"/>
    <col min="5896" max="5896" width="4" style="60" customWidth="1"/>
    <col min="5897" max="5897" width="10.7109375" style="60" bestFit="1" customWidth="1"/>
    <col min="5898" max="6144" width="9.140625" style="60"/>
    <col min="6145" max="6145" width="5.140625" style="60" customWidth="1"/>
    <col min="6146" max="6146" width="48.7109375" style="60" customWidth="1"/>
    <col min="6147" max="6147" width="9.140625" style="60"/>
    <col min="6148" max="6150" width="14.85546875" style="60" customWidth="1"/>
    <col min="6151" max="6151" width="16.42578125" style="60" customWidth="1"/>
    <col min="6152" max="6152" width="4" style="60" customWidth="1"/>
    <col min="6153" max="6153" width="10.7109375" style="60" bestFit="1" customWidth="1"/>
    <col min="6154" max="6400" width="9.140625" style="60"/>
    <col min="6401" max="6401" width="5.140625" style="60" customWidth="1"/>
    <col min="6402" max="6402" width="48.7109375" style="60" customWidth="1"/>
    <col min="6403" max="6403" width="9.140625" style="60"/>
    <col min="6404" max="6406" width="14.85546875" style="60" customWidth="1"/>
    <col min="6407" max="6407" width="16.42578125" style="60" customWidth="1"/>
    <col min="6408" max="6408" width="4" style="60" customWidth="1"/>
    <col min="6409" max="6409" width="10.7109375" style="60" bestFit="1" customWidth="1"/>
    <col min="6410" max="6656" width="9.140625" style="60"/>
    <col min="6657" max="6657" width="5.140625" style="60" customWidth="1"/>
    <col min="6658" max="6658" width="48.7109375" style="60" customWidth="1"/>
    <col min="6659" max="6659" width="9.140625" style="60"/>
    <col min="6660" max="6662" width="14.85546875" style="60" customWidth="1"/>
    <col min="6663" max="6663" width="16.42578125" style="60" customWidth="1"/>
    <col min="6664" max="6664" width="4" style="60" customWidth="1"/>
    <col min="6665" max="6665" width="10.7109375" style="60" bestFit="1" customWidth="1"/>
    <col min="6666" max="6912" width="9.140625" style="60"/>
    <col min="6913" max="6913" width="5.140625" style="60" customWidth="1"/>
    <col min="6914" max="6914" width="48.7109375" style="60" customWidth="1"/>
    <col min="6915" max="6915" width="9.140625" style="60"/>
    <col min="6916" max="6918" width="14.85546875" style="60" customWidth="1"/>
    <col min="6919" max="6919" width="16.42578125" style="60" customWidth="1"/>
    <col min="6920" max="6920" width="4" style="60" customWidth="1"/>
    <col min="6921" max="6921" width="10.7109375" style="60" bestFit="1" customWidth="1"/>
    <col min="6922" max="7168" width="9.140625" style="60"/>
    <col min="7169" max="7169" width="5.140625" style="60" customWidth="1"/>
    <col min="7170" max="7170" width="48.7109375" style="60" customWidth="1"/>
    <col min="7171" max="7171" width="9.140625" style="60"/>
    <col min="7172" max="7174" width="14.85546875" style="60" customWidth="1"/>
    <col min="7175" max="7175" width="16.42578125" style="60" customWidth="1"/>
    <col min="7176" max="7176" width="4" style="60" customWidth="1"/>
    <col min="7177" max="7177" width="10.7109375" style="60" bestFit="1" customWidth="1"/>
    <col min="7178" max="7424" width="9.140625" style="60"/>
    <col min="7425" max="7425" width="5.140625" style="60" customWidth="1"/>
    <col min="7426" max="7426" width="48.7109375" style="60" customWidth="1"/>
    <col min="7427" max="7427" width="9.140625" style="60"/>
    <col min="7428" max="7430" width="14.85546875" style="60" customWidth="1"/>
    <col min="7431" max="7431" width="16.42578125" style="60" customWidth="1"/>
    <col min="7432" max="7432" width="4" style="60" customWidth="1"/>
    <col min="7433" max="7433" width="10.7109375" style="60" bestFit="1" customWidth="1"/>
    <col min="7434" max="7680" width="9.140625" style="60"/>
    <col min="7681" max="7681" width="5.140625" style="60" customWidth="1"/>
    <col min="7682" max="7682" width="48.7109375" style="60" customWidth="1"/>
    <col min="7683" max="7683" width="9.140625" style="60"/>
    <col min="7684" max="7686" width="14.85546875" style="60" customWidth="1"/>
    <col min="7687" max="7687" width="16.42578125" style="60" customWidth="1"/>
    <col min="7688" max="7688" width="4" style="60" customWidth="1"/>
    <col min="7689" max="7689" width="10.7109375" style="60" bestFit="1" customWidth="1"/>
    <col min="7690" max="7936" width="9.140625" style="60"/>
    <col min="7937" max="7937" width="5.140625" style="60" customWidth="1"/>
    <col min="7938" max="7938" width="48.7109375" style="60" customWidth="1"/>
    <col min="7939" max="7939" width="9.140625" style="60"/>
    <col min="7940" max="7942" width="14.85546875" style="60" customWidth="1"/>
    <col min="7943" max="7943" width="16.42578125" style="60" customWidth="1"/>
    <col min="7944" max="7944" width="4" style="60" customWidth="1"/>
    <col min="7945" max="7945" width="10.7109375" style="60" bestFit="1" customWidth="1"/>
    <col min="7946" max="8192" width="9.140625" style="60"/>
    <col min="8193" max="8193" width="5.140625" style="60" customWidth="1"/>
    <col min="8194" max="8194" width="48.7109375" style="60" customWidth="1"/>
    <col min="8195" max="8195" width="9.140625" style="60"/>
    <col min="8196" max="8198" width="14.85546875" style="60" customWidth="1"/>
    <col min="8199" max="8199" width="16.42578125" style="60" customWidth="1"/>
    <col min="8200" max="8200" width="4" style="60" customWidth="1"/>
    <col min="8201" max="8201" width="10.7109375" style="60" bestFit="1" customWidth="1"/>
    <col min="8202" max="8448" width="9.140625" style="60"/>
    <col min="8449" max="8449" width="5.140625" style="60" customWidth="1"/>
    <col min="8450" max="8450" width="48.7109375" style="60" customWidth="1"/>
    <col min="8451" max="8451" width="9.140625" style="60"/>
    <col min="8452" max="8454" width="14.85546875" style="60" customWidth="1"/>
    <col min="8455" max="8455" width="16.42578125" style="60" customWidth="1"/>
    <col min="8456" max="8456" width="4" style="60" customWidth="1"/>
    <col min="8457" max="8457" width="10.7109375" style="60" bestFit="1" customWidth="1"/>
    <col min="8458" max="8704" width="9.140625" style="60"/>
    <col min="8705" max="8705" width="5.140625" style="60" customWidth="1"/>
    <col min="8706" max="8706" width="48.7109375" style="60" customWidth="1"/>
    <col min="8707" max="8707" width="9.140625" style="60"/>
    <col min="8708" max="8710" width="14.85546875" style="60" customWidth="1"/>
    <col min="8711" max="8711" width="16.42578125" style="60" customWidth="1"/>
    <col min="8712" max="8712" width="4" style="60" customWidth="1"/>
    <col min="8713" max="8713" width="10.7109375" style="60" bestFit="1" customWidth="1"/>
    <col min="8714" max="8960" width="9.140625" style="60"/>
    <col min="8961" max="8961" width="5.140625" style="60" customWidth="1"/>
    <col min="8962" max="8962" width="48.7109375" style="60" customWidth="1"/>
    <col min="8963" max="8963" width="9.140625" style="60"/>
    <col min="8964" max="8966" width="14.85546875" style="60" customWidth="1"/>
    <col min="8967" max="8967" width="16.42578125" style="60" customWidth="1"/>
    <col min="8968" max="8968" width="4" style="60" customWidth="1"/>
    <col min="8969" max="8969" width="10.7109375" style="60" bestFit="1" customWidth="1"/>
    <col min="8970" max="9216" width="9.140625" style="60"/>
    <col min="9217" max="9217" width="5.140625" style="60" customWidth="1"/>
    <col min="9218" max="9218" width="48.7109375" style="60" customWidth="1"/>
    <col min="9219" max="9219" width="9.140625" style="60"/>
    <col min="9220" max="9222" width="14.85546875" style="60" customWidth="1"/>
    <col min="9223" max="9223" width="16.42578125" style="60" customWidth="1"/>
    <col min="9224" max="9224" width="4" style="60" customWidth="1"/>
    <col min="9225" max="9225" width="10.7109375" style="60" bestFit="1" customWidth="1"/>
    <col min="9226" max="9472" width="9.140625" style="60"/>
    <col min="9473" max="9473" width="5.140625" style="60" customWidth="1"/>
    <col min="9474" max="9474" width="48.7109375" style="60" customWidth="1"/>
    <col min="9475" max="9475" width="9.140625" style="60"/>
    <col min="9476" max="9478" width="14.85546875" style="60" customWidth="1"/>
    <col min="9479" max="9479" width="16.42578125" style="60" customWidth="1"/>
    <col min="9480" max="9480" width="4" style="60" customWidth="1"/>
    <col min="9481" max="9481" width="10.7109375" style="60" bestFit="1" customWidth="1"/>
    <col min="9482" max="9728" width="9.140625" style="60"/>
    <col min="9729" max="9729" width="5.140625" style="60" customWidth="1"/>
    <col min="9730" max="9730" width="48.7109375" style="60" customWidth="1"/>
    <col min="9731" max="9731" width="9.140625" style="60"/>
    <col min="9732" max="9734" width="14.85546875" style="60" customWidth="1"/>
    <col min="9735" max="9735" width="16.42578125" style="60" customWidth="1"/>
    <col min="9736" max="9736" width="4" style="60" customWidth="1"/>
    <col min="9737" max="9737" width="10.7109375" style="60" bestFit="1" customWidth="1"/>
    <col min="9738" max="9984" width="9.140625" style="60"/>
    <col min="9985" max="9985" width="5.140625" style="60" customWidth="1"/>
    <col min="9986" max="9986" width="48.7109375" style="60" customWidth="1"/>
    <col min="9987" max="9987" width="9.140625" style="60"/>
    <col min="9988" max="9990" width="14.85546875" style="60" customWidth="1"/>
    <col min="9991" max="9991" width="16.42578125" style="60" customWidth="1"/>
    <col min="9992" max="9992" width="4" style="60" customWidth="1"/>
    <col min="9993" max="9993" width="10.7109375" style="60" bestFit="1" customWidth="1"/>
    <col min="9994" max="10240" width="9.140625" style="60"/>
    <col min="10241" max="10241" width="5.140625" style="60" customWidth="1"/>
    <col min="10242" max="10242" width="48.7109375" style="60" customWidth="1"/>
    <col min="10243" max="10243" width="9.140625" style="60"/>
    <col min="10244" max="10246" width="14.85546875" style="60" customWidth="1"/>
    <col min="10247" max="10247" width="16.42578125" style="60" customWidth="1"/>
    <col min="10248" max="10248" width="4" style="60" customWidth="1"/>
    <col min="10249" max="10249" width="10.7109375" style="60" bestFit="1" customWidth="1"/>
    <col min="10250" max="10496" width="9.140625" style="60"/>
    <col min="10497" max="10497" width="5.140625" style="60" customWidth="1"/>
    <col min="10498" max="10498" width="48.7109375" style="60" customWidth="1"/>
    <col min="10499" max="10499" width="9.140625" style="60"/>
    <col min="10500" max="10502" width="14.85546875" style="60" customWidth="1"/>
    <col min="10503" max="10503" width="16.42578125" style="60" customWidth="1"/>
    <col min="10504" max="10504" width="4" style="60" customWidth="1"/>
    <col min="10505" max="10505" width="10.7109375" style="60" bestFit="1" customWidth="1"/>
    <col min="10506" max="10752" width="9.140625" style="60"/>
    <col min="10753" max="10753" width="5.140625" style="60" customWidth="1"/>
    <col min="10754" max="10754" width="48.7109375" style="60" customWidth="1"/>
    <col min="10755" max="10755" width="9.140625" style="60"/>
    <col min="10756" max="10758" width="14.85546875" style="60" customWidth="1"/>
    <col min="10759" max="10759" width="16.42578125" style="60" customWidth="1"/>
    <col min="10760" max="10760" width="4" style="60" customWidth="1"/>
    <col min="10761" max="10761" width="10.7109375" style="60" bestFit="1" customWidth="1"/>
    <col min="10762" max="11008" width="9.140625" style="60"/>
    <col min="11009" max="11009" width="5.140625" style="60" customWidth="1"/>
    <col min="11010" max="11010" width="48.7109375" style="60" customWidth="1"/>
    <col min="11011" max="11011" width="9.140625" style="60"/>
    <col min="11012" max="11014" width="14.85546875" style="60" customWidth="1"/>
    <col min="11015" max="11015" width="16.42578125" style="60" customWidth="1"/>
    <col min="11016" max="11016" width="4" style="60" customWidth="1"/>
    <col min="11017" max="11017" width="10.7109375" style="60" bestFit="1" customWidth="1"/>
    <col min="11018" max="11264" width="9.140625" style="60"/>
    <col min="11265" max="11265" width="5.140625" style="60" customWidth="1"/>
    <col min="11266" max="11266" width="48.7109375" style="60" customWidth="1"/>
    <col min="11267" max="11267" width="9.140625" style="60"/>
    <col min="11268" max="11270" width="14.85546875" style="60" customWidth="1"/>
    <col min="11271" max="11271" width="16.42578125" style="60" customWidth="1"/>
    <col min="11272" max="11272" width="4" style="60" customWidth="1"/>
    <col min="11273" max="11273" width="10.7109375" style="60" bestFit="1" customWidth="1"/>
    <col min="11274" max="11520" width="9.140625" style="60"/>
    <col min="11521" max="11521" width="5.140625" style="60" customWidth="1"/>
    <col min="11522" max="11522" width="48.7109375" style="60" customWidth="1"/>
    <col min="11523" max="11523" width="9.140625" style="60"/>
    <col min="11524" max="11526" width="14.85546875" style="60" customWidth="1"/>
    <col min="11527" max="11527" width="16.42578125" style="60" customWidth="1"/>
    <col min="11528" max="11528" width="4" style="60" customWidth="1"/>
    <col min="11529" max="11529" width="10.7109375" style="60" bestFit="1" customWidth="1"/>
    <col min="11530" max="11776" width="9.140625" style="60"/>
    <col min="11777" max="11777" width="5.140625" style="60" customWidth="1"/>
    <col min="11778" max="11778" width="48.7109375" style="60" customWidth="1"/>
    <col min="11779" max="11779" width="9.140625" style="60"/>
    <col min="11780" max="11782" width="14.85546875" style="60" customWidth="1"/>
    <col min="11783" max="11783" width="16.42578125" style="60" customWidth="1"/>
    <col min="11784" max="11784" width="4" style="60" customWidth="1"/>
    <col min="11785" max="11785" width="10.7109375" style="60" bestFit="1" customWidth="1"/>
    <col min="11786" max="12032" width="9.140625" style="60"/>
    <col min="12033" max="12033" width="5.140625" style="60" customWidth="1"/>
    <col min="12034" max="12034" width="48.7109375" style="60" customWidth="1"/>
    <col min="12035" max="12035" width="9.140625" style="60"/>
    <col min="12036" max="12038" width="14.85546875" style="60" customWidth="1"/>
    <col min="12039" max="12039" width="16.42578125" style="60" customWidth="1"/>
    <col min="12040" max="12040" width="4" style="60" customWidth="1"/>
    <col min="12041" max="12041" width="10.7109375" style="60" bestFit="1" customWidth="1"/>
    <col min="12042" max="12288" width="9.140625" style="60"/>
    <col min="12289" max="12289" width="5.140625" style="60" customWidth="1"/>
    <col min="12290" max="12290" width="48.7109375" style="60" customWidth="1"/>
    <col min="12291" max="12291" width="9.140625" style="60"/>
    <col min="12292" max="12294" width="14.85546875" style="60" customWidth="1"/>
    <col min="12295" max="12295" width="16.42578125" style="60" customWidth="1"/>
    <col min="12296" max="12296" width="4" style="60" customWidth="1"/>
    <col min="12297" max="12297" width="10.7109375" style="60" bestFit="1" customWidth="1"/>
    <col min="12298" max="12544" width="9.140625" style="60"/>
    <col min="12545" max="12545" width="5.140625" style="60" customWidth="1"/>
    <col min="12546" max="12546" width="48.7109375" style="60" customWidth="1"/>
    <col min="12547" max="12547" width="9.140625" style="60"/>
    <col min="12548" max="12550" width="14.85546875" style="60" customWidth="1"/>
    <col min="12551" max="12551" width="16.42578125" style="60" customWidth="1"/>
    <col min="12552" max="12552" width="4" style="60" customWidth="1"/>
    <col min="12553" max="12553" width="10.7109375" style="60" bestFit="1" customWidth="1"/>
    <col min="12554" max="12800" width="9.140625" style="60"/>
    <col min="12801" max="12801" width="5.140625" style="60" customWidth="1"/>
    <col min="12802" max="12802" width="48.7109375" style="60" customWidth="1"/>
    <col min="12803" max="12803" width="9.140625" style="60"/>
    <col min="12804" max="12806" width="14.85546875" style="60" customWidth="1"/>
    <col min="12807" max="12807" width="16.42578125" style="60" customWidth="1"/>
    <col min="12808" max="12808" width="4" style="60" customWidth="1"/>
    <col min="12809" max="12809" width="10.7109375" style="60" bestFit="1" customWidth="1"/>
    <col min="12810" max="13056" width="9.140625" style="60"/>
    <col min="13057" max="13057" width="5.140625" style="60" customWidth="1"/>
    <col min="13058" max="13058" width="48.7109375" style="60" customWidth="1"/>
    <col min="13059" max="13059" width="9.140625" style="60"/>
    <col min="13060" max="13062" width="14.85546875" style="60" customWidth="1"/>
    <col min="13063" max="13063" width="16.42578125" style="60" customWidth="1"/>
    <col min="13064" max="13064" width="4" style="60" customWidth="1"/>
    <col min="13065" max="13065" width="10.7109375" style="60" bestFit="1" customWidth="1"/>
    <col min="13066" max="13312" width="9.140625" style="60"/>
    <col min="13313" max="13313" width="5.140625" style="60" customWidth="1"/>
    <col min="13314" max="13314" width="48.7109375" style="60" customWidth="1"/>
    <col min="13315" max="13315" width="9.140625" style="60"/>
    <col min="13316" max="13318" width="14.85546875" style="60" customWidth="1"/>
    <col min="13319" max="13319" width="16.42578125" style="60" customWidth="1"/>
    <col min="13320" max="13320" width="4" style="60" customWidth="1"/>
    <col min="13321" max="13321" width="10.7109375" style="60" bestFit="1" customWidth="1"/>
    <col min="13322" max="13568" width="9.140625" style="60"/>
    <col min="13569" max="13569" width="5.140625" style="60" customWidth="1"/>
    <col min="13570" max="13570" width="48.7109375" style="60" customWidth="1"/>
    <col min="13571" max="13571" width="9.140625" style="60"/>
    <col min="13572" max="13574" width="14.85546875" style="60" customWidth="1"/>
    <col min="13575" max="13575" width="16.42578125" style="60" customWidth="1"/>
    <col min="13576" max="13576" width="4" style="60" customWidth="1"/>
    <col min="13577" max="13577" width="10.7109375" style="60" bestFit="1" customWidth="1"/>
    <col min="13578" max="13824" width="9.140625" style="60"/>
    <col min="13825" max="13825" width="5.140625" style="60" customWidth="1"/>
    <col min="13826" max="13826" width="48.7109375" style="60" customWidth="1"/>
    <col min="13827" max="13827" width="9.140625" style="60"/>
    <col min="13828" max="13830" width="14.85546875" style="60" customWidth="1"/>
    <col min="13831" max="13831" width="16.42578125" style="60" customWidth="1"/>
    <col min="13832" max="13832" width="4" style="60" customWidth="1"/>
    <col min="13833" max="13833" width="10.7109375" style="60" bestFit="1" customWidth="1"/>
    <col min="13834" max="14080" width="9.140625" style="60"/>
    <col min="14081" max="14081" width="5.140625" style="60" customWidth="1"/>
    <col min="14082" max="14082" width="48.7109375" style="60" customWidth="1"/>
    <col min="14083" max="14083" width="9.140625" style="60"/>
    <col min="14084" max="14086" width="14.85546875" style="60" customWidth="1"/>
    <col min="14087" max="14087" width="16.42578125" style="60" customWidth="1"/>
    <col min="14088" max="14088" width="4" style="60" customWidth="1"/>
    <col min="14089" max="14089" width="10.7109375" style="60" bestFit="1" customWidth="1"/>
    <col min="14090" max="14336" width="9.140625" style="60"/>
    <col min="14337" max="14337" width="5.140625" style="60" customWidth="1"/>
    <col min="14338" max="14338" width="48.7109375" style="60" customWidth="1"/>
    <col min="14339" max="14339" width="9.140625" style="60"/>
    <col min="14340" max="14342" width="14.85546875" style="60" customWidth="1"/>
    <col min="14343" max="14343" width="16.42578125" style="60" customWidth="1"/>
    <col min="14344" max="14344" width="4" style="60" customWidth="1"/>
    <col min="14345" max="14345" width="10.7109375" style="60" bestFit="1" customWidth="1"/>
    <col min="14346" max="14592" width="9.140625" style="60"/>
    <col min="14593" max="14593" width="5.140625" style="60" customWidth="1"/>
    <col min="14594" max="14594" width="48.7109375" style="60" customWidth="1"/>
    <col min="14595" max="14595" width="9.140625" style="60"/>
    <col min="14596" max="14598" width="14.85546875" style="60" customWidth="1"/>
    <col min="14599" max="14599" width="16.42578125" style="60" customWidth="1"/>
    <col min="14600" max="14600" width="4" style="60" customWidth="1"/>
    <col min="14601" max="14601" width="10.7109375" style="60" bestFit="1" customWidth="1"/>
    <col min="14602" max="14848" width="9.140625" style="60"/>
    <col min="14849" max="14849" width="5.140625" style="60" customWidth="1"/>
    <col min="14850" max="14850" width="48.7109375" style="60" customWidth="1"/>
    <col min="14851" max="14851" width="9.140625" style="60"/>
    <col min="14852" max="14854" width="14.85546875" style="60" customWidth="1"/>
    <col min="14855" max="14855" width="16.42578125" style="60" customWidth="1"/>
    <col min="14856" max="14856" width="4" style="60" customWidth="1"/>
    <col min="14857" max="14857" width="10.7109375" style="60" bestFit="1" customWidth="1"/>
    <col min="14858" max="15104" width="9.140625" style="60"/>
    <col min="15105" max="15105" width="5.140625" style="60" customWidth="1"/>
    <col min="15106" max="15106" width="48.7109375" style="60" customWidth="1"/>
    <col min="15107" max="15107" width="9.140625" style="60"/>
    <col min="15108" max="15110" width="14.85546875" style="60" customWidth="1"/>
    <col min="15111" max="15111" width="16.42578125" style="60" customWidth="1"/>
    <col min="15112" max="15112" width="4" style="60" customWidth="1"/>
    <col min="15113" max="15113" width="10.7109375" style="60" bestFit="1" customWidth="1"/>
    <col min="15114" max="15360" width="9.140625" style="60"/>
    <col min="15361" max="15361" width="5.140625" style="60" customWidth="1"/>
    <col min="15362" max="15362" width="48.7109375" style="60" customWidth="1"/>
    <col min="15363" max="15363" width="9.140625" style="60"/>
    <col min="15364" max="15366" width="14.85546875" style="60" customWidth="1"/>
    <col min="15367" max="15367" width="16.42578125" style="60" customWidth="1"/>
    <col min="15368" max="15368" width="4" style="60" customWidth="1"/>
    <col min="15369" max="15369" width="10.7109375" style="60" bestFit="1" customWidth="1"/>
    <col min="15370" max="15616" width="9.140625" style="60"/>
    <col min="15617" max="15617" width="5.140625" style="60" customWidth="1"/>
    <col min="15618" max="15618" width="48.7109375" style="60" customWidth="1"/>
    <col min="15619" max="15619" width="9.140625" style="60"/>
    <col min="15620" max="15622" width="14.85546875" style="60" customWidth="1"/>
    <col min="15623" max="15623" width="16.42578125" style="60" customWidth="1"/>
    <col min="15624" max="15624" width="4" style="60" customWidth="1"/>
    <col min="15625" max="15625" width="10.7109375" style="60" bestFit="1" customWidth="1"/>
    <col min="15626" max="15872" width="9.140625" style="60"/>
    <col min="15873" max="15873" width="5.140625" style="60" customWidth="1"/>
    <col min="15874" max="15874" width="48.7109375" style="60" customWidth="1"/>
    <col min="15875" max="15875" width="9.140625" style="60"/>
    <col min="15876" max="15878" width="14.85546875" style="60" customWidth="1"/>
    <col min="15879" max="15879" width="16.42578125" style="60" customWidth="1"/>
    <col min="15880" max="15880" width="4" style="60" customWidth="1"/>
    <col min="15881" max="15881" width="10.7109375" style="60" bestFit="1" customWidth="1"/>
    <col min="15882" max="16128" width="9.140625" style="60"/>
    <col min="16129" max="16129" width="5.140625" style="60" customWidth="1"/>
    <col min="16130" max="16130" width="48.7109375" style="60" customWidth="1"/>
    <col min="16131" max="16131" width="9.140625" style="60"/>
    <col min="16132" max="16134" width="14.85546875" style="60" customWidth="1"/>
    <col min="16135" max="16135" width="16.42578125" style="60" customWidth="1"/>
    <col min="16136" max="16136" width="4" style="60" customWidth="1"/>
    <col min="16137" max="16137" width="10.7109375" style="60" bestFit="1" customWidth="1"/>
    <col min="16138" max="16384" width="9.140625" style="60"/>
  </cols>
  <sheetData>
    <row r="1" spans="1:9" s="175" customFormat="1" ht="21">
      <c r="A1" s="288" t="s">
        <v>0</v>
      </c>
      <c r="B1" s="288"/>
      <c r="C1" s="288"/>
      <c r="D1" s="288"/>
      <c r="E1" s="288"/>
      <c r="F1" s="288"/>
      <c r="G1" s="288"/>
    </row>
    <row r="2" spans="1:9" ht="16.5">
      <c r="A2" s="1"/>
      <c r="B2" s="2" t="s">
        <v>1</v>
      </c>
      <c r="C2" s="1"/>
      <c r="D2" s="1"/>
      <c r="E2" s="1"/>
      <c r="F2" s="1"/>
      <c r="G2" s="1"/>
    </row>
    <row r="3" spans="1:9" ht="12.75" customHeight="1">
      <c r="A3" s="312" t="s">
        <v>2</v>
      </c>
      <c r="B3" s="314" t="s">
        <v>3</v>
      </c>
      <c r="C3" s="312" t="s">
        <v>4</v>
      </c>
      <c r="D3" s="177" t="s">
        <v>5</v>
      </c>
      <c r="E3" s="177" t="s">
        <v>5</v>
      </c>
      <c r="F3" s="177" t="s">
        <v>5</v>
      </c>
      <c r="G3" s="176" t="s">
        <v>5</v>
      </c>
    </row>
    <row r="4" spans="1:9" ht="12.75" customHeight="1">
      <c r="A4" s="313"/>
      <c r="B4" s="315"/>
      <c r="C4" s="313"/>
      <c r="D4" s="179" t="s">
        <v>6</v>
      </c>
      <c r="E4" s="179" t="s">
        <v>6</v>
      </c>
      <c r="F4" s="179" t="s">
        <v>6</v>
      </c>
      <c r="G4" s="178" t="s">
        <v>7</v>
      </c>
    </row>
    <row r="5" spans="1:9" ht="12.75" customHeight="1">
      <c r="A5" s="6"/>
      <c r="B5" s="194"/>
      <c r="C5" s="6"/>
      <c r="D5" s="6" t="s">
        <v>444</v>
      </c>
      <c r="E5" s="6" t="s">
        <v>445</v>
      </c>
      <c r="F5" s="6" t="s">
        <v>446</v>
      </c>
      <c r="G5" s="181"/>
    </row>
    <row r="6" spans="1:9" ht="12.75" customHeight="1">
      <c r="A6" s="234" t="s">
        <v>8</v>
      </c>
      <c r="B6" s="235" t="s">
        <v>9</v>
      </c>
      <c r="C6" s="236" t="s">
        <v>10</v>
      </c>
      <c r="D6" s="218">
        <f>D7+D10+D11+D16+D23+D24+D25</f>
        <v>463722353</v>
      </c>
      <c r="E6" s="218">
        <f>E7+E10+E11+E16+E23+E24+E25</f>
        <v>93303112</v>
      </c>
      <c r="F6" s="218">
        <f>F7+F10+F11+F16+F23+F24+F25</f>
        <v>557025465</v>
      </c>
      <c r="G6" s="220">
        <f>G7+G10+G11+G16+G23+G24+G25</f>
        <v>462598480</v>
      </c>
    </row>
    <row r="7" spans="1:9" ht="12.75" customHeight="1">
      <c r="A7" s="237"/>
      <c r="B7" s="238" t="s">
        <v>11</v>
      </c>
      <c r="C7" s="239"/>
      <c r="D7" s="227">
        <f>SUM(D8:D9)</f>
        <v>3528908</v>
      </c>
      <c r="E7" s="227">
        <f>SUM(E8:E9)</f>
        <v>70606</v>
      </c>
      <c r="F7" s="227">
        <f>SUM(F8:F9)</f>
        <v>3599514</v>
      </c>
      <c r="G7" s="223">
        <f>SUM(G8:G9)</f>
        <v>2547905</v>
      </c>
    </row>
    <row r="8" spans="1:9" ht="12.75" customHeight="1">
      <c r="A8" s="240"/>
      <c r="B8" s="241" t="s">
        <v>12</v>
      </c>
      <c r="C8" s="239"/>
      <c r="D8" s="115">
        <v>3117145</v>
      </c>
      <c r="E8" s="222"/>
      <c r="F8" s="222">
        <f>+E8+D8</f>
        <v>3117145</v>
      </c>
      <c r="G8" s="223">
        <v>1688426</v>
      </c>
    </row>
    <row r="9" spans="1:9" ht="12.75" customHeight="1">
      <c r="A9" s="240"/>
      <c r="B9" s="241" t="s">
        <v>13</v>
      </c>
      <c r="C9" s="239"/>
      <c r="D9" s="115">
        <v>411763</v>
      </c>
      <c r="E9" s="222">
        <v>70606</v>
      </c>
      <c r="F9" s="222">
        <f>+E9+D9</f>
        <v>482369</v>
      </c>
      <c r="G9" s="223">
        <v>859479</v>
      </c>
    </row>
    <row r="10" spans="1:9" ht="12.75" customHeight="1">
      <c r="A10" s="240"/>
      <c r="B10" s="242" t="s">
        <v>14</v>
      </c>
      <c r="C10" s="243"/>
      <c r="D10" s="115"/>
      <c r="E10" s="222"/>
      <c r="F10" s="222"/>
      <c r="G10" s="223"/>
    </row>
    <row r="11" spans="1:9" ht="12.75" customHeight="1">
      <c r="A11" s="240"/>
      <c r="B11" s="238" t="s">
        <v>15</v>
      </c>
      <c r="C11" s="239"/>
      <c r="D11" s="227">
        <f>SUM(D12:D15)</f>
        <v>369402737</v>
      </c>
      <c r="E11" s="227">
        <f>SUM(E12:E15)</f>
        <v>92109530</v>
      </c>
      <c r="F11" s="227">
        <f>SUM(F12:F15)</f>
        <v>461512267</v>
      </c>
      <c r="G11" s="228">
        <f>SUM(G12:G15)</f>
        <v>374840096</v>
      </c>
      <c r="I11" s="195"/>
    </row>
    <row r="12" spans="1:9" ht="12.75" customHeight="1">
      <c r="A12" s="240"/>
      <c r="B12" s="241" t="s">
        <v>16</v>
      </c>
      <c r="C12" s="239"/>
      <c r="D12" s="115">
        <v>265839713</v>
      </c>
      <c r="E12" s="222">
        <v>32788606</v>
      </c>
      <c r="F12" s="222">
        <f>+D12+E12</f>
        <v>298628319</v>
      </c>
      <c r="G12" s="223">
        <v>222267755</v>
      </c>
    </row>
    <row r="13" spans="1:9" ht="12.75" customHeight="1">
      <c r="A13" s="240"/>
      <c r="B13" s="241" t="s">
        <v>18</v>
      </c>
      <c r="C13" s="239"/>
      <c r="D13" s="115"/>
      <c r="E13" s="222"/>
      <c r="F13" s="222">
        <f>+D13+E13</f>
        <v>0</v>
      </c>
      <c r="G13" s="223">
        <v>0</v>
      </c>
    </row>
    <row r="14" spans="1:9" ht="12.75" customHeight="1">
      <c r="A14" s="240"/>
      <c r="B14" s="241" t="s">
        <v>19</v>
      </c>
      <c r="C14" s="239"/>
      <c r="D14" s="115">
        <v>18563024</v>
      </c>
      <c r="E14" s="222"/>
      <c r="F14" s="222">
        <f>+D14+E14</f>
        <v>18563024</v>
      </c>
      <c r="G14" s="223">
        <v>1086258</v>
      </c>
    </row>
    <row r="15" spans="1:9" ht="12.75" customHeight="1">
      <c r="A15" s="240"/>
      <c r="B15" s="241" t="s">
        <v>17</v>
      </c>
      <c r="C15" s="241"/>
      <c r="D15" s="115">
        <f>+[7]aktiv!D16</f>
        <v>85000000</v>
      </c>
      <c r="E15" s="222">
        <v>59320924</v>
      </c>
      <c r="F15" s="222">
        <f>+D15+E15</f>
        <v>144320924</v>
      </c>
      <c r="G15" s="223">
        <v>151486083</v>
      </c>
    </row>
    <row r="16" spans="1:9" ht="12.75" customHeight="1">
      <c r="A16" s="240"/>
      <c r="B16" s="238" t="s">
        <v>22</v>
      </c>
      <c r="C16" s="239"/>
      <c r="D16" s="227">
        <f>+D17+D18+D21+D22</f>
        <v>90790708</v>
      </c>
      <c r="E16" s="227">
        <f>SUM(E17:E22)</f>
        <v>1122976</v>
      </c>
      <c r="F16" s="227">
        <f>+F17+F18+F21+F22</f>
        <v>91913684</v>
      </c>
      <c r="G16" s="227">
        <f>+G17+G18+G21+G22</f>
        <v>85210479</v>
      </c>
    </row>
    <row r="17" spans="1:7" ht="12.75" customHeight="1">
      <c r="A17" s="240"/>
      <c r="B17" s="241" t="s">
        <v>23</v>
      </c>
      <c r="C17" s="239"/>
      <c r="D17" s="115">
        <f>+[8]bilanci!K20</f>
        <v>0</v>
      </c>
      <c r="E17" s="222">
        <v>1122976</v>
      </c>
      <c r="F17" s="222">
        <f>+E16:E17+D17</f>
        <v>1122976</v>
      </c>
      <c r="G17" s="223">
        <v>2901417</v>
      </c>
    </row>
    <row r="18" spans="1:7" ht="12.75" customHeight="1">
      <c r="A18" s="240"/>
      <c r="B18" s="241" t="s">
        <v>24</v>
      </c>
      <c r="C18" s="239"/>
      <c r="D18" s="115"/>
      <c r="E18" s="222"/>
      <c r="F18" s="222">
        <f t="shared" ref="F18:F26" si="0">+E17:E18+D18</f>
        <v>0</v>
      </c>
      <c r="G18" s="223">
        <v>76560</v>
      </c>
    </row>
    <row r="19" spans="1:7" ht="12.75" customHeight="1">
      <c r="A19" s="240"/>
      <c r="B19" s="241" t="s">
        <v>25</v>
      </c>
      <c r="C19" s="239"/>
      <c r="D19" s="115"/>
      <c r="E19" s="222"/>
      <c r="F19" s="222">
        <f t="shared" si="0"/>
        <v>0</v>
      </c>
      <c r="G19" s="223"/>
    </row>
    <row r="20" spans="1:7" ht="12.75" customHeight="1">
      <c r="A20" s="240"/>
      <c r="B20" s="241" t="s">
        <v>26</v>
      </c>
      <c r="C20" s="239"/>
      <c r="D20" s="115"/>
      <c r="E20" s="222"/>
      <c r="F20" s="222">
        <f t="shared" si="0"/>
        <v>0</v>
      </c>
      <c r="G20" s="223"/>
    </row>
    <row r="21" spans="1:7" ht="12.75" customHeight="1">
      <c r="A21" s="240"/>
      <c r="B21" s="241" t="s">
        <v>27</v>
      </c>
      <c r="C21" s="239"/>
      <c r="D21" s="115">
        <v>61863065</v>
      </c>
      <c r="E21" s="222"/>
      <c r="F21" s="222">
        <f t="shared" si="0"/>
        <v>61863065</v>
      </c>
      <c r="G21" s="223">
        <v>70235317</v>
      </c>
    </row>
    <row r="22" spans="1:7" ht="12.75" customHeight="1">
      <c r="A22" s="240"/>
      <c r="B22" s="241" t="s">
        <v>448</v>
      </c>
      <c r="C22" s="241"/>
      <c r="D22" s="115">
        <v>28927643</v>
      </c>
      <c r="E22" s="222"/>
      <c r="F22" s="222">
        <f t="shared" si="0"/>
        <v>28927643</v>
      </c>
      <c r="G22" s="223">
        <v>11997185</v>
      </c>
    </row>
    <row r="23" spans="1:7" ht="12.75" customHeight="1">
      <c r="A23" s="237"/>
      <c r="B23" s="238" t="s">
        <v>30</v>
      </c>
      <c r="C23" s="239"/>
      <c r="D23" s="115"/>
      <c r="E23" s="222"/>
      <c r="F23" s="222">
        <f>+E23:E23+D23</f>
        <v>0</v>
      </c>
      <c r="G23" s="223"/>
    </row>
    <row r="24" spans="1:7" ht="12.75" customHeight="1">
      <c r="A24" s="240"/>
      <c r="B24" s="238" t="s">
        <v>31</v>
      </c>
      <c r="C24" s="239"/>
      <c r="D24" s="115"/>
      <c r="E24" s="222"/>
      <c r="F24" s="222">
        <f t="shared" si="0"/>
        <v>0</v>
      </c>
      <c r="G24" s="223"/>
    </row>
    <row r="25" spans="1:7" ht="12.75" customHeight="1">
      <c r="A25" s="240"/>
      <c r="B25" s="238" t="s">
        <v>32</v>
      </c>
      <c r="C25" s="239"/>
      <c r="D25" s="227">
        <f>SUM(D26:D26)</f>
        <v>0</v>
      </c>
      <c r="E25" s="233"/>
      <c r="F25" s="222">
        <f>+E24:E25+D25</f>
        <v>0</v>
      </c>
      <c r="G25" s="228">
        <v>0</v>
      </c>
    </row>
    <row r="26" spans="1:7" ht="12.75" customHeight="1">
      <c r="A26" s="240"/>
      <c r="B26" s="241" t="s">
        <v>33</v>
      </c>
      <c r="C26" s="239"/>
      <c r="D26" s="115">
        <f>+[8]bilanci!K32</f>
        <v>0</v>
      </c>
      <c r="E26" s="222"/>
      <c r="F26" s="222">
        <f t="shared" si="0"/>
        <v>0</v>
      </c>
      <c r="G26" s="223">
        <f>+[8]bilanci!G32</f>
        <v>0</v>
      </c>
    </row>
    <row r="27" spans="1:7" ht="12.75" customHeight="1">
      <c r="A27" s="244" t="s">
        <v>34</v>
      </c>
      <c r="B27" s="238" t="s">
        <v>35</v>
      </c>
      <c r="C27" s="245" t="s">
        <v>10</v>
      </c>
      <c r="D27" s="227">
        <f>D28+D29+D34+D35+D36+D37</f>
        <v>181530325</v>
      </c>
      <c r="E27" s="227">
        <f>E28+E29+E34+E35+E36+E37</f>
        <v>0</v>
      </c>
      <c r="F27" s="227">
        <f>F28+F29+F34+F35+F36+F37</f>
        <v>181530325</v>
      </c>
      <c r="G27" s="228">
        <f>G28+G29+G34+G35+G36+G37</f>
        <v>144832460</v>
      </c>
    </row>
    <row r="28" spans="1:7" ht="12.75" customHeight="1">
      <c r="A28" s="240"/>
      <c r="B28" s="238" t="s">
        <v>36</v>
      </c>
      <c r="C28" s="239"/>
      <c r="D28" s="115"/>
      <c r="E28" s="222"/>
      <c r="F28" s="222"/>
      <c r="G28" s="223"/>
    </row>
    <row r="29" spans="1:7" ht="12.75" customHeight="1">
      <c r="A29" s="240"/>
      <c r="B29" s="238" t="s">
        <v>37</v>
      </c>
      <c r="C29" s="239"/>
      <c r="D29" s="227">
        <f>+D30+D31+D32+D33</f>
        <v>181530325</v>
      </c>
      <c r="E29" s="227">
        <f>+E30+E31+E32+E33</f>
        <v>0</v>
      </c>
      <c r="F29" s="227">
        <f>+F30+F31+F32+F33</f>
        <v>181530325</v>
      </c>
      <c r="G29" s="228">
        <v>144832460</v>
      </c>
    </row>
    <row r="30" spans="1:7" ht="12.75" customHeight="1">
      <c r="A30" s="240"/>
      <c r="B30" s="241" t="s">
        <v>38</v>
      </c>
      <c r="C30" s="239"/>
      <c r="D30" s="115"/>
      <c r="E30" s="222"/>
      <c r="F30" s="222"/>
      <c r="G30" s="223"/>
    </row>
    <row r="31" spans="1:7" ht="12.75" customHeight="1">
      <c r="A31" s="240"/>
      <c r="B31" s="241" t="s">
        <v>39</v>
      </c>
      <c r="C31" s="239"/>
      <c r="D31" s="113">
        <v>63877740</v>
      </c>
      <c r="E31" s="230"/>
      <c r="F31" s="230">
        <f>+D31+E31</f>
        <v>63877740</v>
      </c>
      <c r="G31" s="223">
        <v>64963853</v>
      </c>
    </row>
    <row r="32" spans="1:7" ht="12.75" customHeight="1">
      <c r="A32" s="240"/>
      <c r="B32" s="241" t="s">
        <v>40</v>
      </c>
      <c r="C32" s="239"/>
      <c r="D32" s="113">
        <v>117652585</v>
      </c>
      <c r="E32" s="230"/>
      <c r="F32" s="230">
        <f>+D32+E32</f>
        <v>117652585</v>
      </c>
      <c r="G32" s="223">
        <v>79868607</v>
      </c>
    </row>
    <row r="33" spans="1:10" ht="12.75" customHeight="1">
      <c r="A33" s="240"/>
      <c r="B33" s="241" t="s">
        <v>449</v>
      </c>
      <c r="C33" s="239"/>
      <c r="D33" s="115">
        <f>+[8]akt!$D$37</f>
        <v>0</v>
      </c>
      <c r="E33" s="222"/>
      <c r="F33" s="222"/>
      <c r="G33" s="223"/>
    </row>
    <row r="34" spans="1:10" ht="12.75" customHeight="1">
      <c r="A34" s="240"/>
      <c r="B34" s="238" t="s">
        <v>41</v>
      </c>
      <c r="C34" s="239"/>
      <c r="D34" s="115"/>
      <c r="E34" s="222"/>
      <c r="F34" s="222"/>
      <c r="G34" s="223"/>
    </row>
    <row r="35" spans="1:10" ht="12.75" customHeight="1">
      <c r="A35" s="240"/>
      <c r="B35" s="238" t="s">
        <v>42</v>
      </c>
      <c r="C35" s="239"/>
      <c r="D35" s="115"/>
      <c r="E35" s="222"/>
      <c r="F35" s="222"/>
      <c r="G35" s="223"/>
    </row>
    <row r="36" spans="1:10" ht="12.75" customHeight="1">
      <c r="A36" s="240"/>
      <c r="B36" s="238" t="s">
        <v>43</v>
      </c>
      <c r="C36" s="239"/>
      <c r="D36" s="115"/>
      <c r="E36" s="222"/>
      <c r="F36" s="222"/>
      <c r="G36" s="223"/>
    </row>
    <row r="37" spans="1:10" ht="12.75" customHeight="1">
      <c r="A37" s="240"/>
      <c r="B37" s="238" t="s">
        <v>44</v>
      </c>
      <c r="C37" s="239"/>
      <c r="D37" s="115"/>
      <c r="E37" s="222"/>
      <c r="F37" s="222"/>
      <c r="G37" s="223"/>
    </row>
    <row r="38" spans="1:10" ht="12.75" customHeight="1">
      <c r="A38" s="240"/>
      <c r="B38" s="246" t="s">
        <v>45</v>
      </c>
      <c r="C38" s="245" t="s">
        <v>10</v>
      </c>
      <c r="D38" s="227">
        <f>D27+D6</f>
        <v>645252678</v>
      </c>
      <c r="E38" s="227">
        <f>E27+E6</f>
        <v>93303112</v>
      </c>
      <c r="F38" s="227">
        <f>F27+F6</f>
        <v>738555790</v>
      </c>
      <c r="G38" s="228">
        <f>G27+G6</f>
        <v>607430940</v>
      </c>
    </row>
    <row r="39" spans="1:10" ht="17.25" thickBot="1">
      <c r="A39" s="23"/>
      <c r="B39" s="24"/>
      <c r="C39" s="24"/>
      <c r="D39" s="25"/>
      <c r="E39" s="196"/>
      <c r="F39" s="196"/>
      <c r="G39" s="26"/>
    </row>
    <row r="40" spans="1:10" ht="16.5">
      <c r="A40" s="197"/>
      <c r="B40" s="21"/>
      <c r="C40" s="21"/>
      <c r="D40" s="198"/>
      <c r="E40" s="198"/>
      <c r="F40" s="198"/>
      <c r="G40" s="198"/>
    </row>
    <row r="41" spans="1:10" s="188" customFormat="1" ht="16.5">
      <c r="A41" s="197"/>
      <c r="B41" s="21"/>
      <c r="C41" s="21"/>
      <c r="D41" s="21"/>
      <c r="E41" s="21"/>
      <c r="F41" s="21"/>
      <c r="G41" s="21"/>
      <c r="H41" s="21"/>
      <c r="I41" s="21"/>
      <c r="J41" s="21"/>
    </row>
    <row r="42" spans="1:10" s="188" customFormat="1" ht="16.5">
      <c r="A42" s="197"/>
      <c r="B42" s="21"/>
      <c r="C42" s="21"/>
      <c r="D42" s="21"/>
      <c r="E42" s="21"/>
      <c r="F42" s="21"/>
      <c r="G42" s="21"/>
      <c r="H42" s="21"/>
      <c r="I42" s="21"/>
      <c r="J42" s="21"/>
    </row>
    <row r="43" spans="1:10" s="188" customFormat="1" ht="16.5">
      <c r="A43" s="197"/>
      <c r="B43" s="21"/>
      <c r="C43" s="21"/>
      <c r="D43" s="21"/>
      <c r="E43" s="21"/>
      <c r="F43" s="21"/>
      <c r="G43" s="21"/>
      <c r="H43" s="21"/>
      <c r="I43" s="21"/>
      <c r="J43" s="21"/>
    </row>
    <row r="44" spans="1:10" s="188" customFormat="1" ht="16.5">
      <c r="A44" s="199"/>
      <c r="B44" s="21"/>
      <c r="C44" s="21"/>
      <c r="D44" s="21"/>
      <c r="E44" s="21"/>
      <c r="F44" s="21"/>
      <c r="G44" s="21"/>
      <c r="H44" s="21"/>
      <c r="I44" s="21"/>
      <c r="J44" s="21"/>
    </row>
    <row r="45" spans="1:10" s="188" customFormat="1" ht="16.5">
      <c r="A45" s="197"/>
      <c r="B45" s="197"/>
      <c r="C45" s="197"/>
      <c r="D45" s="197"/>
      <c r="E45" s="197"/>
      <c r="F45" s="197"/>
      <c r="G45" s="197"/>
    </row>
    <row r="46" spans="1:10" s="188" customFormat="1" ht="16.5">
      <c r="A46" s="197"/>
      <c r="B46" s="197"/>
      <c r="C46" s="197"/>
      <c r="D46" s="198"/>
      <c r="E46" s="198"/>
      <c r="F46" s="198"/>
      <c r="G46" s="197"/>
    </row>
    <row r="47" spans="1:10" s="188" customFormat="1" ht="16.5">
      <c r="A47" s="197"/>
      <c r="B47" s="200"/>
      <c r="C47" s="200"/>
      <c r="D47" s="198"/>
      <c r="E47" s="198"/>
      <c r="F47" s="198"/>
      <c r="G47" s="201"/>
    </row>
    <row r="48" spans="1:10" s="188" customFormat="1" ht="16.5">
      <c r="A48" s="197"/>
      <c r="B48" s="197"/>
      <c r="C48" s="197"/>
      <c r="D48" s="197"/>
      <c r="E48" s="197"/>
      <c r="F48" s="197"/>
      <c r="G48" s="197"/>
    </row>
    <row r="49" spans="1:7" s="188" customFormat="1" ht="16.5">
      <c r="A49" s="197"/>
      <c r="B49" s="197"/>
      <c r="C49" s="197"/>
      <c r="D49" s="197"/>
      <c r="E49" s="197"/>
      <c r="F49" s="197"/>
      <c r="G49" s="197"/>
    </row>
    <row r="50" spans="1:7" s="188" customFormat="1" ht="16.5">
      <c r="A50" s="197"/>
      <c r="B50" s="197"/>
      <c r="C50" s="197"/>
      <c r="D50" s="197"/>
      <c r="E50" s="197"/>
      <c r="F50" s="197"/>
      <c r="G50" s="197"/>
    </row>
    <row r="51" spans="1:7" ht="16.5">
      <c r="A51" s="3"/>
      <c r="B51" s="3"/>
      <c r="C51" s="3"/>
      <c r="D51" s="3"/>
      <c r="E51" s="3"/>
      <c r="F51" s="3"/>
      <c r="G51" s="3"/>
    </row>
  </sheetData>
  <mergeCells count="4">
    <mergeCell ref="A1:G1"/>
    <mergeCell ref="A3:A4"/>
    <mergeCell ref="B3:B4"/>
    <mergeCell ref="C3:C4"/>
  </mergeCells>
  <pageMargins left="0.55000000000000004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kopertina</vt:lpstr>
      <vt:lpstr>aktiv</vt:lpstr>
      <vt:lpstr>pasivi</vt:lpstr>
      <vt:lpstr>ardh-shp.nat</vt:lpstr>
      <vt:lpstr>fluksi met direkte</vt:lpstr>
      <vt:lpstr>ndr.kapital</vt:lpstr>
      <vt:lpstr>amortiz.</vt:lpstr>
      <vt:lpstr>AAM2013</vt:lpstr>
      <vt:lpstr>aktiv pas.kons</vt:lpstr>
      <vt:lpstr>pasiv pas.kond</vt:lpstr>
      <vt:lpstr>ardh shp kons</vt:lpstr>
      <vt:lpstr>fkuksi pas kons</vt:lpstr>
      <vt:lpstr>Sheet2</vt:lpstr>
      <vt:lpstr>Sheet3</vt:lpstr>
      <vt:lpstr>Foglio1</vt:lpstr>
      <vt:lpstr>Sheet4</vt:lpstr>
      <vt:lpstr>Foglio2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Titi</cp:lastModifiedBy>
  <cp:lastPrinted>2014-07-22T07:48:31Z</cp:lastPrinted>
  <dcterms:created xsi:type="dcterms:W3CDTF">2014-03-26T19:52:24Z</dcterms:created>
  <dcterms:modified xsi:type="dcterms:W3CDTF">2014-10-14T08:22:53Z</dcterms:modified>
</cp:coreProperties>
</file>